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charts/chart10.xml" ContentType="application/vnd.openxmlformats-officedocument.drawingml.chart+xml"/>
  <Override PartName="/xl/theme/themeOverride2.xml" ContentType="application/vnd.openxmlformats-officedocument.themeOverride+xml"/>
  <Override PartName="/xl/charts/chart11.xml" ContentType="application/vnd.openxmlformats-officedocument.drawingml.chart+xml"/>
  <Override PartName="/xl/theme/themeOverride3.xml" ContentType="application/vnd.openxmlformats-officedocument.themeOverride+xml"/>
  <Override PartName="/xl/charts/chart12.xml" ContentType="application/vnd.openxmlformats-officedocument.drawingml.chart+xml"/>
  <Override PartName="/xl/theme/themeOverride4.xml" ContentType="application/vnd.openxmlformats-officedocument.themeOverride+xml"/>
  <Override PartName="/xl/charts/chart13.xml" ContentType="application/vnd.openxmlformats-officedocument.drawingml.chart+xml"/>
  <Override PartName="/xl/theme/themeOverride5.xml" ContentType="application/vnd.openxmlformats-officedocument.themeOverride+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charts/chart18.xml" ContentType="application/vnd.openxmlformats-officedocument.drawingml.chart+xml"/>
  <Override PartName="/xl/theme/themeOverride10.xml" ContentType="application/vnd.openxmlformats-officedocument.themeOverride+xml"/>
  <Override PartName="/xl/charts/chart19.xml" ContentType="application/vnd.openxmlformats-officedocument.drawingml.chart+xml"/>
  <Override PartName="/xl/theme/themeOverride11.xml" ContentType="application/vnd.openxmlformats-officedocument.themeOverride+xml"/>
  <Override PartName="/xl/drawings/drawing8.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theme/themeOverride12.xml" ContentType="application/vnd.openxmlformats-officedocument.themeOverride+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9.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theme/themeOverride13.xml" ContentType="application/vnd.openxmlformats-officedocument.themeOverride+xml"/>
  <Override PartName="/xl/charts/chart34.xml" ContentType="application/vnd.openxmlformats-officedocument.drawingml.chart+xml"/>
  <Override PartName="/xl/drawings/drawing10.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drawings/drawing11.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drawings/drawing12.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theme/themeOverride14.xml" ContentType="application/vnd.openxmlformats-officedocument.themeOverride+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theme/themeOverride15.xml" ContentType="application/vnd.openxmlformats-officedocument.themeOverride+xml"/>
  <Override PartName="/xl/charts/chart53.xml" ContentType="application/vnd.openxmlformats-officedocument.drawingml.chart+xml"/>
  <Override PartName="/xl/drawings/drawing13.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theme/themeOverride16.xml" ContentType="application/vnd.openxmlformats-officedocument.themeOverride+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theme/themeOverride17.xml" ContentType="application/vnd.openxmlformats-officedocument.themeOverride+xml"/>
  <Override PartName="/xl/charts/chart62.xml" ContentType="application/vnd.openxmlformats-officedocument.drawingml.chart+xml"/>
  <Override PartName="/xl/charts/chart63.xml" ContentType="application/vnd.openxmlformats-officedocument.drawingml.chart+xml"/>
  <Override PartName="/xl/theme/themeOverride18.xml" ContentType="application/vnd.openxmlformats-officedocument.themeOverride+xml"/>
  <Override PartName="/xl/charts/chart64.xml" ContentType="application/vnd.openxmlformats-officedocument.drawingml.chart+xml"/>
  <Override PartName="/xl/drawings/drawing14.xml" ContentType="application/vnd.openxmlformats-officedocument.drawing+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drawings/drawing15.xml" ContentType="application/vnd.openxmlformats-officedocument.drawing+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theme/themeOverride19.xml" ContentType="application/vnd.openxmlformats-officedocument.themeOverride+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theme/themeOverride20.xml" ContentType="application/vnd.openxmlformats-officedocument.themeOverride+xml"/>
  <Override PartName="/xl/charts/chart78.xml" ContentType="application/vnd.openxmlformats-officedocument.drawingml.chart+xml"/>
  <Override PartName="/xl/charts/chart79.xml" ContentType="application/vnd.openxmlformats-officedocument.drawingml.chart+xml"/>
  <Override PartName="/xl/theme/themeOverride21.xml" ContentType="application/vnd.openxmlformats-officedocument.themeOverride+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theme/themeOverride22.xml" ContentType="application/vnd.openxmlformats-officedocument.themeOverride+xml"/>
  <Override PartName="/xl/charts/chart88.xml" ContentType="application/vnd.openxmlformats-officedocument.drawingml.chart+xml"/>
  <Override PartName="/xl/drawings/drawing16.xml" ContentType="application/vnd.openxmlformats-officedocument.drawing+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theme/themeOverride23.xml" ContentType="application/vnd.openxmlformats-officedocument.themeOverride+xml"/>
  <Override PartName="/xl/charts/chart93.xml" ContentType="application/vnd.openxmlformats-officedocument.drawingml.chart+xml"/>
  <Override PartName="/xl/charts/chart94.xml" ContentType="application/vnd.openxmlformats-officedocument.drawingml.chart+xml"/>
  <Override PartName="/xl/theme/themeOverride24.xml" ContentType="application/vnd.openxmlformats-officedocument.themeOverride+xml"/>
  <Override PartName="/xl/charts/chart95.xml" ContentType="application/vnd.openxmlformats-officedocument.drawingml.chart+xml"/>
  <Override PartName="/xl/charts/chart96.xml" ContentType="application/vnd.openxmlformats-officedocument.drawingml.chart+xml"/>
  <Override PartName="/xl/theme/themeOverride25.xml" ContentType="application/vnd.openxmlformats-officedocument.themeOverride+xml"/>
  <Override PartName="/xl/charts/chart97.xml" ContentType="application/vnd.openxmlformats-officedocument.drawingml.chart+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showInkAnnotation="0" updateLinks="never" codeName="ThisWorkbook"/>
  <bookViews>
    <workbookView showSheetTabs="0" xWindow="0" yWindow="0" windowWidth="19605" windowHeight="12825" tabRatio="796" firstSheet="6" activeTab="6"/>
  </bookViews>
  <sheets>
    <sheet name="Sheet1" sheetId="75" state="hidden" r:id="rId1"/>
    <sheet name="Year 1" sheetId="77" state="hidden" r:id="rId2"/>
    <sheet name="Year 2" sheetId="78" state="hidden" r:id="rId3"/>
    <sheet name="Year 3" sheetId="79" state="hidden" r:id="rId4"/>
    <sheet name="Year 4" sheetId="80" state="hidden" r:id="rId5"/>
    <sheet name="Year 5" sheetId="81" state="hidden" r:id="rId6"/>
    <sheet name="Frontpage" sheetId="29" r:id="rId7"/>
    <sheet name="Home" sheetId="76" r:id="rId8"/>
    <sheet name="Coverage" sheetId="27" r:id="rId9"/>
    <sheet name="IDACI" sheetId="44" r:id="rId10"/>
    <sheet name="Population" sheetId="22" r:id="rId11"/>
    <sheet name="Referrals" sheetId="49" r:id="rId12"/>
    <sheet name="Referral_Source" sheetId="50" r:id="rId13"/>
    <sheet name="Re-referrals" sheetId="62" r:id="rId14"/>
    <sheet name="Assessments" sheetId="63" r:id="rId15"/>
    <sheet name="Children in Need" sheetId="64" r:id="rId16"/>
    <sheet name="Section 47 Enquiries" sheetId="65" r:id="rId17"/>
    <sheet name="Initial CP Conferences" sheetId="66" r:id="rId18"/>
    <sheet name="Child Protection Plans" sheetId="67" r:id="rId19"/>
    <sheet name="Court Applications" sheetId="68" r:id="rId20"/>
    <sheet name="Looked After Children" sheetId="69" r:id="rId21"/>
    <sheet name="Adoption" sheetId="70" r:id="rId22"/>
  </sheets>
  <definedNames>
    <definedName name="BMLIST" localSheetId="0">Sheet1!$B$4:$B$25</definedName>
    <definedName name="_xlnm.Print_Area" localSheetId="21">Adoption!$A$1:$V$176</definedName>
    <definedName name="_xlnm.Print_Area" localSheetId="14">Assessments!$A$1:$U$175</definedName>
    <definedName name="_xlnm.Print_Area" localSheetId="18">'Child Protection Plans'!$A$1:$U$210</definedName>
    <definedName name="_xlnm.Print_Area" localSheetId="15">'Children in Need'!$A$1:$U$105</definedName>
    <definedName name="_xlnm.Print_Area" localSheetId="19">'Court Applications'!$A$1:$U$105</definedName>
    <definedName name="_xlnm.Print_Area" localSheetId="8">Coverage!$A$1:$AB$34</definedName>
    <definedName name="_xlnm.Print_Area" localSheetId="6">Frontpage!$A$1:$K$36</definedName>
    <definedName name="_xlnm.Print_Area" localSheetId="7">Home!$A$1:$AC$56</definedName>
    <definedName name="_xlnm.Print_Area" localSheetId="9">IDACI!$A$1:$Q$36</definedName>
    <definedName name="_xlnm.Print_Area" localSheetId="17">'Initial CP Conferences'!$A$1:$U$175</definedName>
    <definedName name="_xlnm.Print_Area" localSheetId="20">'Looked After Children'!$A$1:$U$315</definedName>
    <definedName name="_xlnm.Print_Area" localSheetId="10">Population!$A$1:$P$35</definedName>
    <definedName name="_xlnm.Print_Area" localSheetId="12">Referral_Source!$A$1:$Y$99</definedName>
    <definedName name="_xlnm.Print_Area" localSheetId="11">Referrals!$A$1:$U$140</definedName>
    <definedName name="_xlnm.Print_Area" localSheetId="13">'Re-referrals'!$A$1:$U$140</definedName>
    <definedName name="_xlnm.Print_Area" localSheetId="16">'Section 47 Enquiries'!$A$1:$U$105</definedName>
    <definedName name="_xlnm.Print_Titles" localSheetId="7">Home!$1:$3</definedName>
    <definedName name="Year1__electively_home_educated">'Year 1'!$A$101:$Z$101</definedName>
    <definedName name="Year1_16_17_NEET">'Year 1'!$A$94:$Z$94</definedName>
    <definedName name="Year1_16_17_not_known">'Year 1'!$A$96:$Z$96</definedName>
    <definedName name="Year1_16_17_participating_in_EET">'Year 1'!$A$95:$Z$95</definedName>
    <definedName name="Year1_Adoption_ceased_LAC">'Year 1'!$C$77:$Z$77</definedName>
    <definedName name="Year1_Adoption_LAC_Adopted">'Year 1'!$C$78:$Z$78</definedName>
    <definedName name="Year1_Adoption_LAC_Adopted_days">'Year 1'!$C$79:$Z$79</definedName>
    <definedName name="Year1_Adoption_LAC_Adopted_placed_with_12months">'Year 1'!$C$80:$Z$80</definedName>
    <definedName name="Year1_Adoption_PFA">'Year 1'!$C$76:$Z$76</definedName>
    <definedName name="Year1_Assessments">'Year 1'!$C$38:$Z$38</definedName>
    <definedName name="Year1_Assessments_10days">'Year 1'!$C$40:$Z$40</definedName>
    <definedName name="Year1_Assessments_11_25days">'Year 1'!$C$41:$Z$41</definedName>
    <definedName name="Year1_Assessments_26_35days">'Year 1'!$C$42:$Z$42</definedName>
    <definedName name="Year1_Assessments_36_45days">'Year 1'!$C$43:$Z$43</definedName>
    <definedName name="Year1_Assessments_No_further_action">'Year 1'!$C$46:$Z$46</definedName>
    <definedName name="Year1_Assessments_over_45days">'Year 1'!$C$44:$Z$44</definedName>
    <definedName name="Year1_Assessments_step_down">'Year 1'!$C$45:$Z$45</definedName>
    <definedName name="Year1_Assessments_within45days">'Year 1'!$C$102:$Z$102</definedName>
    <definedName name="Year1_Bracknell_Forest">'Year 1'!$C$1:$C$103</definedName>
    <definedName name="Year1_Brighton_Hove">'Year 1'!$D$1:$D$103</definedName>
    <definedName name="Year1_Buckinghamshire">'Year 1'!$E$1:$E$103</definedName>
    <definedName name="Year1_CAO_RO_FundedLA">'Year 1'!$C$89:$Z$89</definedName>
    <definedName name="Year1_CAO_RO_Total">'Year 1'!$C$88:$Z$88</definedName>
    <definedName name="Year1_Care_Leavers_16_18th_birthday">'Year 1'!$A$81:$Z$81</definedName>
    <definedName name="Year1_Care_Leavers_at_end_of_period">'Year 1'!$A$82:$Z$82</definedName>
    <definedName name="Year1_Care_Leavers_in_EET">'Year 1'!$A$85:$Z$85</definedName>
    <definedName name="Year1_Care_Leavers_in_suitable_accommodation">'Year 1'!$A$84:$Z$84</definedName>
    <definedName name="Year1_Care_Leavers_in_touch">'Year 1'!$A$83:$Z$83</definedName>
    <definedName name="Year1_Children_missing_Education">'Year 1'!$A$100:$Z$100</definedName>
    <definedName name="Year1_CIN">'Year 1'!$C$47:$Z$47</definedName>
    <definedName name="Year1_CIN_Section47">'Year 1'!$C$48:$Z$48</definedName>
    <definedName name="Year1_Contacts">'Year 1'!$A$2:$Z$2</definedName>
    <definedName name="Year1_Continuous_assessments">'Year 1'!$C$103:$Z$103</definedName>
    <definedName name="Year1_CP_Conference">'Year 1'!$C$49:$Z$49</definedName>
    <definedName name="Year1_CP_Conference_within15days">'Year 1'!$C$50:$Z$50</definedName>
    <definedName name="Year1_CP_Plans">'Year 1'!$C$51:$Z$51</definedName>
    <definedName name="Year1_CP_Plans_3months">'Year 1'!$C$52:$Z$52</definedName>
    <definedName name="Year1_CP_Plans_3months_timescales">'Year 1'!$C$53:$Z$53</definedName>
    <definedName name="Year1_CP_Plans_became_subject">'Year 1'!$C$57:$Z$57</definedName>
    <definedName name="Year1_CP_Plans_became_subject_second">'Year 1'!$C$58:$Z$58</definedName>
    <definedName name="Year1_CP_Plans_became_subject_second_2years">'Year 1'!$C$59:$Z$59</definedName>
    <definedName name="Year1_CP_Plans_ceased">'Year 1'!$C$55:$Z$55</definedName>
    <definedName name="Year1_CP_Plans_ceased_2years">'Year 1'!$C$56:$Z$56</definedName>
    <definedName name="Year1_CP_Plans_Seen_in_Timescales">'Year 1'!$A$54:$Z$54</definedName>
    <definedName name="Year1_EarlyHelpAssessments">'Year 1'!$C$7:$Z$7</definedName>
    <definedName name="Year1_EarlyHelpAssessmentsOngoing">'Year 1'!$C$9:$Z$9</definedName>
    <definedName name="Year1_EarlyHelpAssessmentsStepUp">'Year 1'!$C$10:$Z$10</definedName>
    <definedName name="Year1_EarlyHelpedChildren">'Year 1'!$C$11:$Z$11</definedName>
    <definedName name="Year1_EarlyHelpReferrals">'Year 1'!$C$3:$Z$3</definedName>
    <definedName name="Year1_EarlyHelpReferralsOntoASSESSMENT">'Year 1'!$C$5:$Z$5</definedName>
    <definedName name="Year1_EarlyHelpReferralsSTEPDOWN">'Year 1'!$C$4:$Z$4</definedName>
    <definedName name="Year1_EarlyHelpReReferrals">'Year 1'!$C$6:$Z$6</definedName>
    <definedName name="Year1_East_Sussex">'Year 1'!$F$1:$F$103</definedName>
    <definedName name="Year1_England">'Year 1'!$Z$1:$Z$103</definedName>
    <definedName name="Year1_First_Time_Entrants_to_Youth_Justice_system">'Year 1'!$A$97:$Z$97</definedName>
    <definedName name="Year1_Hampshire">'Year 1'!$G$1:$G$103</definedName>
    <definedName name="Year1_Isle_of_Wight">'Year 1'!$H$1:$H$103</definedName>
    <definedName name="Year1_Juvenile_Offenders__Age_10_17">'Year 1'!$A$98:$Z$98</definedName>
    <definedName name="Year1_Juvenile_Re_offenders__Age_10_17">'Year 1'!$A$99:$Z$99</definedName>
    <definedName name="Year1_Kent">'Year 1'!$I$1:$I$103</definedName>
    <definedName name="Year1_LAC">'Year 1'!$C$60:$Z$60</definedName>
    <definedName name="Year1_LAC_10to15">'Year 1'!$A$71:$Z$71</definedName>
    <definedName name="Year1_LAC_16plus">'Year 1'!$A$72:$Z$72</definedName>
    <definedName name="Year1_LAC_1to4">'Year 1'!$A$69:$Z$69</definedName>
    <definedName name="Year1_LAC_3_or_more_Placements">'Year 1'!$A$65:$Z$65</definedName>
    <definedName name="Year1_LAC_4weeks">'Year 1'!$A$66:$Z$66</definedName>
    <definedName name="Year1_LAC_4weeks_reviews_in_timescales">'Year 1'!$A$67:$Z$67</definedName>
    <definedName name="Year1_LAC_5to9">'Year 1'!$A$70:$Z$70</definedName>
    <definedName name="Year1_LAC_Remanded">'Year 1'!$A$75:$Z$75</definedName>
    <definedName name="Year1_LAC_Start">'Year 1'!$A$73:$Z$73</definedName>
    <definedName name="Year1_LAC_Start_2nd_time">'Year 1'!$A$74:$Z$74</definedName>
    <definedName name="Year1_LAC_UASC">'Year 1'!$C$64:$Z$64</definedName>
    <definedName name="Year1_LAC_Under1">'Year 1'!$A$68:$Z$68</definedName>
    <definedName name="Year1_LAC_under16">'Year 1'!$C$61:$Z$61</definedName>
    <definedName name="Year1_LAC_under16_2.5years">'Year 1'!$C$62:$Z$62</definedName>
    <definedName name="Year1_LAC_under16_2.5years_sameplacement2years">'Year 1'!$C$63:$Z$63</definedName>
    <definedName name="Year1_Medway">'Year 1'!$J$1:$J$103</definedName>
    <definedName name="Year1_Milton_Keynes">'Year 1'!$K$1:$K$103</definedName>
    <definedName name="Year1_New_EHC__within_20_weeks">'Year 1'!$A$93:$Z$93</definedName>
    <definedName name="Year1_Number_EHC_Plans">'Year 1'!$A$92:$Z$92</definedName>
    <definedName name="Year1_Oxfordshire">'Year 1'!$L$1:$L$103</definedName>
    <definedName name="Year1_Portsmouth">'Year 1'!$M$1:$M$103</definedName>
    <definedName name="Year1_Reading">'Year 1'!$N$1:$N$103</definedName>
    <definedName name="Year1_Referrals">'Year 1'!$C$12:$Z$12</definedName>
    <definedName name="Year1_ReferralsAssessment">'Year 1'!$C$14:$Z$14</definedName>
    <definedName name="Year1_ReferralSource_Anonymous">'Year 1'!$C$35:$Z$35</definedName>
    <definedName name="Year1_ReferralSource_EducationServices">'Year 1'!$C$21:$Z$21</definedName>
    <definedName name="Year1_ReferralSource_Health_services_AE">'Year 1'!$C$26:$Z$26</definedName>
    <definedName name="Year1_ReferralSource_Health_services_GP">'Year 1'!$C$22:$Z$22</definedName>
    <definedName name="Year1_ReferralSource_Health_services_HealthVisitor">'Year 1'!$C$23:$Z$23</definedName>
    <definedName name="Year1_ReferralSource_Health_services_Other">'Year 1'!$C$27:$Z$27</definedName>
    <definedName name="Year1_ReferralSource_Health_services_OthPrimary">'Year 1'!$C$25:$Z$25</definedName>
    <definedName name="Year1_ReferralSource_Health_services_SchoolNurse">'Year 1'!$C$24:$Z$24</definedName>
    <definedName name="Year1_ReferralSource_Housing">'Year 1'!$C$28:$Z$28</definedName>
    <definedName name="Year1_ReferralSource_Individual_Acquaintance">'Year 1'!$C$17:$Z$17</definedName>
    <definedName name="Year1_ReferralSource_Individual_Family">'Year 1'!$C$16:$Z$16</definedName>
    <definedName name="Year1_ReferralSource_Individual_Other">'Year 1'!$C$19:$Z$19</definedName>
    <definedName name="Year1_ReferralSource_Individual_Self">'Year 1'!$C$18:$Z$18</definedName>
    <definedName name="Year1_ReferralSource_LA_External">'Year 1'!$C$31:$Z$31</definedName>
    <definedName name="Year1_ReferralSource_LA_Other">'Year 1'!$C$30:$Z$30</definedName>
    <definedName name="Year1_ReferralSource_LA_SC">'Year 1'!$C$29:$Z$29</definedName>
    <definedName name="Year1_ReferralSource_Other">'Year 1'!$C$34:$Z$34</definedName>
    <definedName name="Year1_ReferralSource_Other_Legal">'Year 1'!$C$33:$Z$33</definedName>
    <definedName name="Year1_ReferralSource_Police">'Year 1'!$C$32:$Z$32</definedName>
    <definedName name="Year1_ReferralSource_School">'Year 1'!$C$20:$Z$20</definedName>
    <definedName name="Year1_ReferralSource_Unknown">'Year 1'!$C$36:$Z$36</definedName>
    <definedName name="Year1_ReferralsPriorEH">'Year 1'!$C$13:$Z$13</definedName>
    <definedName name="Year1_ReReferrals">'Year 1'!$C$37:$Z$37</definedName>
    <definedName name="Year1_ROSGO_ceased_LAC_CAO">'Year 1'!$A$86:$Z$86</definedName>
    <definedName name="Year1_ROSGO_ceased_LAC_SGO">'Year 1'!$A$87:$Z$87</definedName>
    <definedName name="Year1_SGO_fundedLA">'Year 1'!$C$91:$Z$91</definedName>
    <definedName name="Year1_SGO_total">'Year 1'!$C$90:$Z$90</definedName>
    <definedName name="Year1_Slough">'Year 1'!$O$1:$O$103</definedName>
    <definedName name="Year1_Somerset">'Year 1'!$P$1:$P$103</definedName>
    <definedName name="Year1_Southampton">'Year 1'!$Q$1:$Q$103</definedName>
    <definedName name="Year1_SouthEast">'Year 1'!$Y$1:$Y$103</definedName>
    <definedName name="Year1_Surrey">'Year 1'!$R$1:$R$103</definedName>
    <definedName name="Year1_Swindon">'Year 1'!$S$1:$S$103</definedName>
    <definedName name="Year1_Torbay">'Year 1'!$T$1:$T$103</definedName>
    <definedName name="Year1_West_Berkshire">'Year 1'!$U$1:$U$103</definedName>
    <definedName name="Year1_West_Sussex">'Year 1'!$V$1:$V$103</definedName>
    <definedName name="Year1_Windsor_Maidenhead">'Year 1'!$W$1:$W$103</definedName>
    <definedName name="Year1_Wokingham">'Year 1'!$X$1:$X$103</definedName>
    <definedName name="Year2__electively_home_educated">'Year 2'!$A$101:$Z$101</definedName>
    <definedName name="Year2_16_17_NEET">'Year 2'!$A$94:$Z$94</definedName>
    <definedName name="Year2_16_17_not_known">'Year 2'!$A$96:$Z$96</definedName>
    <definedName name="Year2_16_17_participating_in_EET">'Year 2'!$A$95:$Z$95</definedName>
    <definedName name="Year2_Adoption_ceased_LAC">'Year 2'!$C$77:$Z$77</definedName>
    <definedName name="Year2_Adoption_LAC_Adopted">'Year 2'!$C$78:$Z$78</definedName>
    <definedName name="Year2_Adoption_LAC_Adopted_days">'Year 2'!$C$79:$Z$79</definedName>
    <definedName name="Year2_Adoption_LAC_Adopted_placed_with_12months">'Year 2'!$C$80:$Z$80</definedName>
    <definedName name="Year2_Adoption_PFA">'Year 2'!$C$76:$Z$76</definedName>
    <definedName name="Year2_Assessments">'Year 2'!$C$38:$Z$38</definedName>
    <definedName name="Year2_Assessments_10days">'Year 2'!$C$40:$Y$40</definedName>
    <definedName name="Year2_Assessments_11_25days">'Year 2'!$C$41:$Y$41</definedName>
    <definedName name="Year2_Assessments_26_35days">'Year 2'!$C$42:$Y$42</definedName>
    <definedName name="Year2_Assessments_36_45days">'Year 2'!$C$43:$Y$43</definedName>
    <definedName name="Year2_Assessments_No_further_action">'Year 2'!$C$46:$Z$46</definedName>
    <definedName name="Year2_Assessments_over_45days">'Year 2'!$C$44:$Y$44</definedName>
    <definedName name="Year2_Assessments_step_down">'Year 2'!$C$45:$Z$45</definedName>
    <definedName name="Year2_Assessments_within45days">'Year 2'!$C$102:$Z$102</definedName>
    <definedName name="Year2_Bracknell_Forest">'Year 2'!$C$1:$C$103</definedName>
    <definedName name="Year2_Brighton_Hove">'Year 2'!$D$1:$D$103</definedName>
    <definedName name="Year2_Buckinghamshire">'Year 2'!$E$1:$E$103</definedName>
    <definedName name="Year2_CAO_RO_FundedLA">'Year 2'!$C$89:$Z$89</definedName>
    <definedName name="Year2_CAO_RO_Total">'Year 2'!$C$88:$Z$88</definedName>
    <definedName name="Year2_Care_Leavers_16_18th_birthday">'Year 2'!$A$81:$Z$81</definedName>
    <definedName name="Year2_Care_Leavers_at_end_of_period">'Year 2'!$A$82:$Z$82</definedName>
    <definedName name="Year2_Care_Leavers_in_EET">'Year 2'!$A$85:$Z$85</definedName>
    <definedName name="Year2_Care_Leavers_in_suitable_accommodation">'Year 2'!$A$84:$Z$84</definedName>
    <definedName name="Year2_Care_Leavers_in_touch">'Year 2'!$A$83:$Z$83</definedName>
    <definedName name="Year2_Children_missing_Education">'Year 2'!$A$100:$Z$100</definedName>
    <definedName name="Year2_CIN">'Year 2'!$C$47:$Z$47</definedName>
    <definedName name="Year2_CIN_Section47">'Year 2'!$C$48:$Z$48</definedName>
    <definedName name="Year2_Contacts">'Year 2'!$A$2:$Z$2</definedName>
    <definedName name="Year2_Continuous_assessments">'Year 2'!$C$103:$Z$103</definedName>
    <definedName name="Year2_CP_Conference">'Year 2'!$C$49:$Z$49</definedName>
    <definedName name="Year2_CP_Conference_within15days">'Year 2'!$C$50:$Z$50</definedName>
    <definedName name="Year2_CP_Plans">'Year 2'!$C$51:$Z$51</definedName>
    <definedName name="Year2_CP_Plans_3months">'Year 2'!$C$52:$Z$52</definedName>
    <definedName name="Year2_CP_Plans_3months_timescales">'Year 2'!$C$53:$Z$53</definedName>
    <definedName name="Year2_CP_Plans_became_subject">'Year 2'!$C$57:$Z$57</definedName>
    <definedName name="Year2_CP_Plans_became_subject_second">'Year 2'!$C$58:$Z$58</definedName>
    <definedName name="Year2_CP_Plans_became_subject_second_2years">'Year 2'!$C$59:$Z$59</definedName>
    <definedName name="Year2_CP_Plans_ceased">'Year 2'!$C$55:$Z$55</definedName>
    <definedName name="Year2_CP_Plans_ceased_2years">'Year 2'!$C$56:$Z$56</definedName>
    <definedName name="Year2_CP_Plans_Seen_in_Timescales">'Year 2'!$A$54:$Z$54</definedName>
    <definedName name="Year2_EarlyHelpAssessments">'Year 2'!$C$7:$Z$7</definedName>
    <definedName name="Year2_EarlyHelpAssessmentsOngoing">'Year 2'!$C$9:$Z$9</definedName>
    <definedName name="Year2_EarlyHelpAssessmentsStepUp">'Year 2'!$C$10:$Z$10</definedName>
    <definedName name="Year2_EarlyHelpedChildren">'Year 2'!$C$11:$Z$11</definedName>
    <definedName name="Year2_EarlyHelpReferrals">'Year 2'!$C$3:$Z$3</definedName>
    <definedName name="Year2_EarlyHelpReferralsOntoASSESSMENT">'Year 2'!$C$5:$Z$5</definedName>
    <definedName name="Year2_EarlyHelpReferralsSTEPDOWN">'Year 2'!$C$4:$Z$4</definedName>
    <definedName name="Year2_EarlyHelpReReferrals">'Year 2'!$C$6:$Z$6</definedName>
    <definedName name="Year2_East_Sussex">'Year 2'!$F$1:$F$103</definedName>
    <definedName name="Year2_England">'Year 2'!$Z$1:$Z$103</definedName>
    <definedName name="Year2_First_Time_Entrants_to_Youth_Justice_system">'Year 2'!$A$97:$Z$97</definedName>
    <definedName name="Year2_Hampshire">'Year 2'!$G$1:$G$103</definedName>
    <definedName name="Year2_Isle_of_Wight">'Year 2'!$H$1:$H$103</definedName>
    <definedName name="Year2_Juvenile_Offenders__Age_10_17">'Year 2'!$A$98:$Z$98</definedName>
    <definedName name="Year2_Juvenile_Re_offenders__Age_10_17">'Year 2'!$A$99:$Z$99</definedName>
    <definedName name="Year2_Kent">'Year 2'!$I$1:$I$103</definedName>
    <definedName name="Year2_LAC">'Year 2'!$C$60:$Z$60</definedName>
    <definedName name="Year2_LAC_10to15">'Year 2'!$A$71:$Z$71</definedName>
    <definedName name="Year2_LAC_16plus">'Year 2'!$A$72:$Z$72</definedName>
    <definedName name="Year2_LAC_1to4">'Year 2'!$A$69:$Z$69</definedName>
    <definedName name="Year2_LAC_3_or_more_Placements">'Year 2'!$A$65:$Z$65</definedName>
    <definedName name="Year2_LAC_4weeks">'Year 2'!$A$66:$Z$66</definedName>
    <definedName name="Year2_LAC_4weeks_reviews_in_timescales">'Year 2'!$A$67:$Z$67</definedName>
    <definedName name="Year2_LAC_5to9">'Year 2'!$A$70:$Z$70</definedName>
    <definedName name="Year2_LAC_Remanded">'Year 2'!$A$75:$Z$75</definedName>
    <definedName name="Year2_LAC_Start">'Year 2'!$A$73:$Z$73</definedName>
    <definedName name="Year2_LAC_Start_2nd_time">'Year 2'!$A$74:$Z$74</definedName>
    <definedName name="Year2_LAC_UASC">'Year 2'!$A$64:$Z$64</definedName>
    <definedName name="Year2_LAC_Under1">'Year 2'!$A$68:$Z$68</definedName>
    <definedName name="Year2_LAC_under16">'Year 2'!$C$61:$Z$61</definedName>
    <definedName name="Year2_LAC_under16_2.5years">'Year 2'!$C$62:$Z$62</definedName>
    <definedName name="Year2_LAC_under16_2.5years_sameplacement2years">'Year 2'!$C$63:$Z$63</definedName>
    <definedName name="Year2_Medway">'Year 2'!$J$1:$J$103</definedName>
    <definedName name="Year2_Milton_Keynes">'Year 2'!$K$1:$K$103</definedName>
    <definedName name="Year2_New_EHC__within_20_weeks">'Year 2'!$A$93:$Z$93</definedName>
    <definedName name="Year2_Number_EHC_Plans">'Year 2'!$A$92:$Z$92</definedName>
    <definedName name="Year2_Oxfordshire">'Year 2'!$L$1:$L$103</definedName>
    <definedName name="Year2_Portsmouth">'Year 2'!$M$1:$M$103</definedName>
    <definedName name="Year2_Reading">'Year 2'!$N$1:$N$103</definedName>
    <definedName name="Year2_Referrals">'Year 2'!$C$12:$Z$12</definedName>
    <definedName name="Year2_ReferralsAssessment">'Year 2'!$C$14:$Z$14</definedName>
    <definedName name="Year2_ReferralSource_Anonymous">'Year 2'!$C$35:$Y$35</definedName>
    <definedName name="Year2_ReferralSource_EducationServices">'Year 2'!$C$21:$Y$21</definedName>
    <definedName name="Year2_ReferralSource_Health_services_AE">'Year 2'!$C$26:$Y$26</definedName>
    <definedName name="Year2_ReferralSource_Health_services_GP">'Year 2'!$C$22:$Y$22</definedName>
    <definedName name="Year2_ReferralSource_Health_services_HealthVisitor">'Year 2'!$C$23:$Y$23</definedName>
    <definedName name="Year2_ReferralSource_Health_services_Other">'Year 2'!$C$27:$Y$27</definedName>
    <definedName name="Year2_ReferralSource_Health_services_OthPrimary">'Year 2'!$C$25:$Y$25</definedName>
    <definedName name="Year2_ReferralSource_Health_services_SchoolNurse">'Year 2'!$C$24:$Y$24</definedName>
    <definedName name="Year2_ReferralSource_Housing">'Year 2'!$C$28:$Y$28</definedName>
    <definedName name="Year2_ReferralSource_Individual_Acquaintance">'Year 2'!$C$17:$Y$17</definedName>
    <definedName name="Year2_ReferralSource_Individual_Family">'Year 2'!$C$16:$Y$16</definedName>
    <definedName name="Year2_ReferralSource_Individual_Other">'Year 2'!$C$19:$Y$19</definedName>
    <definedName name="Year2_ReferralSource_Individual_Self">'Year 2'!$C$18:$Y$18</definedName>
    <definedName name="Year2_ReferralSource_LA_External">'Year 2'!$C$31:$Y$31</definedName>
    <definedName name="Year2_ReferralSource_LA_Other">'Year 2'!$C$30:$Y$30</definedName>
    <definedName name="Year2_ReferralSource_LA_SC">'Year 2'!$C$29:$Y$29</definedName>
    <definedName name="Year2_ReferralSource_Other">'Year 2'!$C$34:$Y$34</definedName>
    <definedName name="Year2_ReferralSource_Other_Legal">'Year 2'!$C$33:$Y$33</definedName>
    <definedName name="Year2_ReferralSource_Police">'Year 2'!$C$32:$Y$32</definedName>
    <definedName name="Year2_ReferralSource_School">'Year 2'!$C$20:$Y$20</definedName>
    <definedName name="Year2_ReferralSource_Unknown">'Year 2'!$C$36:$Y$36</definedName>
    <definedName name="Year2_ReferralsPriorEH">'Year 2'!$C$13:$Z$13</definedName>
    <definedName name="Year2_ReReferrals">'Year 2'!$C$37:$Z$37</definedName>
    <definedName name="Year2_ROSGO_ceased_LAC_CAO">'Year 2'!$A$86:$Z$86</definedName>
    <definedName name="Year2_ROSGO_ceased_LAC_SGO">'Year 2'!$A$87:$Z$87</definedName>
    <definedName name="Year2_SGO_fundedLA">'Year 2'!$C$91:$Z$91</definedName>
    <definedName name="Year2_SGO_total">'Year 2'!$C$90:$Z$90</definedName>
    <definedName name="Year2_Slough">'Year 2'!$O$1:$O$103</definedName>
    <definedName name="Year2_Somerset">'Year 2'!$P$1:$P$103</definedName>
    <definedName name="Year2_Southampton">'Year 2'!$Q$1:$Q$103</definedName>
    <definedName name="Year2_SouthEast">'Year 2'!$Y$1:$Y$103</definedName>
    <definedName name="Year2_Surrey">'Year 2'!$R$1:$R$103</definedName>
    <definedName name="Year2_Swindon">'Year 2'!$S$1:$S$103</definedName>
    <definedName name="Year2_Torbay">'Year 2'!$T$1:$T$103</definedName>
    <definedName name="Year2_West_Berkshire">'Year 2'!$U$1:$U$103</definedName>
    <definedName name="Year2_West_Sussex">'Year 2'!$V$1:$V$103</definedName>
    <definedName name="Year2_Windsor_Maidenhead">'Year 2'!$W$1:$W$103</definedName>
    <definedName name="Year2_Wokingham">'Year 2'!$X$1:$X$103</definedName>
    <definedName name="Year3__electively_home_educated">'Year 3'!$A$101:$Z$101</definedName>
    <definedName name="Year3_16_17_NEET">'Year 3'!$A$94:$Z$94</definedName>
    <definedName name="Year3_16_17_not_known">'Year 3'!$A$96:$Z$96</definedName>
    <definedName name="Year3_16_17_participating_in_EET">'Year 3'!$A$95:$Z$95</definedName>
    <definedName name="Year3_Adoption_ceased_LAC">'Year 3'!$C$77:$Z$77</definedName>
    <definedName name="Year3_Adoption_LAC_Adopted">'Year 3'!$C$78:$Z$78</definedName>
    <definedName name="Year3_Adoption_LAC_Adopted_days">'Year 3'!$C$79:$Z$79</definedName>
    <definedName name="Year3_Adoption_LAC_Adopted_placed_with_12months">'Year 3'!$C$80:$Z$80</definedName>
    <definedName name="Year3_Adoption_PFA">'Year 3'!$C$76:$Z$76</definedName>
    <definedName name="Year3_Assessments">'Year 3'!$C$38:$Z$38</definedName>
    <definedName name="Year3_Assessments_10days">'Year 3'!$C$40:$Y$40</definedName>
    <definedName name="Year3_Assessments_11_25days">'Year 3'!$C$41:$Y$41</definedName>
    <definedName name="Year3_Assessments_26_35days">'Year 3'!$C$42:$Y$42</definedName>
    <definedName name="Year3_Assessments_36_45days">'Year 3'!$C$43:$Y$43</definedName>
    <definedName name="Year3_Assessments_No_further_action">'Year 3'!$C$46:$Z$46</definedName>
    <definedName name="Year3_Assessments_over_45days">'Year 3'!$C$44:$Y$44</definedName>
    <definedName name="Year3_Assessments_step_down">'Year 3'!$C$45:$Z$45</definedName>
    <definedName name="Year3_Assessments_within45days">'Year 3'!$C$102:$Z$102</definedName>
    <definedName name="Year3_Bracknell_Forest">'Year 3'!$C$1:$C$103</definedName>
    <definedName name="Year3_Brighton_Hove">'Year 3'!$D$1:$D$103</definedName>
    <definedName name="Year3_Buckinghamshire">'Year 3'!$E$1:$E$103</definedName>
    <definedName name="Year3_CAO_RO_FundedLA">'Year 3'!$C$89:$Z$89</definedName>
    <definedName name="Year3_CAO_RO_Total">'Year 3'!$C$88:$Z$88</definedName>
    <definedName name="Year3_Care_Leavers_16_18th_birthday">'Year 3'!$A$81:$Z$81</definedName>
    <definedName name="Year3_Care_Leavers_at_end_of_period">'Year 3'!$A$82:$Z$82</definedName>
    <definedName name="Year3_Care_Leavers_in_EET">'Year 3'!$A$85:$Z$85</definedName>
    <definedName name="Year3_Care_Leavers_in_suitable_accommodation">'Year 3'!$A$84:$Z$84</definedName>
    <definedName name="Year3_Care_Leavers_in_touch">'Year 3'!$A$83:$Z$83</definedName>
    <definedName name="Year3_Children_missing_Education">'Year 3'!$A$100:$Z$100</definedName>
    <definedName name="Year3_CIN">'Year 3'!$C$47:$Z$47</definedName>
    <definedName name="Year3_CIN_Section47">'Year 3'!$C$48:$Z$48</definedName>
    <definedName name="Year3_Contacts">'Year 3'!$A$2:$Z$2</definedName>
    <definedName name="Year3_Continuous_assessments">'Year 3'!$C$103:$Z$103</definedName>
    <definedName name="Year3_CP_Conference">'Year 3'!$C$49:$Z$49</definedName>
    <definedName name="Year3_CP_Conference_within15days">'Year 3'!$C$50:$Z$50</definedName>
    <definedName name="Year3_CP_Plans">'Year 3'!$C$51:$Z$51</definedName>
    <definedName name="Year3_CP_Plans_3months">'Year 3'!$C$52:$Z$52</definedName>
    <definedName name="Year3_CP_Plans_3months_timescales">'Year 3'!$C$53:$Z$53</definedName>
    <definedName name="Year3_CP_Plans_became_subject">'Year 3'!$C$57:$Z$57</definedName>
    <definedName name="Year3_CP_Plans_became_subject_second">'Year 3'!$C$58:$Z$58</definedName>
    <definedName name="Year3_CP_Plans_became_subject_second_2years">'Year 3'!$C$59:$Z$59</definedName>
    <definedName name="Year3_CP_Plans_ceased">'Year 3'!$C$55:$Z$55</definedName>
    <definedName name="Year3_CP_Plans_ceased_2years">'Year 3'!$C$56:$Z$56</definedName>
    <definedName name="Year3_CP_Plans_Seen_in_Timescales">'Year 3'!$A$54:$Z$54</definedName>
    <definedName name="Year3_EarlyHelpAssessments">'Year 3'!$C$7:$Z$7</definedName>
    <definedName name="Year3_EarlyHelpAssessmentsOngoing">'Year 3'!$C$9:$Z$9</definedName>
    <definedName name="Year3_EarlyHelpAssessmentsStepUp">'Year 3'!$C$10:$Z$10</definedName>
    <definedName name="Year3_EarlyHelpedChildren">'Year 3'!$C$11:$Z$11</definedName>
    <definedName name="Year3_EarlyHelpReferrals">'Year 3'!$C$3:$Z$3</definedName>
    <definedName name="Year3_EarlyHelpReferralsOntoASSESSMENT">'Year 3'!$C$5:$Z$5</definedName>
    <definedName name="Year3_EarlyHelpReferralsSTEPDOWN">'Year 3'!$C$4:$Z$4</definedName>
    <definedName name="Year3_EarlyHelpReReferrals">'Year 3'!$C$6:$Z$6</definedName>
    <definedName name="Year3_East_Sussex">'Year 3'!$F$1:$F$103</definedName>
    <definedName name="Year3_England">'Year 3'!$Z$1:$Z$103</definedName>
    <definedName name="Year3_First_Time_Entrants_to_Youth_Justice_system">'Year 3'!$A$97:$Z$97</definedName>
    <definedName name="Year3_Hampshire">'Year 3'!$G$1:$G$103</definedName>
    <definedName name="Year3_Isle_of_Wight">'Year 3'!$H$1:$H$103</definedName>
    <definedName name="Year3_Juvenile_Offenders__Age_10_17">'Year 3'!$A$98:$Z$98</definedName>
    <definedName name="Year3_Juvenile_Re_offenders__Age_10_17">'Year 3'!$A$99:$Z$99</definedName>
    <definedName name="Year3_Kent">'Year 3'!$I$1:$I$103</definedName>
    <definedName name="Year3_LAC">'Year 3'!$C$60:$Z$60</definedName>
    <definedName name="Year3_LAC_10to15">'Year 3'!$A$71:$Z$71</definedName>
    <definedName name="Year3_LAC_16plus">'Year 3'!$A$72:$Z$72</definedName>
    <definedName name="Year3_LAC_1to4">'Year 3'!$A$69:$Z$69</definedName>
    <definedName name="Year3_LAC_3_or_more_Placements">'Year 3'!$A$65:$Z$65</definedName>
    <definedName name="Year3_LAC_4weeks">'Year 3'!$A$66:$Z$66</definedName>
    <definedName name="Year3_LAC_4weeks_reviews_in_timescales">'Year 3'!$A$67:$Z$67</definedName>
    <definedName name="Year3_LAC_5to9">'Year 3'!$A$70:$Z$70</definedName>
    <definedName name="Year3_LAC_Remanded">'Year 3'!$A$75:$Z$75</definedName>
    <definedName name="Year3_LAC_Start">'Year 3'!$A$73:$Z$73</definedName>
    <definedName name="Year3_LAC_Start_2nd_time">'Year 3'!$A$74:$Z$74</definedName>
    <definedName name="Year3_LAC_UASC">'Year 3'!$C$64:$Z$64</definedName>
    <definedName name="Year3_LAC_Under1">'Year 3'!$A$68:$Z$68</definedName>
    <definedName name="Year3_LAC_under16">'Year 3'!$C$61:$Z$61</definedName>
    <definedName name="Year3_LAC_under16_2.5years">'Year 3'!$C$62:$Z$62</definedName>
    <definedName name="Year3_LAC_under16_2.5years_sameplacement2years">'Year 3'!$C$63:$Z$63</definedName>
    <definedName name="Year3_Medway">'Year 3'!$J$1:$J$103</definedName>
    <definedName name="Year3_Milton_Keynes">'Year 3'!$K$1:$K$103</definedName>
    <definedName name="Year3_New_EHC__within_20_weeks">'Year 3'!$A$93:$Z$93</definedName>
    <definedName name="Year3_Number_EHC_Plans">'Year 3'!$A$92:$Z$92</definedName>
    <definedName name="Year3_Oxfordshire">'Year 3'!$L$1:$L$103</definedName>
    <definedName name="Year3_Portsmouth">'Year 3'!$M$1:$M$103</definedName>
    <definedName name="Year3_Reading">'Year 3'!$N$1:$N$103</definedName>
    <definedName name="Year3_Referrals">'Year 3'!$C$12:$Z$12</definedName>
    <definedName name="Year3_ReferralsAssessment">'Year 3'!$C$14:$Z$14</definedName>
    <definedName name="Year3_ReferralSource_Anonymous">'Year 3'!$C$35:$Y$35</definedName>
    <definedName name="Year3_ReferralSource_EducationServices">'Year 3'!$C$21:$Y$21</definedName>
    <definedName name="Year3_ReferralSource_Health_services_AE">'Year 3'!$C$26:$Y$26</definedName>
    <definedName name="Year3_ReferralSource_Health_services_GP">'Year 3'!$C$22:$Y$22</definedName>
    <definedName name="Year3_ReferralSource_Health_services_HealthVisitor">'Year 3'!$C$23:$Y$23</definedName>
    <definedName name="Year3_ReferralSource_Health_services_Other">'Year 3'!$C$27:$Y$27</definedName>
    <definedName name="Year3_ReferralSource_Health_services_OthPrimary">'Year 3'!$C$25:$Y$25</definedName>
    <definedName name="Year3_ReferralSource_Health_services_SchoolNurse">'Year 3'!$C$24:$Y$24</definedName>
    <definedName name="Year3_ReferralSource_Housing">'Year 3'!$C$28:$Y$28</definedName>
    <definedName name="Year3_ReferralSource_Individual_Acquaintance">'Year 3'!$C$17:$Y$17</definedName>
    <definedName name="Year3_ReferralSource_Individual_Family">'Year 3'!$C$16:$Y$16</definedName>
    <definedName name="Year3_ReferralSource_Individual_Other">'Year 3'!$C$19:$Y$19</definedName>
    <definedName name="Year3_ReferralSource_Individual_Self">'Year 3'!$C$18:$Y$18</definedName>
    <definedName name="Year3_ReferralSource_LA_External">'Year 3'!$C$31:$Y$31</definedName>
    <definedName name="Year3_ReferralSource_LA_Other">'Year 3'!$C$30:$Y$30</definedName>
    <definedName name="Year3_ReferralSource_LA_SC">'Year 3'!$C$29:$Y$29</definedName>
    <definedName name="Year3_ReferralSource_Other">'Year 3'!$C$34:$Y$34</definedName>
    <definedName name="Year3_ReferralSource_Other_Legal">'Year 3'!$C$33:$Y$33</definedName>
    <definedName name="Year3_ReferralSource_Police">'Year 3'!$C$32:$Y$32</definedName>
    <definedName name="Year3_ReferralSource_School">'Year 3'!$C$20:$Y$20</definedName>
    <definedName name="Year3_ReferralSource_Unknown">'Year 3'!$C$36:$Y$36</definedName>
    <definedName name="Year3_ReferralsPriorEH">'Year 3'!$C$13:$Z$13</definedName>
    <definedName name="Year3_ReReferrals">'Year 3'!$C$37:$Z$37</definedName>
    <definedName name="Year3_ROSGO_ceased_LAC_CAO">'Year 3'!$A$86:$Z$86</definedName>
    <definedName name="Year3_ROSGO_ceased_LAC_SGO">'Year 3'!$A$87:$Z$87</definedName>
    <definedName name="Year3_SGO_fundedLA">'Year 3'!$C$91:$Z$91</definedName>
    <definedName name="Year3_SGO_total">'Year 3'!$C$90:$Z$90</definedName>
    <definedName name="Year3_Slough">'Year 3'!$O$1:$O$103</definedName>
    <definedName name="Year3_Somerset">'Year 3'!$P$1:$P$103</definedName>
    <definedName name="Year3_Southampton">'Year 3'!$Q$1:$Q$103</definedName>
    <definedName name="Year3_SouthEast">'Year 3'!$Y$1:$Y$103</definedName>
    <definedName name="Year3_Surrey">'Year 3'!$R$1:$R$103</definedName>
    <definedName name="Year3_Swindon">'Year 3'!$S$1:$S$103</definedName>
    <definedName name="Year3_Torbay">'Year 3'!$T$1:$T$103</definedName>
    <definedName name="Year3_West_Berkshire">'Year 3'!$U$1:$U$103</definedName>
    <definedName name="Year3_West_Sussex">'Year 3'!$V$1:$V$103</definedName>
    <definedName name="Year3_Windsor_Maidenhead">'Year 3'!$W$1:$W$103</definedName>
    <definedName name="Year3_Wokingham">'Year 3'!$X$1:$X$103</definedName>
    <definedName name="Year4__electively_home_educated">'Year 4'!$A$101:$Z$101</definedName>
    <definedName name="Year4_16_17_NEET">'Year 4'!$A$94:$Z$94</definedName>
    <definedName name="Year4_16_17_not_known">'Year 4'!$A$96:$Z$96</definedName>
    <definedName name="Year4_16_17_participating_in_EET">'Year 4'!$A$95:$Z$95</definedName>
    <definedName name="Year4_Adoption_ceased_LAC">'Year 4'!$C$77:$Z$77</definedName>
    <definedName name="Year4_Adoption_LAC_Adopted">'Year 4'!$C$78:$Z$78</definedName>
    <definedName name="Year4_Adoption_LAC_Adopted_days">'Year 4'!$C$79:$Z$79</definedName>
    <definedName name="Year4_Adoption_LAC_Adopted_placed_with_12months">'Year 4'!$C$80:$Z$80</definedName>
    <definedName name="Year4_Adoption_PFA">'Year 4'!$C$76:$Z$76</definedName>
    <definedName name="Year4_Assessments">'Year 4'!$C$38:$Z$38</definedName>
    <definedName name="Year4_Assessments_10days">'Year 4'!$C$40:$Z$40</definedName>
    <definedName name="Year4_Assessments_11_25days">'Year 4'!$C$41:$Z$41</definedName>
    <definedName name="Year4_Assessments_26_35days">'Year 4'!$C$42:$Z$42</definedName>
    <definedName name="Year4_Assessments_36_45days">'Year 4'!$C$43:$Z$43</definedName>
    <definedName name="Year4_Assessments_No_further_action">'Year 4'!$C$46:$Z$46</definedName>
    <definedName name="Year4_Assessments_over_45days">'Year 4'!$C$44:$Z$44</definedName>
    <definedName name="Year4_Assessments_step_down">'Year 4'!$C$45:$Z$45</definedName>
    <definedName name="Year4_Assessments_within45days" localSheetId="5">'Year 4'!$A$102:$Z$102</definedName>
    <definedName name="Year4_Assessments_within45days">'Year 4'!$C$102:$Z$102</definedName>
    <definedName name="Year4_Bracknell_Forest">'Year 4'!$C$1:$C$103</definedName>
    <definedName name="Year4_Brighton_Hove">'Year 4'!$D$1:$D$103</definedName>
    <definedName name="Year4_Buckinghamshire">'Year 4'!$E$1:$E$103</definedName>
    <definedName name="Year4_CAO_RO_FundedLA">'Year 4'!$C$89:$Z$89</definedName>
    <definedName name="Year4_CAO_RO_Total">'Year 4'!$C$88:$Z$88</definedName>
    <definedName name="Year4_Care_Leavers_16_18th_birthday">'Year 4'!$A$81:$Z$81</definedName>
    <definedName name="Year4_Care_Leavers_at_end_of_period">'Year 4'!$A$82:$Z$82</definedName>
    <definedName name="Year4_Care_Leavers_in_EET">'Year 4'!$A$85:$Z$85</definedName>
    <definedName name="Year4_Care_Leavers_in_suitable_accommodation">'Year 4'!$A$84:$Z$84</definedName>
    <definedName name="Year4_Care_Leavers_in_touch">'Year 4'!$A$83:$Z$83</definedName>
    <definedName name="Year4_Children_missing_Education">'Year 4'!$A$100:$Z$100</definedName>
    <definedName name="Year4_CIN">'Year 4'!$C$47:$Z$47</definedName>
    <definedName name="Year4_CIN_Section47">'Year 4'!$C$48:$Z$48</definedName>
    <definedName name="Year4_Contacts">'Year 4'!$A$2:$Z$2</definedName>
    <definedName name="Year4_Continuous_assessments">'Year 4'!$C$103:$Z$103</definedName>
    <definedName name="Year4_CP_Conference">'Year 4'!$C$49:$Z$49</definedName>
    <definedName name="Year4_CP_Conference_within15days">'Year 4'!$C$50:$Z$50</definedName>
    <definedName name="Year4_CP_Plans">'Year 4'!$C$51:$Z$51</definedName>
    <definedName name="Year4_CP_Plans_3months">'Year 4'!$C$52:$Z$52</definedName>
    <definedName name="Year4_CP_Plans_3months_timescales">'Year 4'!$C$53:$Z$53</definedName>
    <definedName name="Year4_CP_Plans_became_subject">'Year 4'!$C$57:$Z$57</definedName>
    <definedName name="Year4_CP_Plans_became_subject_second">'Year 4'!$C$58:$Z$58</definedName>
    <definedName name="Year4_CP_Plans_became_subject_second_2years">'Year 4'!$C$59:$Z$59</definedName>
    <definedName name="Year4_CP_Plans_ceased">'Year 4'!$C$55:$Z$55</definedName>
    <definedName name="Year4_CP_Plans_ceased_2years">'Year 4'!$C$56:$Z$56</definedName>
    <definedName name="Year4_CP_Plans_Seen_in_Timescales">'Year 4'!$A$54:$Z$54</definedName>
    <definedName name="Year4_EarlyHelpAssessments">'Year 4'!$C$7:$Z$7</definedName>
    <definedName name="Year4_EarlyHelpAssessmentsOngoing">'Year 4'!$C$9:$Z$9</definedName>
    <definedName name="Year4_EarlyHelpAssessmentsStepUp">'Year 4'!$C$10:$Z$10</definedName>
    <definedName name="Year4_EarlyHelpedChildren">'Year 4'!$C$11:$Z$11</definedName>
    <definedName name="Year4_EarlyHelpReferrals">'Year 4'!$C$3:$Z$3</definedName>
    <definedName name="Year4_EarlyHelpReferralsOntoASSESSMENT">'Year 4'!$C$5:$Z$5</definedName>
    <definedName name="Year4_EarlyHelpReferralsSTEPDOWN">'Year 4'!$C$4:$Z$4</definedName>
    <definedName name="Year4_EarlyHelpReReferrals">'Year 4'!$C$6:$Z$6</definedName>
    <definedName name="Year4_East_Sussex">'Year 4'!$F$1:$F$103</definedName>
    <definedName name="Year4_England">'Year 4'!$Z$1:$Z$103</definedName>
    <definedName name="Year4_First_Time_Entrants_to_Youth_Justice_system">'Year 4'!$A$97:$Z$97</definedName>
    <definedName name="Year4_Hampshire">'Year 4'!$G$1:$G$103</definedName>
    <definedName name="Year4_Isle_of_Wight">'Year 4'!$H$1:$H$103</definedName>
    <definedName name="Year4_Juvenile_Offenders__Age_10_17">'Year 4'!$A$98:$Z$98</definedName>
    <definedName name="Year4_Juvenile_Re_offenders__Age_10_17">'Year 4'!$A$99:$Z$99</definedName>
    <definedName name="Year4_Kent">'Year 4'!$I$1:$I$103</definedName>
    <definedName name="Year4_LAC">'Year 4'!$C$60:$Z$60</definedName>
    <definedName name="Year4_LAC_10to15">'Year 4'!$A$71:$Z$71</definedName>
    <definedName name="Year4_LAC_16plus">'Year 4'!$A$72:$Z$72</definedName>
    <definedName name="Year4_LAC_1to4">'Year 4'!$A$69:$Z$69</definedName>
    <definedName name="Year4_LAC_3_or_more_Placements">'Year 4'!$A$65:$Z$65</definedName>
    <definedName name="Year4_LAC_4weeks">'Year 4'!$A$66:$Z$66</definedName>
    <definedName name="Year4_LAC_4weeks_reviews_in_timescales">'Year 4'!$A$67:$Z$67</definedName>
    <definedName name="Year4_LAC_5to9">'Year 4'!$A$70:$Z$70</definedName>
    <definedName name="Year4_LAC_Remanded">'Year 4'!$A$75:$Z$75</definedName>
    <definedName name="Year4_LAC_Start">'Year 4'!$A$73:$Z$73</definedName>
    <definedName name="Year4_LAC_Start_2nd_time">'Year 4'!$A$74:$Z$74</definedName>
    <definedName name="Year4_LAC_UASC">'Year 4'!$C$64:$Z$64</definedName>
    <definedName name="Year4_LAC_Under1">'Year 4'!$A$68:$Z$68</definedName>
    <definedName name="Year4_LAC_under16">'Year 4'!$C$61:$Z$61</definedName>
    <definedName name="Year4_LAC_under16_2.5years">'Year 4'!$C$62:$Z$62</definedName>
    <definedName name="Year4_LAC_under16_2.5years_sameplacement2years">'Year 4'!$C$63:$Z$63</definedName>
    <definedName name="Year4_Medway">'Year 4'!$J$1:$J$103</definedName>
    <definedName name="Year4_Milton_Keynes">'Year 4'!$K$1:$K$103</definedName>
    <definedName name="Year4_New_EHC__within_20_weeks">'Year 4'!$A$93:$Z$93</definedName>
    <definedName name="Year4_Number_EHC_Plans">'Year 4'!$A$92:$Z$92</definedName>
    <definedName name="Year4_Oxfordshire">'Year 4'!$L$1:$L$103</definedName>
    <definedName name="Year4_Portsmouth">'Year 4'!$M$1:$M$103</definedName>
    <definedName name="Year4_Reading">'Year 4'!$N$1:$N$103</definedName>
    <definedName name="Year4_Referrals">'Year 4'!$C$12:$Z$12</definedName>
    <definedName name="Year4_ReferralsAssessment">'Year 4'!$C$14:$Z$14</definedName>
    <definedName name="Year4_ReferralSource_Anonymous">'Year 4'!$C$35:$Z$35</definedName>
    <definedName name="Year4_ReferralSource_EducationServices">'Year 4'!$C$21:$Z$21</definedName>
    <definedName name="Year4_ReferralSource_Health_services_AE">'Year 4'!$C$26:$Z$26</definedName>
    <definedName name="Year4_ReferralSource_Health_services_GP">'Year 4'!$C$22:$Z$22</definedName>
    <definedName name="Year4_ReferralSource_Health_services_HealthVisitor">'Year 4'!$C$23:$Z$23</definedName>
    <definedName name="Year4_ReferralSource_Health_services_Other">'Year 4'!$C$27:$Z$27</definedName>
    <definedName name="Year4_ReferralSource_Health_services_OthPrimary">'Year 4'!$C$25:$Z$25</definedName>
    <definedName name="Year4_ReferralSource_Health_services_SchoolNurse">'Year 4'!$C$24:$Z$24</definedName>
    <definedName name="Year4_ReferralSource_Housing">'Year 4'!$C$28:$Z$28</definedName>
    <definedName name="Year4_ReferralSource_Individual_Acquaintance">'Year 4'!$C$17:$Z$17</definedName>
    <definedName name="Year4_ReferralSource_Individual_Family">'Year 4'!$C$16:$Z$16</definedName>
    <definedName name="Year4_ReferralSource_Individual_Other">'Year 4'!$C$19:$Z$19</definedName>
    <definedName name="Year4_ReferralSource_Individual_Self">'Year 4'!$C$18:$Z$18</definedName>
    <definedName name="Year4_ReferralSource_LA_External">'Year 4'!$C$31:$Z$31</definedName>
    <definedName name="Year4_ReferralSource_LA_Other">'Year 4'!$C$30:$Z$30</definedName>
    <definedName name="Year4_ReferralSource_LA_SC">'Year 4'!$C$29:$Z$29</definedName>
    <definedName name="Year4_ReferralSource_Other">'Year 4'!$C$34:$Z$34</definedName>
    <definedName name="Year4_ReferralSource_Other_Legal">'Year 4'!$C$33:$Z$33</definedName>
    <definedName name="Year4_ReferralSource_Police">'Year 4'!$C$32:$Z$32</definedName>
    <definedName name="Year4_ReferralSource_School">'Year 4'!$C$20:$Z$20</definedName>
    <definedName name="Year4_ReferralSource_Unknown">'Year 4'!$C$36:$Z$36</definedName>
    <definedName name="Year4_ReferralsPriorEH">'Year 4'!$C$13:$Z$13</definedName>
    <definedName name="Year4_ReReferrals">'Year 4'!$C$37:$Z$37</definedName>
    <definedName name="Year4_ROSGO_ceased_LAC_CAO">'Year 4'!$A$86:$Z$86</definedName>
    <definedName name="Year4_ROSGO_ceased_LAC_SGO">'Year 4'!$A$87:$Z$87</definedName>
    <definedName name="Year4_SGO_fundedLA">'Year 4'!$C$91:$Z$91</definedName>
    <definedName name="Year4_SGO_total">'Year 4'!$C$90:$Z$90</definedName>
    <definedName name="Year4_Slough">'Year 4'!$O$1:$O$103</definedName>
    <definedName name="Year4_Somerset">'Year 4'!$P$1:$P$103</definedName>
    <definedName name="Year4_Southampton">'Year 4'!$Q$1:$Q$103</definedName>
    <definedName name="Year4_SouthEast">'Year 4'!$Y$1:$Y$103</definedName>
    <definedName name="Year4_Surrey">'Year 4'!$R$1:$R$103</definedName>
    <definedName name="Year4_Swindon">'Year 4'!$S$1:$S$103</definedName>
    <definedName name="Year4_Torbay">'Year 4'!$T$1:$T$103</definedName>
    <definedName name="Year4_West_Berkshire">'Year 4'!$U$1:$U$103</definedName>
    <definedName name="Year4_West_Sussex">'Year 4'!$V$1:$V$103</definedName>
    <definedName name="Year4_Windsor_Maidenhead">'Year 4'!$W$1:$W$103</definedName>
    <definedName name="Year4_Wokingham">'Year 4'!$X$1:$X$103</definedName>
    <definedName name="Year5__16_17__participating_in_EET">'Year 5'!$C$95:$Y$95</definedName>
    <definedName name="Year5__electively_home_educated">'Year 5'!$A$101:$Z$101</definedName>
    <definedName name="Year5_0_17_Population">'Year 5'!$C$105:$Z$105</definedName>
    <definedName name="Year5_16_17_NEET">'Year 5'!$A$94:$Z$94</definedName>
    <definedName name="Year5_16_17_not_known">'Year 5'!$A$96:$Z$96</definedName>
    <definedName name="Year5_Adoption_ceased_LAC">'Year 5'!$A$77:$Z$77</definedName>
    <definedName name="Year5_Adoption_LAC_Adopted">'Year 5'!$A$78:$Z$78</definedName>
    <definedName name="Year5_Adoption_LAC_Adopted_days">'Year 5'!$A$79:$Z$79</definedName>
    <definedName name="Year5_Adoption_LAC_Adopted_placed_with_12months">'Year 5'!$A$80:$Z$80</definedName>
    <definedName name="Year5_Adoption_PFA">'Year 5'!$A$76:$Z$76</definedName>
    <definedName name="Year5_Assessments">'Year 5'!$A$38:$Z$38</definedName>
    <definedName name="Year5_Assessments_10days">'Year 5'!$A$40:$Z$40</definedName>
    <definedName name="Year5_Assessments_11_25days">'Year 5'!$A$41:$Z$41</definedName>
    <definedName name="Year5_Assessments_26_35days">'Year 5'!$A$42:$Z$42</definedName>
    <definedName name="Year5_Assessments_36_45days">'Year 5'!$A$43:$Z$43</definedName>
    <definedName name="Year5_Assessments_No_further_action">'Year 5'!$A$46:$Z$46</definedName>
    <definedName name="Year5_Assessments_over_45days">'Year 5'!$A$44:$Z$44</definedName>
    <definedName name="Year5_Assessments_step_down">'Year 5'!$A$45:$Z$45</definedName>
    <definedName name="Year5_Assessments_within45days">'Year 5'!$A$102:$Z$102</definedName>
    <definedName name="Year5_Bracknell_Forest">'Year 5'!$C$1:$C$131</definedName>
    <definedName name="Year5_Brighton_Hove">'Year 5'!$D$1:$D$131</definedName>
    <definedName name="Year5_Buckinghamshire">'Year 5'!$E$1:$E$131</definedName>
    <definedName name="Year5_CAO_RO_FundedLA">'Year 5'!$A$89:$Z$89</definedName>
    <definedName name="Year5_CAO_RO_Total">'Year 5'!$A$88:$Z$88</definedName>
    <definedName name="Year5_Care_Leavers_16_18th_birthday">'Year 5'!$A$81:$Z$81</definedName>
    <definedName name="Year5_Care_Leavers_at_end_of_period">'Year 5'!$A$82:$Z$82</definedName>
    <definedName name="Year5_Care_Leavers_in_EET">'Year 5'!$A$85:$Z$85</definedName>
    <definedName name="Year5_Care_Leavers_in_suitable_accommodation">'Year 5'!$A$84:$Z$84</definedName>
    <definedName name="Year5_Care_Leavers_in_touch">'Year 5'!$A$83:$Z$83</definedName>
    <definedName name="Year5_Children_missing_Education">'Year 5'!$A$100:$Z$100</definedName>
    <definedName name="Year5_CIN">'Year 5'!$A$47:$Z$47</definedName>
    <definedName name="Year5_CIN_Section47">'Year 5'!$A$48:$Z$48</definedName>
    <definedName name="Year5_Contacts">'Year 5'!$A$2:$Z$2</definedName>
    <definedName name="Year5_Continuous_assessments">'Year 5'!$A$38:$Z$38</definedName>
    <definedName name="Year5_CP_Conference">'Year 5'!$A$49:$Z$49</definedName>
    <definedName name="Year5_CP_Conference_within15days">'Year 5'!$A$50:$Z$50</definedName>
    <definedName name="Year5_CP_Plans">'Year 5'!$A$51:$Z$51</definedName>
    <definedName name="Year5_CP_Plans_3months">'Year 5'!$A$52:$Z$52</definedName>
    <definedName name="Year5_CP_Plans_3months_timescales">'Year 5'!$A$53:$Z$53</definedName>
    <definedName name="Year5_CP_Plans_became_subject">'Year 5'!$A$57:$Z$57</definedName>
    <definedName name="Year5_CP_Plans_became_subject_second">'Year 5'!$A$58:$Z$58</definedName>
    <definedName name="Year5_CP_Plans_became_subject_second_2years">'Year 5'!$A$59:$Z$59</definedName>
    <definedName name="Year5_CP_Plans_ceased">'Year 5'!$A$55:$Z$55</definedName>
    <definedName name="Year5_CP_Plans_ceased_2years">'Year 5'!$A$56:$Z$56</definedName>
    <definedName name="Year5_CP_Plans_Seen_in_Timescales">'Year 5'!$A$54:$Z$54</definedName>
    <definedName name="Year5_EarlyHelpAssessments">'Year 5'!$A$7:$Z$7</definedName>
    <definedName name="Year5_EarlyHelpAssessmentsOngoing">'Year 5'!$A$9:$Z$9</definedName>
    <definedName name="Year5_EarlyHelpAssessmentsStepUp">'Year 5'!$A$10:$Z$10</definedName>
    <definedName name="Year5_EarlyHelpedChildren">'Year 5'!$A$11:$Z$11</definedName>
    <definedName name="Year5_EarlyHelpReferrals">'Year 5'!$A$3:$Z$3</definedName>
    <definedName name="Year5_EarlyHelpReferralsOntoASSESSMENT">'Year 5'!$A$5:$Z$5</definedName>
    <definedName name="Year5_EarlyHelpReferralsSTEPDOWN">'Year 5'!$A$4:$Z$4</definedName>
    <definedName name="Year5_EarlyHelpReReferrals">'Year 5'!$A$6:$Z$6</definedName>
    <definedName name="Year5_East_Sussex">'Year 5'!$F$1:$F$131</definedName>
    <definedName name="Year5_England">'Year 5'!$Z$1:$Z$103</definedName>
    <definedName name="Year5_First_Time_Entrants_to_Youth_Justice_system">'Year 5'!$A$97:$Z$97</definedName>
    <definedName name="Year5_Hampshire">'Year 5'!$G$1:$G$131</definedName>
    <definedName name="Year5_Isle_of_Wight">'Year 5'!$H$1:$H$131</definedName>
    <definedName name="Year5_Juvenile_Offenders__Age_10_17">'Year 5'!$A$98:$Z$98</definedName>
    <definedName name="Year5_Juvenile_Re_offenders__Age_10_17">'Year 5'!$A$99:$Z$99</definedName>
    <definedName name="Year5_Kent">'Year 5'!$I$1:$I$131</definedName>
    <definedName name="Year5_LAC">'Year 5'!$A$60:$Z$60</definedName>
    <definedName name="Year5_LAC_10to15">'Year 5'!$A$71:$Z$71</definedName>
    <definedName name="Year5_LAC_16plus">'Year 5'!$A$72:$Z$72</definedName>
    <definedName name="Year5_LAC_1to4">'Year 5'!$A$69:$Z$69</definedName>
    <definedName name="Year5_LAC_3_or_more_Placements">'Year 5'!$A$65:$Z$65</definedName>
    <definedName name="Year5_LAC_4weeks">'Year 5'!$A$66:$Z$66</definedName>
    <definedName name="Year5_LAC_4weeks_reviews_in_timescales">'Year 5'!$A$67:$Z$67</definedName>
    <definedName name="Year5_LAC_5to9">'Year 5'!$A$70:$Z$70</definedName>
    <definedName name="Year5_LAC_Remanded">'Year 5'!$A$75:$Z$75</definedName>
    <definedName name="Year5_LAC_Start">'Year 5'!$A$73:$Z$73</definedName>
    <definedName name="Year5_LAC_Start_2nd_time">'Year 5'!$A$74:$Z$74</definedName>
    <definedName name="Year5_LAC_UASC">'Year 5'!$A$64:$Z$64</definedName>
    <definedName name="Year5_LAC_Under1">'Year 5'!$A$68:$Z$68</definedName>
    <definedName name="Year5_LAC_under16">'Year 5'!$A$61:$Z$61</definedName>
    <definedName name="Year5_LAC_under16_2.5years">'Year 5'!$A$62:$Z$62</definedName>
    <definedName name="Year5_LAC_under16_2.5years_sameplacement2years">'Year 5'!$A$63:$Z$63</definedName>
    <definedName name="Year5_Medway">'Year 5'!$J$1:$J$131</definedName>
    <definedName name="Year5_Milton_Keynes">'Year 5'!$K$1:$K$131</definedName>
    <definedName name="Year5_New_EHC__within_20_weeks">'Year 5'!$A$93:$Z$93</definedName>
    <definedName name="Year5_Number_EHC_Plans">'Year 5'!$A$92:$Z$92</definedName>
    <definedName name="Year5_Oxfordshire">'Year 5'!$L$1:$L$131</definedName>
    <definedName name="Year5_Portsmouth">'Year 5'!$M$1:$M$131</definedName>
    <definedName name="Year5_Reading">'Year 5'!$N$1:$N$131</definedName>
    <definedName name="Year5_Referrals">'Year 5'!$A$12:$Z$12</definedName>
    <definedName name="Year5_ReferralsAssessment">'Year 5'!$A$14:$Z$14</definedName>
    <definedName name="Year5_ReferralSource_Anonymous">'Year 5'!$A$35:$Z$35</definedName>
    <definedName name="Year5_ReferralSource_EducationServices">'Year 5'!$A$21:$Z$21</definedName>
    <definedName name="Year5_ReferralSource_Health_services_AE">'Year 5'!$A$26:$Z$26</definedName>
    <definedName name="Year5_ReferralSource_Health_services_GP">'Year 5'!$A$22:$Z$22</definedName>
    <definedName name="Year5_ReferralSource_Health_services_HealthVisitor">'Year 5'!$A$23:$Z$23</definedName>
    <definedName name="Year5_ReferralSource_Health_services_Other">'Year 5'!$A$27:$Z$27</definedName>
    <definedName name="Year5_ReferralSource_Health_services_OthPrimary">'Year 5'!$A$25:$Z$25</definedName>
    <definedName name="Year5_ReferralSource_Health_services_SchoolNurse">'Year 5'!$A$24:$Z$24</definedName>
    <definedName name="Year5_ReferralSource_Housing">'Year 5'!$A$28:$Z$28</definedName>
    <definedName name="Year5_ReferralSource_Individual_Acquaintance">'Year 5'!$A$17:$Z$17</definedName>
    <definedName name="Year5_ReferralSource_Individual_Family">'Year 5'!$A$16:$Z$16</definedName>
    <definedName name="Year5_ReferralSource_Individual_Other">'Year 5'!$A$19:$Z$19</definedName>
    <definedName name="Year5_ReferralSource_Individual_Self">'Year 5'!$A$18:$Z$18</definedName>
    <definedName name="Year5_ReferralSource_LA_External">'Year 5'!$A$31:$Z$31</definedName>
    <definedName name="Year5_ReferralSource_LA_Other">'Year 5'!$A$30:$Z$30</definedName>
    <definedName name="Year5_ReferralSource_LA_SC">'Year 5'!$A$29:$Z$29</definedName>
    <definedName name="Year5_ReferralSource_Other">'Year 5'!$A$34:$Z$34</definedName>
    <definedName name="Year5_ReferralSource_Other_Legal">'Year 5'!$A$33:$Z$33</definedName>
    <definedName name="Year5_ReferralSource_Police">'Year 5'!$A$32:$Z$32</definedName>
    <definedName name="Year5_ReferralSource_School">'Year 5'!$A$20:$Z$20</definedName>
    <definedName name="Year5_ReferralSource_Unknown">'Year 5'!$A$36:$Z$36</definedName>
    <definedName name="Year5_ReferralsPriorEH">'Year 5'!$A$13:$Z$13</definedName>
    <definedName name="Year5_ReReferrals">'Year 5'!$A$37:$Z$37</definedName>
    <definedName name="Year5_ROSGO_ceased_LAC_CAO">'Year 5'!$A$86:$Z$86</definedName>
    <definedName name="Year5_ROSGO_ceased_LAC_SGO">'Year 5'!$A$87:$Z$87</definedName>
    <definedName name="Year5_SGO_fundedLA">'Year 5'!$A$91:$Z$91</definedName>
    <definedName name="Year5_SGO_total">'Year 5'!$A$90:$Z$90</definedName>
    <definedName name="Year5_Slough">'Year 5'!$O$1:$O$131</definedName>
    <definedName name="Year5_Somerset">'Year 5'!$P$1:$P$131</definedName>
    <definedName name="Year5_Southampton">'Year 5'!$Q$1:$Q$131</definedName>
    <definedName name="Year5_SouthEast">'Year 5'!$Y$1:$Y$131</definedName>
    <definedName name="Year5_Surrey">'Year 5'!$R$1:$R$131</definedName>
    <definedName name="Year5_Swindon">'Year 5'!$S$1:$S$131</definedName>
    <definedName name="Year5_Torbay">'Year 5'!$T$1:$T$131</definedName>
    <definedName name="Year5_West_Berkshire">'Year 5'!$U$1:$U$131</definedName>
    <definedName name="Year5_West_Sussex">'Year 5'!$V$1:$V$131</definedName>
    <definedName name="Year5_Windsor_Maidenhead">'Year 5'!$W$1:$W$131</definedName>
    <definedName name="Year5_Wokingham">'Year 5'!$X$1:$X$131</definedName>
  </definedNames>
  <calcPr calcId="145621"/>
</workbook>
</file>

<file path=xl/calcChain.xml><?xml version="1.0" encoding="utf-8"?>
<calcChain xmlns="http://schemas.openxmlformats.org/spreadsheetml/2006/main">
  <c r="A176" i="70" l="1"/>
  <c r="A106" i="70"/>
  <c r="H145" i="70" l="1"/>
  <c r="E145" i="70"/>
  <c r="F145" i="70"/>
  <c r="G145" i="70"/>
  <c r="D145" i="70"/>
  <c r="BN40" i="70"/>
  <c r="BO40" i="70"/>
  <c r="BP40" i="70"/>
  <c r="BQ40" i="70"/>
  <c r="BM40" i="70"/>
  <c r="BL40" i="70"/>
  <c r="BK40" i="70"/>
  <c r="BJ40" i="70"/>
  <c r="BI40" i="70"/>
  <c r="BH40" i="70"/>
  <c r="AD169" i="70"/>
  <c r="AC169" i="70"/>
  <c r="AB169" i="70"/>
  <c r="AA169" i="70"/>
  <c r="Z169" i="70"/>
  <c r="AD168" i="70"/>
  <c r="AC168" i="70"/>
  <c r="AA168" i="70"/>
  <c r="AD167" i="70"/>
  <c r="AC167" i="70"/>
  <c r="AB167" i="70"/>
  <c r="AA167" i="70"/>
  <c r="Z167" i="70"/>
  <c r="AD166" i="70"/>
  <c r="AC166" i="70"/>
  <c r="AB166" i="70"/>
  <c r="AA166" i="70"/>
  <c r="Z166" i="70"/>
  <c r="AD165" i="70"/>
  <c r="AC165" i="70"/>
  <c r="AB165" i="70"/>
  <c r="AA165" i="70"/>
  <c r="Z165" i="70"/>
  <c r="AD164" i="70"/>
  <c r="AC164" i="70"/>
  <c r="AB164" i="70"/>
  <c r="AA164" i="70"/>
  <c r="Z164" i="70"/>
  <c r="AD163" i="70"/>
  <c r="AC163" i="70"/>
  <c r="AB163" i="70"/>
  <c r="AA163" i="70"/>
  <c r="Z163" i="70"/>
  <c r="AD162" i="70"/>
  <c r="AC162" i="70"/>
  <c r="AB162" i="70"/>
  <c r="AA162" i="70"/>
  <c r="Z162" i="70"/>
  <c r="AD161" i="70"/>
  <c r="AC161" i="70"/>
  <c r="AB161" i="70"/>
  <c r="AA161" i="70"/>
  <c r="Z161" i="70"/>
  <c r="AD160" i="70"/>
  <c r="AC160" i="70"/>
  <c r="AB160" i="70"/>
  <c r="AA160" i="70"/>
  <c r="Z160" i="70"/>
  <c r="AD159" i="70"/>
  <c r="AC159" i="70"/>
  <c r="AB159" i="70"/>
  <c r="AA159" i="70"/>
  <c r="Z159" i="70"/>
  <c r="AD158" i="70"/>
  <c r="AC158" i="70"/>
  <c r="AB158" i="70"/>
  <c r="AA158" i="70"/>
  <c r="Z158" i="70"/>
  <c r="AD157" i="70"/>
  <c r="AC157" i="70"/>
  <c r="AB157" i="70"/>
  <c r="AA157" i="70"/>
  <c r="Z157" i="70"/>
  <c r="AD156" i="70"/>
  <c r="AC156" i="70"/>
  <c r="AB156" i="70"/>
  <c r="AA156" i="70"/>
  <c r="Z156" i="70"/>
  <c r="AD155" i="70"/>
  <c r="AC155" i="70"/>
  <c r="AB155" i="70"/>
  <c r="AA155" i="70"/>
  <c r="Z155" i="70"/>
  <c r="AD154" i="70"/>
  <c r="AC154" i="70"/>
  <c r="AB154" i="70"/>
  <c r="AA154" i="70"/>
  <c r="Z154" i="70"/>
  <c r="AD153" i="70"/>
  <c r="AC153" i="70"/>
  <c r="AB153" i="70"/>
  <c r="AA153" i="70"/>
  <c r="Z153" i="70"/>
  <c r="AD152" i="70"/>
  <c r="AC152" i="70"/>
  <c r="AB152" i="70"/>
  <c r="AA152" i="70"/>
  <c r="Z152" i="70"/>
  <c r="AD151" i="70"/>
  <c r="AC151" i="70"/>
  <c r="AB151" i="70"/>
  <c r="AA151" i="70"/>
  <c r="Z151" i="70"/>
  <c r="AD150" i="70"/>
  <c r="AC150" i="70"/>
  <c r="AB150" i="70"/>
  <c r="AA150" i="70"/>
  <c r="Z150" i="70"/>
  <c r="AD149" i="70"/>
  <c r="AC149" i="70"/>
  <c r="AB149" i="70"/>
  <c r="AA149" i="70"/>
  <c r="Z149" i="70"/>
  <c r="AD148" i="70"/>
  <c r="AC148" i="70"/>
  <c r="AB148" i="70"/>
  <c r="AA148" i="70"/>
  <c r="Z148" i="70"/>
  <c r="AD147" i="70"/>
  <c r="AC147" i="70"/>
  <c r="AB147" i="70"/>
  <c r="AA147" i="70"/>
  <c r="Z147" i="70"/>
  <c r="AD146" i="70"/>
  <c r="AC146" i="70"/>
  <c r="AB146" i="70"/>
  <c r="AA146" i="70"/>
  <c r="Z146" i="70"/>
  <c r="A141" i="70"/>
  <c r="AD134" i="70"/>
  <c r="AC134" i="70"/>
  <c r="AB134" i="70"/>
  <c r="AA134" i="70"/>
  <c r="Z134" i="70"/>
  <c r="AD133" i="70"/>
  <c r="AC133" i="70"/>
  <c r="AB133" i="70"/>
  <c r="AA133" i="70"/>
  <c r="Z133" i="70"/>
  <c r="AD132" i="70"/>
  <c r="AC132" i="70"/>
  <c r="AB132" i="70"/>
  <c r="AA132" i="70"/>
  <c r="Z132" i="70"/>
  <c r="AD131" i="70"/>
  <c r="AC131" i="70"/>
  <c r="AB131" i="70"/>
  <c r="AA131" i="70"/>
  <c r="Z131" i="70"/>
  <c r="AD130" i="70"/>
  <c r="AC130" i="70"/>
  <c r="AB130" i="70"/>
  <c r="AA130" i="70"/>
  <c r="Z130" i="70"/>
  <c r="AD129" i="70"/>
  <c r="AC129" i="70"/>
  <c r="AB129" i="70"/>
  <c r="AA129" i="70"/>
  <c r="Z129" i="70"/>
  <c r="AD128" i="70"/>
  <c r="AC128" i="70"/>
  <c r="AB128" i="70"/>
  <c r="AA128" i="70"/>
  <c r="Z128" i="70"/>
  <c r="AD127" i="70"/>
  <c r="AC127" i="70"/>
  <c r="AB127" i="70"/>
  <c r="AA127" i="70"/>
  <c r="Z127" i="70"/>
  <c r="AD126" i="70"/>
  <c r="AC126" i="70"/>
  <c r="AB126" i="70"/>
  <c r="AA126" i="70"/>
  <c r="Z126" i="70"/>
  <c r="AD125" i="70"/>
  <c r="AC125" i="70"/>
  <c r="AB125" i="70"/>
  <c r="AA125" i="70"/>
  <c r="Z125" i="70"/>
  <c r="AD124" i="70"/>
  <c r="AC124" i="70"/>
  <c r="AB124" i="70"/>
  <c r="AA124" i="70"/>
  <c r="Z124" i="70"/>
  <c r="AD123" i="70"/>
  <c r="AC123" i="70"/>
  <c r="AB123" i="70"/>
  <c r="AA123" i="70"/>
  <c r="Z123" i="70"/>
  <c r="AD122" i="70"/>
  <c r="AC122" i="70"/>
  <c r="AB122" i="70"/>
  <c r="AA122" i="70"/>
  <c r="Z122" i="70"/>
  <c r="AD121" i="70"/>
  <c r="AC121" i="70"/>
  <c r="AB121" i="70"/>
  <c r="AA121" i="70"/>
  <c r="Z121" i="70"/>
  <c r="AD120" i="70"/>
  <c r="AC120" i="70"/>
  <c r="AB120" i="70"/>
  <c r="AA120" i="70"/>
  <c r="Z120" i="70"/>
  <c r="AD119" i="70"/>
  <c r="AC119" i="70"/>
  <c r="AB119" i="70"/>
  <c r="AA119" i="70"/>
  <c r="Z119" i="70"/>
  <c r="AD118" i="70"/>
  <c r="AC118" i="70"/>
  <c r="AB118" i="70"/>
  <c r="AA118" i="70"/>
  <c r="Z118" i="70"/>
  <c r="AD117" i="70"/>
  <c r="AC117" i="70"/>
  <c r="AB117" i="70"/>
  <c r="AA117" i="70"/>
  <c r="Z117" i="70"/>
  <c r="AD116" i="70"/>
  <c r="AC116" i="70"/>
  <c r="AB116" i="70"/>
  <c r="AA116" i="70"/>
  <c r="Z116" i="70"/>
  <c r="AD115" i="70"/>
  <c r="AC115" i="70"/>
  <c r="AB115" i="70"/>
  <c r="AA115" i="70"/>
  <c r="Z115" i="70"/>
  <c r="AD114" i="70"/>
  <c r="AC114" i="70"/>
  <c r="AB114" i="70"/>
  <c r="AA114" i="70"/>
  <c r="Z114" i="70"/>
  <c r="AD113" i="70"/>
  <c r="AC113" i="70"/>
  <c r="AB113" i="70"/>
  <c r="AA113" i="70"/>
  <c r="Z113" i="70"/>
  <c r="AD112" i="70"/>
  <c r="AC112" i="70"/>
  <c r="AB112" i="70"/>
  <c r="AA112" i="70"/>
  <c r="Z112" i="70"/>
  <c r="AD111" i="70"/>
  <c r="AC111" i="70"/>
  <c r="AB111" i="70"/>
  <c r="AA111" i="70"/>
  <c r="Z111" i="70"/>
  <c r="H110" i="70"/>
  <c r="AD110" i="70" s="1"/>
  <c r="G110" i="70"/>
  <c r="AC110" i="70" s="1"/>
  <c r="F110" i="70"/>
  <c r="AB110" i="70" s="1"/>
  <c r="E110" i="70"/>
  <c r="AA110" i="70" s="1"/>
  <c r="D110" i="70"/>
  <c r="Z110" i="70" s="1"/>
  <c r="E214" i="69"/>
  <c r="F214" i="69"/>
  <c r="G214" i="69"/>
  <c r="H214" i="69"/>
  <c r="D214" i="69"/>
  <c r="Y61" i="78" l="1"/>
  <c r="C102" i="79" l="1"/>
  <c r="C103" i="79"/>
  <c r="Y61" i="80" l="1"/>
  <c r="D61" i="77" l="1"/>
  <c r="E61" i="77"/>
  <c r="F61" i="77"/>
  <c r="G61" i="77"/>
  <c r="H61" i="77"/>
  <c r="I61" i="77"/>
  <c r="J61" i="77"/>
  <c r="K61" i="77"/>
  <c r="L61" i="77"/>
  <c r="M61" i="77"/>
  <c r="N61" i="77"/>
  <c r="O61" i="77"/>
  <c r="P61" i="77"/>
  <c r="Q61" i="77"/>
  <c r="R61" i="77"/>
  <c r="S61" i="77"/>
  <c r="T61" i="77"/>
  <c r="U61" i="77"/>
  <c r="V61" i="77"/>
  <c r="W61" i="77"/>
  <c r="X61" i="77"/>
  <c r="Z61" i="77"/>
  <c r="C61" i="77"/>
  <c r="D61" i="78"/>
  <c r="E61" i="78"/>
  <c r="F61" i="78"/>
  <c r="G61" i="78"/>
  <c r="H61" i="78"/>
  <c r="I61" i="78"/>
  <c r="J61" i="78"/>
  <c r="K61" i="78"/>
  <c r="L61" i="78"/>
  <c r="M61" i="78"/>
  <c r="N61" i="78"/>
  <c r="O61" i="78"/>
  <c r="P61" i="78"/>
  <c r="Q61" i="78"/>
  <c r="R61" i="78"/>
  <c r="S61" i="78"/>
  <c r="T61" i="78"/>
  <c r="U61" i="78"/>
  <c r="V61" i="78"/>
  <c r="W61" i="78"/>
  <c r="X61" i="78"/>
  <c r="Z61" i="78"/>
  <c r="C61" i="78"/>
  <c r="D61" i="79"/>
  <c r="E61" i="79"/>
  <c r="F61" i="79"/>
  <c r="G61" i="79"/>
  <c r="H61" i="79"/>
  <c r="I61" i="79"/>
  <c r="J61" i="79"/>
  <c r="K61" i="79"/>
  <c r="L61" i="79"/>
  <c r="M61" i="79"/>
  <c r="N61" i="79"/>
  <c r="O61" i="79"/>
  <c r="P61" i="79"/>
  <c r="Q61" i="79"/>
  <c r="R61" i="79"/>
  <c r="S61" i="79"/>
  <c r="T61" i="79"/>
  <c r="U61" i="79"/>
  <c r="V61" i="79"/>
  <c r="W61" i="79"/>
  <c r="X61" i="79"/>
  <c r="Z61" i="79"/>
  <c r="D61" i="80"/>
  <c r="E61" i="80"/>
  <c r="F61" i="80"/>
  <c r="G61" i="80"/>
  <c r="H61" i="80"/>
  <c r="I61" i="80"/>
  <c r="J61" i="80"/>
  <c r="K61" i="80"/>
  <c r="L61" i="80"/>
  <c r="M61" i="80"/>
  <c r="N61" i="80"/>
  <c r="O61" i="80"/>
  <c r="P61" i="80"/>
  <c r="Q61" i="80"/>
  <c r="R61" i="80"/>
  <c r="S61" i="80"/>
  <c r="T61" i="80"/>
  <c r="U61" i="80"/>
  <c r="V61" i="80"/>
  <c r="W61" i="80"/>
  <c r="X61" i="80"/>
  <c r="C61" i="80"/>
  <c r="C61" i="79"/>
  <c r="D61" i="81" l="1"/>
  <c r="E61" i="81"/>
  <c r="F61" i="81"/>
  <c r="G61" i="81"/>
  <c r="H61" i="81"/>
  <c r="I61" i="81"/>
  <c r="J61" i="81"/>
  <c r="K61" i="81"/>
  <c r="L61" i="81"/>
  <c r="M61" i="81"/>
  <c r="N61" i="81"/>
  <c r="O61" i="81"/>
  <c r="P61" i="81"/>
  <c r="Q61" i="81"/>
  <c r="R61" i="81"/>
  <c r="S61" i="81"/>
  <c r="T61" i="81"/>
  <c r="U61" i="81"/>
  <c r="V61" i="81"/>
  <c r="W61" i="81"/>
  <c r="X61" i="81"/>
  <c r="Y61" i="81"/>
  <c r="Z61" i="81"/>
  <c r="C61" i="81"/>
  <c r="R7" i="49" l="1"/>
  <c r="R7" i="62"/>
  <c r="R7" i="63"/>
  <c r="R7" i="69"/>
  <c r="R7" i="68"/>
  <c r="R7" i="67"/>
  <c r="R7" i="66"/>
  <c r="R7" i="65"/>
  <c r="R7" i="64"/>
  <c r="AZ32" i="50" l="1"/>
  <c r="AY32" i="50"/>
  <c r="AX32" i="50"/>
  <c r="AW32" i="50"/>
  <c r="AV32" i="50"/>
  <c r="AU32" i="50"/>
  <c r="AT32" i="50"/>
  <c r="AS32" i="50"/>
  <c r="AR32" i="50"/>
  <c r="AQ32" i="50"/>
  <c r="AP32" i="50"/>
  <c r="AO32" i="50"/>
  <c r="AN32" i="50"/>
  <c r="AM32" i="50"/>
  <c r="AL32" i="50"/>
  <c r="AK32" i="50"/>
  <c r="AJ32" i="50"/>
  <c r="AI32" i="50"/>
  <c r="AH32" i="50"/>
  <c r="AG32" i="50"/>
  <c r="AF32" i="50"/>
  <c r="AZ30" i="50"/>
  <c r="AY30" i="50"/>
  <c r="AX30" i="50"/>
  <c r="AW30" i="50"/>
  <c r="AV30" i="50"/>
  <c r="AU30" i="50"/>
  <c r="AT30" i="50"/>
  <c r="AS30" i="50"/>
  <c r="AR30" i="50"/>
  <c r="AQ30" i="50"/>
  <c r="AP30" i="50"/>
  <c r="AO30" i="50"/>
  <c r="AN30" i="50"/>
  <c r="AM30" i="50"/>
  <c r="AL30" i="50"/>
  <c r="AK30" i="50"/>
  <c r="AJ30" i="50"/>
  <c r="AI30" i="50"/>
  <c r="AH30" i="50"/>
  <c r="AG30" i="50"/>
  <c r="AF30" i="50"/>
  <c r="AU29" i="50"/>
  <c r="AT29" i="50"/>
  <c r="AS29" i="50"/>
  <c r="AR29" i="50"/>
  <c r="AQ29" i="50"/>
  <c r="AP29" i="50"/>
  <c r="AO29" i="50"/>
  <c r="AN29" i="50"/>
  <c r="AM29" i="50"/>
  <c r="AL29" i="50"/>
  <c r="AK29" i="50"/>
  <c r="AJ29" i="50"/>
  <c r="AI29" i="50"/>
  <c r="AH29" i="50"/>
  <c r="AG29" i="50"/>
  <c r="AF29" i="50"/>
  <c r="AU28" i="50"/>
  <c r="AT28" i="50"/>
  <c r="AS28" i="50"/>
  <c r="AR28" i="50"/>
  <c r="AQ28" i="50"/>
  <c r="AP28" i="50"/>
  <c r="AO28" i="50"/>
  <c r="AN28" i="50"/>
  <c r="AM28" i="50"/>
  <c r="AL28" i="50"/>
  <c r="AK28" i="50"/>
  <c r="AJ28" i="50"/>
  <c r="AI28" i="50"/>
  <c r="AH28" i="50"/>
  <c r="AG28" i="50"/>
  <c r="AF28" i="50"/>
  <c r="AU27" i="50"/>
  <c r="AT27" i="50"/>
  <c r="AS27" i="50"/>
  <c r="AR27" i="50"/>
  <c r="AQ27" i="50"/>
  <c r="AP27" i="50"/>
  <c r="AO27" i="50"/>
  <c r="AN27" i="50"/>
  <c r="AM27" i="50"/>
  <c r="AL27" i="50"/>
  <c r="AK27" i="50"/>
  <c r="AJ27" i="50"/>
  <c r="AI27" i="50"/>
  <c r="AH27" i="50"/>
  <c r="AG27" i="50"/>
  <c r="AF27" i="50"/>
  <c r="AU26" i="50"/>
  <c r="AT26" i="50"/>
  <c r="AS26" i="50"/>
  <c r="AR26" i="50"/>
  <c r="AQ26" i="50"/>
  <c r="AP26" i="50"/>
  <c r="AO26" i="50"/>
  <c r="AN26" i="50"/>
  <c r="AM26" i="50"/>
  <c r="AL26" i="50"/>
  <c r="AK26" i="50"/>
  <c r="AJ26" i="50"/>
  <c r="AI26" i="50"/>
  <c r="AH26" i="50"/>
  <c r="AG26" i="50"/>
  <c r="AF26" i="50"/>
  <c r="AU25" i="50"/>
  <c r="AT25" i="50"/>
  <c r="AS25" i="50"/>
  <c r="AR25" i="50"/>
  <c r="AQ25" i="50"/>
  <c r="AP25" i="50"/>
  <c r="AO25" i="50"/>
  <c r="AN25" i="50"/>
  <c r="AM25" i="50"/>
  <c r="AL25" i="50"/>
  <c r="AK25" i="50"/>
  <c r="AJ25" i="50"/>
  <c r="AI25" i="50"/>
  <c r="AH25" i="50"/>
  <c r="AG25" i="50"/>
  <c r="AF25" i="50"/>
  <c r="AU24" i="50"/>
  <c r="AT24" i="50"/>
  <c r="AS24" i="50"/>
  <c r="AR24" i="50"/>
  <c r="AQ24" i="50"/>
  <c r="AP24" i="50"/>
  <c r="AO24" i="50"/>
  <c r="AN24" i="50"/>
  <c r="AM24" i="50"/>
  <c r="AL24" i="50"/>
  <c r="AK24" i="50"/>
  <c r="AJ24" i="50"/>
  <c r="AI24" i="50"/>
  <c r="AH24" i="50"/>
  <c r="AG24" i="50"/>
  <c r="AF24" i="50"/>
  <c r="AU23" i="50"/>
  <c r="AT23" i="50"/>
  <c r="AS23" i="50"/>
  <c r="AR23" i="50"/>
  <c r="AQ23" i="50"/>
  <c r="AP23" i="50"/>
  <c r="AO23" i="50"/>
  <c r="AN23" i="50"/>
  <c r="AM23" i="50"/>
  <c r="AL23" i="50"/>
  <c r="AK23" i="50"/>
  <c r="AJ23" i="50"/>
  <c r="AI23" i="50"/>
  <c r="AH23" i="50"/>
  <c r="AG23" i="50"/>
  <c r="AF23" i="50"/>
  <c r="AU22" i="50"/>
  <c r="AT22" i="50"/>
  <c r="AS22" i="50"/>
  <c r="AR22" i="50"/>
  <c r="AQ22" i="50"/>
  <c r="AP22" i="50"/>
  <c r="AO22" i="50"/>
  <c r="AN22" i="50"/>
  <c r="AM22" i="50"/>
  <c r="AL22" i="50"/>
  <c r="AK22" i="50"/>
  <c r="AJ22" i="50"/>
  <c r="AI22" i="50"/>
  <c r="AH22" i="50"/>
  <c r="AG22" i="50"/>
  <c r="AF22" i="50"/>
  <c r="AU21" i="50"/>
  <c r="AT21" i="50"/>
  <c r="AS21" i="50"/>
  <c r="AR21" i="50"/>
  <c r="AQ21" i="50"/>
  <c r="AP21" i="50"/>
  <c r="AO21" i="50"/>
  <c r="AN21" i="50"/>
  <c r="AM21" i="50"/>
  <c r="AL21" i="50"/>
  <c r="AK21" i="50"/>
  <c r="AJ21" i="50"/>
  <c r="AI21" i="50"/>
  <c r="AH21" i="50"/>
  <c r="AG21" i="50"/>
  <c r="AF21" i="50"/>
  <c r="AU20" i="50"/>
  <c r="AT20" i="50"/>
  <c r="AS20" i="50"/>
  <c r="AR20" i="50"/>
  <c r="AQ20" i="50"/>
  <c r="AP20" i="50"/>
  <c r="AO20" i="50"/>
  <c r="AN20" i="50"/>
  <c r="AM20" i="50"/>
  <c r="AL20" i="50"/>
  <c r="AK20" i="50"/>
  <c r="AJ20" i="50"/>
  <c r="AI20" i="50"/>
  <c r="AH20" i="50"/>
  <c r="AG20" i="50"/>
  <c r="AF20" i="50"/>
  <c r="AU19" i="50"/>
  <c r="AT19" i="50"/>
  <c r="AS19" i="50"/>
  <c r="AR19" i="50"/>
  <c r="AQ19" i="50"/>
  <c r="AP19" i="50"/>
  <c r="AO19" i="50"/>
  <c r="AN19" i="50"/>
  <c r="AM19" i="50"/>
  <c r="AL19" i="50"/>
  <c r="AK19" i="50"/>
  <c r="AJ19" i="50"/>
  <c r="AI19" i="50"/>
  <c r="AH19" i="50"/>
  <c r="AG19" i="50"/>
  <c r="AF19" i="50"/>
  <c r="AV18" i="50"/>
  <c r="AU18" i="50"/>
  <c r="AT18" i="50"/>
  <c r="AS18" i="50"/>
  <c r="AR18" i="50"/>
  <c r="AQ18" i="50"/>
  <c r="AP18" i="50"/>
  <c r="AO18" i="50"/>
  <c r="AN18" i="50"/>
  <c r="AM18" i="50"/>
  <c r="AL18" i="50"/>
  <c r="AK18" i="50"/>
  <c r="AJ18" i="50"/>
  <c r="AI18" i="50"/>
  <c r="AH18" i="50"/>
  <c r="AG18" i="50"/>
  <c r="AF18" i="50"/>
  <c r="AU17" i="50"/>
  <c r="AT17" i="50"/>
  <c r="AS17" i="50"/>
  <c r="AR17" i="50"/>
  <c r="AQ17" i="50"/>
  <c r="AP17" i="50"/>
  <c r="AO17" i="50"/>
  <c r="AN17" i="50"/>
  <c r="AM17" i="50"/>
  <c r="AL17" i="50"/>
  <c r="AK17" i="50"/>
  <c r="AJ17" i="50"/>
  <c r="AI17" i="50"/>
  <c r="AH17" i="50"/>
  <c r="AG17" i="50"/>
  <c r="AF17" i="50"/>
  <c r="AU16" i="50"/>
  <c r="AT16" i="50"/>
  <c r="AS16" i="50"/>
  <c r="AR16" i="50"/>
  <c r="AQ16" i="50"/>
  <c r="AP16" i="50"/>
  <c r="AO16" i="50"/>
  <c r="AN16" i="50"/>
  <c r="AM16" i="50"/>
  <c r="AL16" i="50"/>
  <c r="AK16" i="50"/>
  <c r="AJ16" i="50"/>
  <c r="AI16" i="50"/>
  <c r="AH16" i="50"/>
  <c r="AG16" i="50"/>
  <c r="AF16" i="50"/>
  <c r="AU15" i="50"/>
  <c r="AT15" i="50"/>
  <c r="AS15" i="50"/>
  <c r="AR15" i="50"/>
  <c r="AQ15" i="50"/>
  <c r="AP15" i="50"/>
  <c r="AO15" i="50"/>
  <c r="AN15" i="50"/>
  <c r="AM15" i="50"/>
  <c r="AL15" i="50"/>
  <c r="AK15" i="50"/>
  <c r="AJ15" i="50"/>
  <c r="AI15" i="50"/>
  <c r="AH15" i="50"/>
  <c r="AG15" i="50"/>
  <c r="AF15" i="50"/>
  <c r="AU14" i="50"/>
  <c r="AT14" i="50"/>
  <c r="AS14" i="50"/>
  <c r="AR14" i="50"/>
  <c r="AQ14" i="50"/>
  <c r="AP14" i="50"/>
  <c r="AO14" i="50"/>
  <c r="AN14" i="50"/>
  <c r="AM14" i="50"/>
  <c r="AL14" i="50"/>
  <c r="AK14" i="50"/>
  <c r="AJ14" i="50"/>
  <c r="AI14" i="50"/>
  <c r="AH14" i="50"/>
  <c r="AG14" i="50"/>
  <c r="AF14" i="50"/>
  <c r="AU13" i="50"/>
  <c r="AT13" i="50"/>
  <c r="AS13" i="50"/>
  <c r="AR13" i="50"/>
  <c r="AQ13" i="50"/>
  <c r="AP13" i="50"/>
  <c r="AO13" i="50"/>
  <c r="AN13" i="50"/>
  <c r="AM13" i="50"/>
  <c r="AL13" i="50"/>
  <c r="AK13" i="50"/>
  <c r="AJ13" i="50"/>
  <c r="AI13" i="50"/>
  <c r="AH13" i="50"/>
  <c r="AG13" i="50"/>
  <c r="AF13" i="50"/>
  <c r="AU12" i="50"/>
  <c r="AT12" i="50"/>
  <c r="AS12" i="50"/>
  <c r="AR12" i="50"/>
  <c r="AQ12" i="50"/>
  <c r="AP12" i="50"/>
  <c r="AO12" i="50"/>
  <c r="AN12" i="50"/>
  <c r="AM12" i="50"/>
  <c r="AL12" i="50"/>
  <c r="AK12" i="50"/>
  <c r="AJ12" i="50"/>
  <c r="AI12" i="50"/>
  <c r="AH12" i="50"/>
  <c r="AG12" i="50"/>
  <c r="AF12" i="50"/>
  <c r="AU11" i="50"/>
  <c r="AT11" i="50"/>
  <c r="AS11" i="50"/>
  <c r="AR11" i="50"/>
  <c r="AQ11" i="50"/>
  <c r="AP11" i="50"/>
  <c r="AO11" i="50"/>
  <c r="AN11" i="50"/>
  <c r="AM11" i="50"/>
  <c r="AL11" i="50"/>
  <c r="AK11" i="50"/>
  <c r="AJ11" i="50"/>
  <c r="AI11" i="50"/>
  <c r="AH11" i="50"/>
  <c r="AG11" i="50"/>
  <c r="AF11" i="50"/>
  <c r="AU10" i="50"/>
  <c r="AT10" i="50"/>
  <c r="AS10" i="50"/>
  <c r="AR10" i="50"/>
  <c r="AQ10" i="50"/>
  <c r="AP10" i="50"/>
  <c r="AO10" i="50"/>
  <c r="AN10" i="50"/>
  <c r="AM10" i="50"/>
  <c r="AL10" i="50"/>
  <c r="AK10" i="50"/>
  <c r="AJ10" i="50"/>
  <c r="AI10" i="50"/>
  <c r="AH10" i="50"/>
  <c r="AG10" i="50"/>
  <c r="AF10" i="50"/>
  <c r="AU9" i="50"/>
  <c r="AT9" i="50"/>
  <c r="AS9" i="50"/>
  <c r="AR9" i="50"/>
  <c r="AQ9" i="50"/>
  <c r="AP9" i="50"/>
  <c r="AO9" i="50"/>
  <c r="AN9" i="50"/>
  <c r="AM9" i="50"/>
  <c r="AL9" i="50"/>
  <c r="AK9" i="50"/>
  <c r="AJ9" i="50"/>
  <c r="AI9" i="50"/>
  <c r="AH9" i="50"/>
  <c r="AG9" i="50"/>
  <c r="AF9" i="50"/>
  <c r="AZ9" i="50"/>
  <c r="AY9" i="50"/>
  <c r="AX9" i="50"/>
  <c r="AW9" i="50"/>
  <c r="AV9" i="50"/>
  <c r="AZ10" i="50"/>
  <c r="AY10" i="50"/>
  <c r="AX10" i="50"/>
  <c r="AW10" i="50"/>
  <c r="AV10" i="50"/>
  <c r="AZ11" i="50"/>
  <c r="AY11" i="50"/>
  <c r="AX11" i="50"/>
  <c r="AW11" i="50"/>
  <c r="AV11" i="50"/>
  <c r="AZ12" i="50"/>
  <c r="AY12" i="50"/>
  <c r="AX12" i="50"/>
  <c r="AW12" i="50"/>
  <c r="AV12" i="50"/>
  <c r="AZ13" i="50"/>
  <c r="AY13" i="50"/>
  <c r="AX13" i="50"/>
  <c r="AW13" i="50"/>
  <c r="AV13" i="50"/>
  <c r="AZ14" i="50"/>
  <c r="AY14" i="50"/>
  <c r="AX14" i="50"/>
  <c r="AW14" i="50"/>
  <c r="AV14" i="50"/>
  <c r="AZ15" i="50"/>
  <c r="AY15" i="50"/>
  <c r="AX15" i="50"/>
  <c r="AW15" i="50"/>
  <c r="AV15" i="50"/>
  <c r="AZ16" i="50"/>
  <c r="AY16" i="50"/>
  <c r="AX16" i="50"/>
  <c r="AW16" i="50"/>
  <c r="AV16" i="50"/>
  <c r="AZ17" i="50"/>
  <c r="AY17" i="50"/>
  <c r="AX17" i="50"/>
  <c r="AW17" i="50"/>
  <c r="AV17" i="50"/>
  <c r="AZ18" i="50"/>
  <c r="AY18" i="50"/>
  <c r="AX18" i="50"/>
  <c r="AW18" i="50"/>
  <c r="AZ19" i="50"/>
  <c r="AY19" i="50"/>
  <c r="AX19" i="50"/>
  <c r="AW19" i="50"/>
  <c r="AV19" i="50"/>
  <c r="AZ20" i="50"/>
  <c r="AY20" i="50"/>
  <c r="AX20" i="50"/>
  <c r="AW20" i="50"/>
  <c r="AV20" i="50"/>
  <c r="AZ21" i="50"/>
  <c r="AY21" i="50"/>
  <c r="AX21" i="50"/>
  <c r="AW21" i="50"/>
  <c r="AV21" i="50"/>
  <c r="AZ22" i="50"/>
  <c r="AY22" i="50"/>
  <c r="AX22" i="50"/>
  <c r="AW22" i="50"/>
  <c r="AV22" i="50"/>
  <c r="AZ23" i="50"/>
  <c r="AY23" i="50"/>
  <c r="AX23" i="50"/>
  <c r="AW23" i="50"/>
  <c r="AV23" i="50"/>
  <c r="AZ24" i="50"/>
  <c r="AY24" i="50"/>
  <c r="AX24" i="50"/>
  <c r="AW24" i="50"/>
  <c r="AV24" i="50"/>
  <c r="AZ25" i="50"/>
  <c r="AY25" i="50"/>
  <c r="AX25" i="50"/>
  <c r="AW25" i="50"/>
  <c r="AV25" i="50"/>
  <c r="AZ26" i="50"/>
  <c r="AY26" i="50"/>
  <c r="AX26" i="50"/>
  <c r="AW26" i="50"/>
  <c r="AV26" i="50"/>
  <c r="AZ27" i="50"/>
  <c r="AY27" i="50"/>
  <c r="AX27" i="50"/>
  <c r="AW27" i="50"/>
  <c r="AV27" i="50"/>
  <c r="AZ28" i="50"/>
  <c r="AY28" i="50"/>
  <c r="AX28" i="50"/>
  <c r="AW28" i="50"/>
  <c r="AV28" i="50"/>
  <c r="AZ29" i="50"/>
  <c r="AY29" i="50"/>
  <c r="AX29" i="50"/>
  <c r="AW29" i="50"/>
  <c r="AV29" i="50"/>
  <c r="BA18" i="50" l="1"/>
  <c r="BL42" i="50" s="1"/>
  <c r="BA10" i="50"/>
  <c r="BL34" i="50" s="1"/>
  <c r="BA14" i="50"/>
  <c r="BI38" i="50" s="1"/>
  <c r="BA9" i="50"/>
  <c r="BL33" i="50" s="1"/>
  <c r="BA13" i="50"/>
  <c r="AY61" i="50" s="1"/>
  <c r="BA28" i="50"/>
  <c r="BB28" i="50" s="1"/>
  <c r="AJ31" i="50"/>
  <c r="BA24" i="50"/>
  <c r="BI48" i="50" s="1"/>
  <c r="BA20" i="50"/>
  <c r="AJ68" i="50" s="1"/>
  <c r="BA17" i="50"/>
  <c r="BI41" i="50" s="1"/>
  <c r="AW31" i="50"/>
  <c r="AG31" i="50"/>
  <c r="AK31" i="50"/>
  <c r="AO31" i="50"/>
  <c r="AS31" i="50"/>
  <c r="BA23" i="50"/>
  <c r="BK47" i="50" s="1"/>
  <c r="BA12" i="50"/>
  <c r="BG36" i="50" s="1"/>
  <c r="AV31" i="50"/>
  <c r="AN31" i="50"/>
  <c r="BA25" i="50"/>
  <c r="BD49" i="50" s="1"/>
  <c r="BA21" i="50"/>
  <c r="BJ45" i="50" s="1"/>
  <c r="AX31" i="50"/>
  <c r="AH31" i="50"/>
  <c r="AL31" i="50"/>
  <c r="AP31" i="50"/>
  <c r="AT31" i="50"/>
  <c r="BA27" i="50"/>
  <c r="AG75" i="50" s="1"/>
  <c r="BA19" i="50"/>
  <c r="BI43" i="50" s="1"/>
  <c r="BA16" i="50"/>
  <c r="BI40" i="50" s="1"/>
  <c r="AZ31" i="50"/>
  <c r="AF31" i="50"/>
  <c r="AR31" i="50"/>
  <c r="BA29" i="50"/>
  <c r="AW77" i="50" s="1"/>
  <c r="BA26" i="50"/>
  <c r="AQ74" i="50" s="1"/>
  <c r="BA22" i="50"/>
  <c r="BK46" i="50" s="1"/>
  <c r="BA15" i="50"/>
  <c r="AQ63" i="50" s="1"/>
  <c r="BA11" i="50"/>
  <c r="AI59" i="50" s="1"/>
  <c r="AY31" i="50"/>
  <c r="AI31" i="50"/>
  <c r="AM31" i="50"/>
  <c r="AQ31" i="50"/>
  <c r="AU31" i="50"/>
  <c r="BA30" i="50"/>
  <c r="AQ78" i="50" s="1"/>
  <c r="BA32" i="50"/>
  <c r="AI80" i="50" s="1"/>
  <c r="AR69" i="50" l="1"/>
  <c r="AN68" i="50"/>
  <c r="AS76" i="50"/>
  <c r="AQ76" i="50"/>
  <c r="AJ76" i="50"/>
  <c r="AX76" i="50"/>
  <c r="AL76" i="50"/>
  <c r="AG76" i="50"/>
  <c r="AQ68" i="50"/>
  <c r="AT68" i="50"/>
  <c r="AI68" i="50"/>
  <c r="AL68" i="50"/>
  <c r="AS68" i="50"/>
  <c r="AG68" i="50"/>
  <c r="AM76" i="50"/>
  <c r="AH76" i="50"/>
  <c r="AO76" i="50"/>
  <c r="AN76" i="50"/>
  <c r="AI62" i="50"/>
  <c r="AG74" i="50"/>
  <c r="BA57" i="50"/>
  <c r="AI57" i="50"/>
  <c r="AP68" i="50"/>
  <c r="AO68" i="50"/>
  <c r="AR68" i="50"/>
  <c r="AY68" i="50"/>
  <c r="AZ76" i="50"/>
  <c r="AM68" i="50"/>
  <c r="AF68" i="50"/>
  <c r="AJ69" i="50"/>
  <c r="AT69" i="50"/>
  <c r="BB13" i="50"/>
  <c r="AW37" i="50" s="1"/>
  <c r="AS69" i="50"/>
  <c r="AL69" i="50"/>
  <c r="AU69" i="50"/>
  <c r="AM69" i="50"/>
  <c r="AJ61" i="50"/>
  <c r="AW76" i="50"/>
  <c r="AT73" i="50"/>
  <c r="AP71" i="50"/>
  <c r="AP77" i="50"/>
  <c r="AN72" i="50"/>
  <c r="AJ73" i="50"/>
  <c r="AF71" i="50"/>
  <c r="AO77" i="50"/>
  <c r="AU77" i="50"/>
  <c r="AL77" i="50"/>
  <c r="AJ77" i="50"/>
  <c r="AK77" i="50"/>
  <c r="AF77" i="50"/>
  <c r="AQ77" i="50"/>
  <c r="AK69" i="50"/>
  <c r="AQ59" i="50"/>
  <c r="AX62" i="50"/>
  <c r="AY62" i="50"/>
  <c r="AQ37" i="50"/>
  <c r="AN61" i="50"/>
  <c r="AW61" i="50"/>
  <c r="AO73" i="50"/>
  <c r="AS70" i="50"/>
  <c r="AI61" i="50"/>
  <c r="AZ64" i="50"/>
  <c r="AV61" i="50"/>
  <c r="AF61" i="50"/>
  <c r="AT61" i="50"/>
  <c r="BI52" i="50"/>
  <c r="AM57" i="50"/>
  <c r="AH61" i="50"/>
  <c r="AL57" i="50"/>
  <c r="AO61" i="50"/>
  <c r="AU61" i="50"/>
  <c r="AV52" i="50"/>
  <c r="AK52" i="50"/>
  <c r="AI52" i="50"/>
  <c r="AZ62" i="50"/>
  <c r="AS77" i="50"/>
  <c r="AU76" i="50"/>
  <c r="AI76" i="50"/>
  <c r="AN77" i="50"/>
  <c r="AP76" i="50"/>
  <c r="AI77" i="50"/>
  <c r="AK76" i="50"/>
  <c r="AK71" i="50"/>
  <c r="AT77" i="50"/>
  <c r="AR76" i="50"/>
  <c r="AM63" i="50"/>
  <c r="AX77" i="50"/>
  <c r="AP70" i="50"/>
  <c r="AH62" i="50"/>
  <c r="AG77" i="50"/>
  <c r="AR77" i="50"/>
  <c r="AT76" i="50"/>
  <c r="AT75" i="50"/>
  <c r="AM77" i="50"/>
  <c r="AS71" i="50"/>
  <c r="AL66" i="50"/>
  <c r="AH77" i="50"/>
  <c r="AF76" i="50"/>
  <c r="AY76" i="50"/>
  <c r="AK62" i="50"/>
  <c r="BG37" i="50"/>
  <c r="AS72" i="50"/>
  <c r="AQ72" i="50"/>
  <c r="AH72" i="50"/>
  <c r="AU70" i="50"/>
  <c r="AU62" i="50"/>
  <c r="AJ62" i="50"/>
  <c r="AG62" i="50"/>
  <c r="AN62" i="50"/>
  <c r="AQ62" i="50"/>
  <c r="AR62" i="50"/>
  <c r="AT62" i="50"/>
  <c r="BG38" i="50"/>
  <c r="AM62" i="50"/>
  <c r="AP62" i="50"/>
  <c r="AS62" i="50"/>
  <c r="BL48" i="50"/>
  <c r="AK73" i="50"/>
  <c r="AM72" i="50"/>
  <c r="AU73" i="50"/>
  <c r="AO72" i="50"/>
  <c r="AP73" i="50"/>
  <c r="AJ72" i="50"/>
  <c r="AI72" i="50"/>
  <c r="AV66" i="50"/>
  <c r="AR73" i="50"/>
  <c r="AP72" i="50"/>
  <c r="AH71" i="50"/>
  <c r="AQ73" i="50"/>
  <c r="AK72" i="50"/>
  <c r="AF75" i="50"/>
  <c r="AH73" i="50"/>
  <c r="AF72" i="50"/>
  <c r="AS64" i="50"/>
  <c r="AQ61" i="50"/>
  <c r="AQ60" i="50"/>
  <c r="AP61" i="50"/>
  <c r="AK61" i="50"/>
  <c r="BA62" i="50"/>
  <c r="AX61" i="50"/>
  <c r="BA61" i="50"/>
  <c r="BL53" i="50"/>
  <c r="BI37" i="50"/>
  <c r="BK37" i="50"/>
  <c r="BE48" i="50"/>
  <c r="AT74" i="50"/>
  <c r="AT72" i="50"/>
  <c r="AI58" i="50"/>
  <c r="AX72" i="50"/>
  <c r="AN64" i="50"/>
  <c r="AL58" i="50"/>
  <c r="AR60" i="50"/>
  <c r="AW72" i="50"/>
  <c r="BK48" i="50"/>
  <c r="BM35" i="50"/>
  <c r="AQ52" i="50"/>
  <c r="AG73" i="50"/>
  <c r="AQ75" i="50"/>
  <c r="AU72" i="50"/>
  <c r="AM71" i="50"/>
  <c r="AF66" i="50"/>
  <c r="AN73" i="50"/>
  <c r="AL72" i="50"/>
  <c r="AI73" i="50"/>
  <c r="AG72" i="50"/>
  <c r="AJ52" i="50"/>
  <c r="AF74" i="50"/>
  <c r="AR72" i="50"/>
  <c r="AN71" i="50"/>
  <c r="AK64" i="50"/>
  <c r="AM61" i="50"/>
  <c r="AI60" i="50"/>
  <c r="AY72" i="50"/>
  <c r="AZ61" i="50"/>
  <c r="AH64" i="50"/>
  <c r="AZ72" i="50"/>
  <c r="AL61" i="50"/>
  <c r="AY71" i="50"/>
  <c r="AR61" i="50"/>
  <c r="AG61" i="50"/>
  <c r="AZ77" i="50"/>
  <c r="AW58" i="50"/>
  <c r="AS61" i="50"/>
  <c r="BH53" i="50"/>
  <c r="BK49" i="50"/>
  <c r="BJ38" i="50"/>
  <c r="BM44" i="50"/>
  <c r="AN70" i="50"/>
  <c r="AH60" i="50"/>
  <c r="AH57" i="50"/>
  <c r="AN57" i="50"/>
  <c r="AQ65" i="50"/>
  <c r="AZ69" i="50"/>
  <c r="AW57" i="50"/>
  <c r="BJ33" i="50"/>
  <c r="BM45" i="50"/>
  <c r="BG45" i="50"/>
  <c r="BK36" i="50"/>
  <c r="BJ40" i="50"/>
  <c r="AO69" i="50"/>
  <c r="AT52" i="50"/>
  <c r="AL52" i="50"/>
  <c r="AH70" i="50"/>
  <c r="AF69" i="50"/>
  <c r="AP67" i="50"/>
  <c r="AK70" i="50"/>
  <c r="AI69" i="50"/>
  <c r="AS67" i="50"/>
  <c r="AF70" i="50"/>
  <c r="AH69" i="50"/>
  <c r="AR67" i="50"/>
  <c r="AG64" i="50"/>
  <c r="AM60" i="50"/>
  <c r="AX69" i="50"/>
  <c r="AR57" i="50"/>
  <c r="AW64" i="50"/>
  <c r="AV62" i="50"/>
  <c r="AW60" i="50"/>
  <c r="AJ57" i="50"/>
  <c r="BB14" i="50"/>
  <c r="AQ38" i="50" s="1"/>
  <c r="AS57" i="50"/>
  <c r="AY57" i="50"/>
  <c r="BH48" i="50"/>
  <c r="BG40" i="50"/>
  <c r="BM36" i="50"/>
  <c r="BI45" i="50"/>
  <c r="BM41" i="50"/>
  <c r="BG41" i="50"/>
  <c r="BM56" i="50"/>
  <c r="BK41" i="50"/>
  <c r="BM40" i="50"/>
  <c r="BL36" i="50"/>
  <c r="AM70" i="50"/>
  <c r="AG69" i="50"/>
  <c r="AP52" i="50"/>
  <c r="AH52" i="50"/>
  <c r="AN69" i="50"/>
  <c r="AS52" i="50"/>
  <c r="AQ69" i="50"/>
  <c r="AR52" i="50"/>
  <c r="AP69" i="50"/>
  <c r="AO64" i="50"/>
  <c r="AV64" i="50"/>
  <c r="AV57" i="50"/>
  <c r="AF60" i="50"/>
  <c r="AY69" i="50"/>
  <c r="AP60" i="50"/>
  <c r="AW69" i="50"/>
  <c r="AG58" i="50"/>
  <c r="AK57" i="50"/>
  <c r="AU58" i="50"/>
  <c r="AX57" i="50"/>
  <c r="BK53" i="50"/>
  <c r="BL45" i="50"/>
  <c r="BK54" i="50"/>
  <c r="BJ54" i="50"/>
  <c r="AJ78" i="50"/>
  <c r="BK50" i="50"/>
  <c r="BM50" i="50"/>
  <c r="BJ50" i="50"/>
  <c r="AV74" i="50"/>
  <c r="BF51" i="50"/>
  <c r="BG51" i="50"/>
  <c r="AZ75" i="50"/>
  <c r="AO66" i="50"/>
  <c r="BF50" i="50"/>
  <c r="BM39" i="50"/>
  <c r="AM75" i="50"/>
  <c r="AM74" i="50"/>
  <c r="AN80" i="50"/>
  <c r="AP75" i="50"/>
  <c r="AP74" i="50"/>
  <c r="AS75" i="50"/>
  <c r="AY78" i="50"/>
  <c r="AI78" i="50"/>
  <c r="AI75" i="50"/>
  <c r="AI74" i="50"/>
  <c r="AN66" i="50"/>
  <c r="AT78" i="50"/>
  <c r="AL75" i="50"/>
  <c r="AL74" i="50"/>
  <c r="AQ66" i="50"/>
  <c r="AO75" i="50"/>
  <c r="AO74" i="50"/>
  <c r="AT66" i="50"/>
  <c r="AT80" i="50"/>
  <c r="AN75" i="50"/>
  <c r="AN74" i="50"/>
  <c r="AJ67" i="50"/>
  <c r="AU63" i="50"/>
  <c r="BE35" i="50"/>
  <c r="BF35" i="50"/>
  <c r="BJ35" i="50"/>
  <c r="BD35" i="50"/>
  <c r="BH35" i="50"/>
  <c r="BL35" i="50"/>
  <c r="BG35" i="50"/>
  <c r="AF59" i="50"/>
  <c r="AN59" i="50"/>
  <c r="AH59" i="50"/>
  <c r="AR59" i="50"/>
  <c r="AM59" i="50"/>
  <c r="AV75" i="50"/>
  <c r="AX59" i="50"/>
  <c r="AY75" i="50"/>
  <c r="AM66" i="50"/>
  <c r="AH63" i="50"/>
  <c r="AP59" i="50"/>
  <c r="AX68" i="50"/>
  <c r="BL49" i="50"/>
  <c r="BJ49" i="50"/>
  <c r="AK59" i="50"/>
  <c r="AK58" i="50"/>
  <c r="AR58" i="50"/>
  <c r="AT58" i="50"/>
  <c r="BB10" i="50"/>
  <c r="BA34" i="50" s="1"/>
  <c r="BL54" i="50"/>
  <c r="BG50" i="50"/>
  <c r="BD33" i="50"/>
  <c r="BH33" i="50"/>
  <c r="BF33" i="50"/>
  <c r="BE33" i="50"/>
  <c r="BK33" i="50"/>
  <c r="BI33" i="50"/>
  <c r="AU57" i="50"/>
  <c r="AT57" i="50"/>
  <c r="AO57" i="50"/>
  <c r="AF57" i="50"/>
  <c r="AZ57" i="50"/>
  <c r="BK43" i="50"/>
  <c r="BG42" i="50"/>
  <c r="BM43" i="50"/>
  <c r="BG56" i="50"/>
  <c r="AU78" i="50"/>
  <c r="AU52" i="50"/>
  <c r="AM52" i="50"/>
  <c r="AU75" i="50"/>
  <c r="AU74" i="50"/>
  <c r="AS73" i="50"/>
  <c r="AU71" i="50"/>
  <c r="AU68" i="50"/>
  <c r="AI67" i="50"/>
  <c r="AJ66" i="50"/>
  <c r="AL78" i="50"/>
  <c r="AH75" i="50"/>
  <c r="AH74" i="50"/>
  <c r="AF73" i="50"/>
  <c r="AH68" i="50"/>
  <c r="AO52" i="50"/>
  <c r="AG52" i="50"/>
  <c r="AK75" i="50"/>
  <c r="AK74" i="50"/>
  <c r="AM73" i="50"/>
  <c r="AK68" i="50"/>
  <c r="AP66" i="50"/>
  <c r="AZ78" i="50"/>
  <c r="AN52" i="50"/>
  <c r="AF52" i="50"/>
  <c r="AJ75" i="50"/>
  <c r="AJ74" i="50"/>
  <c r="AL73" i="50"/>
  <c r="AQ57" i="50"/>
  <c r="AX66" i="50"/>
  <c r="AF58" i="50"/>
  <c r="AL59" i="50"/>
  <c r="AP57" i="50"/>
  <c r="AN58" i="50"/>
  <c r="AG57" i="50"/>
  <c r="AZ58" i="50"/>
  <c r="BB9" i="50"/>
  <c r="BE52" i="50"/>
  <c r="BA76" i="50"/>
  <c r="AV76" i="50"/>
  <c r="BF53" i="50"/>
  <c r="BE51" i="50"/>
  <c r="BD53" i="50"/>
  <c r="BJ53" i="50"/>
  <c r="BF49" i="50"/>
  <c r="BD38" i="50"/>
  <c r="BH38" i="50"/>
  <c r="BE38" i="50"/>
  <c r="BF38" i="50"/>
  <c r="AO62" i="50"/>
  <c r="AW62" i="50"/>
  <c r="AL62" i="50"/>
  <c r="AF62" i="50"/>
  <c r="BK38" i="50"/>
  <c r="BM33" i="50"/>
  <c r="BG33" i="50"/>
  <c r="BM38" i="50"/>
  <c r="BL38" i="50"/>
  <c r="BE39" i="50"/>
  <c r="BF39" i="50"/>
  <c r="BJ39" i="50"/>
  <c r="BD39" i="50"/>
  <c r="BH39" i="50"/>
  <c r="BL39" i="50"/>
  <c r="BI39" i="50"/>
  <c r="AP63" i="50"/>
  <c r="AY66" i="50"/>
  <c r="BD42" i="50"/>
  <c r="BH42" i="50"/>
  <c r="BE42" i="50"/>
  <c r="BF42" i="50"/>
  <c r="BK42" i="50"/>
  <c r="AI66" i="50"/>
  <c r="AZ66" i="50"/>
  <c r="BI54" i="50"/>
  <c r="BF34" i="50"/>
  <c r="BD34" i="50"/>
  <c r="BH34" i="50"/>
  <c r="BE34" i="50"/>
  <c r="BI34" i="50"/>
  <c r="BG34" i="50"/>
  <c r="AS58" i="50"/>
  <c r="AX58" i="50"/>
  <c r="AJ58" i="50"/>
  <c r="AY58" i="50"/>
  <c r="AH58" i="50"/>
  <c r="AP58" i="50"/>
  <c r="AM58" i="50"/>
  <c r="BJ34" i="50"/>
  <c r="BJ42" i="50"/>
  <c r="AY80" i="50"/>
  <c r="BD56" i="50"/>
  <c r="BH56" i="50"/>
  <c r="BL56" i="50"/>
  <c r="BE56" i="50"/>
  <c r="BF56" i="50"/>
  <c r="BJ56" i="50"/>
  <c r="BK56" i="50"/>
  <c r="AM78" i="50"/>
  <c r="AR66" i="50"/>
  <c r="AU66" i="50"/>
  <c r="AS74" i="50"/>
  <c r="AH66" i="50"/>
  <c r="AR75" i="50"/>
  <c r="AR74" i="50"/>
  <c r="AI63" i="50"/>
  <c r="AQ58" i="50"/>
  <c r="AW74" i="50"/>
  <c r="AJ63" i="50"/>
  <c r="BE43" i="50"/>
  <c r="BF43" i="50"/>
  <c r="BD43" i="50"/>
  <c r="BH43" i="50"/>
  <c r="BL43" i="50"/>
  <c r="BG43" i="50"/>
  <c r="BJ43" i="50"/>
  <c r="AW75" i="50"/>
  <c r="AW66" i="50"/>
  <c r="AS63" i="50"/>
  <c r="AO58" i="50"/>
  <c r="AV68" i="50"/>
  <c r="BD44" i="50"/>
  <c r="BH44" i="50"/>
  <c r="BL44" i="50"/>
  <c r="BE44" i="50"/>
  <c r="BF44" i="50"/>
  <c r="BJ44" i="50"/>
  <c r="BG44" i="50"/>
  <c r="AG66" i="50"/>
  <c r="AV58" i="50"/>
  <c r="BA58" i="50"/>
  <c r="BH50" i="50"/>
  <c r="BJ51" i="50"/>
  <c r="BE54" i="50"/>
  <c r="BK34" i="50"/>
  <c r="BI42" i="50"/>
  <c r="BK35" i="50"/>
  <c r="BK39" i="50"/>
  <c r="BK44" i="50"/>
  <c r="BG39" i="50"/>
  <c r="BM34" i="50"/>
  <c r="BM42" i="50"/>
  <c r="BI56" i="50"/>
  <c r="BI35" i="50"/>
  <c r="BI44" i="50"/>
  <c r="AU64" i="50"/>
  <c r="BD40" i="50"/>
  <c r="BH40" i="50"/>
  <c r="BE40" i="50"/>
  <c r="BF40" i="50"/>
  <c r="BE45" i="50"/>
  <c r="BF45" i="50"/>
  <c r="BD45" i="50"/>
  <c r="BH45" i="50"/>
  <c r="AO60" i="50"/>
  <c r="BD36" i="50"/>
  <c r="BH36" i="50"/>
  <c r="BE36" i="50"/>
  <c r="BF36" i="50"/>
  <c r="BE41" i="50"/>
  <c r="BF41" i="50"/>
  <c r="BJ41" i="50"/>
  <c r="BD41" i="50"/>
  <c r="BH41" i="50"/>
  <c r="BL41" i="50"/>
  <c r="AP65" i="50"/>
  <c r="BE37" i="50"/>
  <c r="BF37" i="50"/>
  <c r="BJ37" i="50"/>
  <c r="BD37" i="50"/>
  <c r="BH37" i="50"/>
  <c r="BL37" i="50"/>
  <c r="BI36" i="50"/>
  <c r="BM37" i="50"/>
  <c r="BL40" i="50"/>
  <c r="BK40" i="50"/>
  <c r="BK45" i="50"/>
  <c r="BJ36" i="50"/>
  <c r="BD47" i="50"/>
  <c r="BD46" i="50"/>
  <c r="AQ71" i="50"/>
  <c r="AQ70" i="50"/>
  <c r="AT71" i="50"/>
  <c r="AT70" i="50"/>
  <c r="AG71" i="50"/>
  <c r="AG70" i="50"/>
  <c r="AR78" i="50"/>
  <c r="AJ71" i="50"/>
  <c r="AJ70" i="50"/>
  <c r="AZ71" i="50"/>
  <c r="BI53" i="50"/>
  <c r="BM53" i="50"/>
  <c r="BE53" i="50"/>
  <c r="AY77" i="50"/>
  <c r="BJ48" i="50"/>
  <c r="BG48" i="50"/>
  <c r="BJ52" i="50"/>
  <c r="BG52" i="50"/>
  <c r="BH52" i="50"/>
  <c r="BH46" i="50"/>
  <c r="BD52" i="50"/>
  <c r="BF47" i="50"/>
  <c r="BL52" i="50"/>
  <c r="BD51" i="50"/>
  <c r="BM46" i="50"/>
  <c r="BK52" i="50"/>
  <c r="BF52" i="50"/>
  <c r="BF48" i="50"/>
  <c r="BL50" i="50"/>
  <c r="BM52" i="50"/>
  <c r="BG54" i="50"/>
  <c r="BD48" i="50"/>
  <c r="AV70" i="50"/>
  <c r="BL47" i="50"/>
  <c r="BI47" i="50"/>
  <c r="BM47" i="50"/>
  <c r="BE46" i="50"/>
  <c r="BH47" i="50"/>
  <c r="BI46" i="50"/>
  <c r="BG47" i="50"/>
  <c r="BG46" i="50"/>
  <c r="AI71" i="50"/>
  <c r="AI70" i="50"/>
  <c r="AL71" i="50"/>
  <c r="AL70" i="50"/>
  <c r="AO71" i="50"/>
  <c r="AO70" i="50"/>
  <c r="AR71" i="50"/>
  <c r="AR70" i="50"/>
  <c r="BL51" i="50"/>
  <c r="BI51" i="50"/>
  <c r="BM51" i="50"/>
  <c r="AV73" i="50"/>
  <c r="BE49" i="50"/>
  <c r="BI49" i="50"/>
  <c r="BM49" i="50"/>
  <c r="AY73" i="50"/>
  <c r="AV72" i="50"/>
  <c r="BH54" i="50"/>
  <c r="BH49" i="50"/>
  <c r="BF54" i="50"/>
  <c r="BD50" i="50"/>
  <c r="BJ46" i="50"/>
  <c r="BH51" i="50"/>
  <c r="BE47" i="50"/>
  <c r="BJ47" i="50"/>
  <c r="BI50" i="50"/>
  <c r="BG53" i="50"/>
  <c r="BG49" i="50"/>
  <c r="BL46" i="50"/>
  <c r="BM48" i="50"/>
  <c r="BM54" i="50"/>
  <c r="BD54" i="50"/>
  <c r="BE50" i="50"/>
  <c r="BF46" i="50"/>
  <c r="BK51" i="50"/>
  <c r="AS80" i="50"/>
  <c r="AL80" i="50"/>
  <c r="BA67" i="50"/>
  <c r="BB19" i="50"/>
  <c r="BA43" i="50" s="1"/>
  <c r="AX67" i="50"/>
  <c r="AY67" i="50"/>
  <c r="AW67" i="50"/>
  <c r="AV67" i="50"/>
  <c r="AG67" i="50"/>
  <c r="AT67" i="50"/>
  <c r="AM67" i="50"/>
  <c r="AZ67" i="50"/>
  <c r="AF67" i="50"/>
  <c r="AN67" i="50"/>
  <c r="AK67" i="50"/>
  <c r="AH67" i="50"/>
  <c r="AQ67" i="50"/>
  <c r="AU67" i="50"/>
  <c r="AO67" i="50"/>
  <c r="AL67" i="50"/>
  <c r="BA65" i="50"/>
  <c r="BB17" i="50"/>
  <c r="BA41" i="50" s="1"/>
  <c r="AL65" i="50"/>
  <c r="AT65" i="50"/>
  <c r="AW65" i="50"/>
  <c r="AM65" i="50"/>
  <c r="AX65" i="50"/>
  <c r="AN65" i="50"/>
  <c r="AZ65" i="50"/>
  <c r="AR65" i="50"/>
  <c r="AY65" i="50"/>
  <c r="AG65" i="50"/>
  <c r="AO65" i="50"/>
  <c r="AU65" i="50"/>
  <c r="AH65" i="50"/>
  <c r="AI65" i="50"/>
  <c r="AJ65" i="50"/>
  <c r="AV65" i="50"/>
  <c r="AF65" i="50"/>
  <c r="AK65" i="50"/>
  <c r="AS65" i="50"/>
  <c r="AK80" i="50"/>
  <c r="BA80" i="50"/>
  <c r="BB32" i="50"/>
  <c r="AJ80" i="50"/>
  <c r="AR80" i="50"/>
  <c r="AZ80" i="50"/>
  <c r="AG80" i="50"/>
  <c r="AW80" i="50"/>
  <c r="AH80" i="50"/>
  <c r="AP80" i="50"/>
  <c r="AX80" i="50"/>
  <c r="AM80" i="50"/>
  <c r="AU80" i="50"/>
  <c r="AO80" i="50"/>
  <c r="AF80" i="50"/>
  <c r="AV80" i="50"/>
  <c r="AQ80" i="50"/>
  <c r="AY38" i="50"/>
  <c r="BA78" i="50"/>
  <c r="BB30" i="50"/>
  <c r="BA54" i="50" s="1"/>
  <c r="AS78" i="50"/>
  <c r="AK78" i="50"/>
  <c r="BA63" i="50"/>
  <c r="BB15" i="50"/>
  <c r="BA39" i="50" s="1"/>
  <c r="AX63" i="50"/>
  <c r="AY63" i="50"/>
  <c r="AG63" i="50"/>
  <c r="AO63" i="50"/>
  <c r="AV63" i="50"/>
  <c r="AL63" i="50"/>
  <c r="AF63" i="50"/>
  <c r="AR63" i="50"/>
  <c r="AZ63" i="50"/>
  <c r="AV78" i="50"/>
  <c r="AN78" i="50"/>
  <c r="AW63" i="50"/>
  <c r="AN63" i="50"/>
  <c r="BA64" i="50"/>
  <c r="BB16" i="50"/>
  <c r="BA40" i="50" s="1"/>
  <c r="AL64" i="50"/>
  <c r="AI64" i="50"/>
  <c r="AQ64" i="50"/>
  <c r="AP64" i="50"/>
  <c r="AJ64" i="50"/>
  <c r="AR64" i="50"/>
  <c r="AT64" i="50"/>
  <c r="BA75" i="50"/>
  <c r="BB27" i="50"/>
  <c r="BA51" i="50" s="1"/>
  <c r="BA73" i="50"/>
  <c r="BB25" i="50"/>
  <c r="BA49" i="50" s="1"/>
  <c r="AZ73" i="50"/>
  <c r="AW73" i="50"/>
  <c r="AX73" i="50"/>
  <c r="AY60" i="50"/>
  <c r="AU60" i="50"/>
  <c r="AX60" i="50"/>
  <c r="AT60" i="50"/>
  <c r="AV60" i="50"/>
  <c r="BB12" i="50"/>
  <c r="BA60" i="50"/>
  <c r="AS60" i="50"/>
  <c r="AZ60" i="50"/>
  <c r="AK60" i="50"/>
  <c r="AJ60" i="50"/>
  <c r="AN60" i="50"/>
  <c r="AL60" i="50"/>
  <c r="BA71" i="50"/>
  <c r="BB23" i="50"/>
  <c r="BA47" i="50" s="1"/>
  <c r="AX71" i="50"/>
  <c r="AW71" i="50"/>
  <c r="AV71" i="50"/>
  <c r="AK63" i="50"/>
  <c r="AZ52" i="50"/>
  <c r="BA52" i="50"/>
  <c r="AW52" i="50"/>
  <c r="AX52" i="50"/>
  <c r="AY52" i="50"/>
  <c r="AX78" i="50"/>
  <c r="AP78" i="50"/>
  <c r="AH78" i="50"/>
  <c r="AW78" i="50"/>
  <c r="AO78" i="50"/>
  <c r="AG78" i="50"/>
  <c r="AF78" i="50"/>
  <c r="BA70" i="50"/>
  <c r="BB22" i="50"/>
  <c r="AX70" i="50"/>
  <c r="AZ70" i="50"/>
  <c r="AW70" i="50"/>
  <c r="BA74" i="50"/>
  <c r="BB26" i="50"/>
  <c r="BA50" i="50" s="1"/>
  <c r="AY74" i="50"/>
  <c r="AX74" i="50"/>
  <c r="AZ74" i="50"/>
  <c r="AF64" i="50"/>
  <c r="AT63" i="50"/>
  <c r="AY64" i="50"/>
  <c r="AM64" i="50"/>
  <c r="AG60" i="50"/>
  <c r="AX64" i="50"/>
  <c r="BA68" i="50"/>
  <c r="BB20" i="50"/>
  <c r="BA44" i="50" s="1"/>
  <c r="AZ68" i="50"/>
  <c r="AW68" i="50"/>
  <c r="AY70" i="50"/>
  <c r="AX75" i="50"/>
  <c r="AT59" i="50"/>
  <c r="BA59" i="50"/>
  <c r="AW59" i="50"/>
  <c r="BB11" i="50"/>
  <c r="AU59" i="50"/>
  <c r="AS59" i="50"/>
  <c r="AZ59" i="50"/>
  <c r="AV59" i="50"/>
  <c r="AY59" i="50"/>
  <c r="BA77" i="50"/>
  <c r="BB29" i="50"/>
  <c r="BA53" i="50" s="1"/>
  <c r="AJ59" i="50"/>
  <c r="BA31" i="50"/>
  <c r="AM79" i="50" s="1"/>
  <c r="BA69" i="50"/>
  <c r="BB21" i="50"/>
  <c r="BA45" i="50" s="1"/>
  <c r="AV69" i="50"/>
  <c r="BA66" i="50"/>
  <c r="BB18" i="50"/>
  <c r="BA42" i="50" s="1"/>
  <c r="AO59" i="50"/>
  <c r="AG59" i="50"/>
  <c r="BA72" i="50"/>
  <c r="BB24" i="50"/>
  <c r="BA48" i="50" s="1"/>
  <c r="AV77" i="50"/>
  <c r="AS66" i="50"/>
  <c r="AK66" i="50"/>
  <c r="AI37" i="50" l="1"/>
  <c r="AG37" i="50"/>
  <c r="AX37" i="50"/>
  <c r="AJ37" i="50"/>
  <c r="AP37" i="50"/>
  <c r="AR37" i="50"/>
  <c r="AT37" i="50"/>
  <c r="AK37" i="50"/>
  <c r="AN37" i="50"/>
  <c r="AF37" i="50"/>
  <c r="AU37" i="50"/>
  <c r="AS37" i="50"/>
  <c r="AV37" i="50"/>
  <c r="AM37" i="50"/>
  <c r="AH37" i="50"/>
  <c r="AL37" i="50"/>
  <c r="AZ37" i="50"/>
  <c r="BA37" i="50"/>
  <c r="AO37" i="50"/>
  <c r="AY37" i="50"/>
  <c r="AR38" i="50"/>
  <c r="AK38" i="50"/>
  <c r="AP38" i="50"/>
  <c r="AZ38" i="50"/>
  <c r="AN38" i="50"/>
  <c r="AX38" i="50"/>
  <c r="AL38" i="50"/>
  <c r="AH38" i="50"/>
  <c r="AM38" i="50"/>
  <c r="AJ38" i="50"/>
  <c r="BA38" i="50"/>
  <c r="AO38" i="50"/>
  <c r="AW38" i="50"/>
  <c r="AF38" i="50"/>
  <c r="AV38" i="50"/>
  <c r="AG38" i="50"/>
  <c r="AU38" i="50"/>
  <c r="AI38" i="50"/>
  <c r="AS38" i="50"/>
  <c r="AT38" i="50"/>
  <c r="AX79" i="50"/>
  <c r="BA33" i="50"/>
  <c r="AG33" i="50"/>
  <c r="AS33" i="50"/>
  <c r="AN33" i="50"/>
  <c r="AH33" i="50"/>
  <c r="AT33" i="50"/>
  <c r="AR33" i="50"/>
  <c r="AI33" i="50"/>
  <c r="AU33" i="50"/>
  <c r="AJ33" i="50"/>
  <c r="AW33" i="50"/>
  <c r="AO33" i="50"/>
  <c r="AX33" i="50"/>
  <c r="AL33" i="50"/>
  <c r="AZ33" i="50"/>
  <c r="AM33" i="50"/>
  <c r="AY33" i="50"/>
  <c r="AK33" i="50"/>
  <c r="AV33" i="50"/>
  <c r="AF33" i="50"/>
  <c r="AP33" i="50"/>
  <c r="AQ33" i="50"/>
  <c r="AY34" i="50"/>
  <c r="AV34" i="50"/>
  <c r="AK34" i="50"/>
  <c r="AU34" i="50"/>
  <c r="AR34" i="50"/>
  <c r="AH34" i="50"/>
  <c r="AT34" i="50"/>
  <c r="AX34" i="50"/>
  <c r="AQ34" i="50"/>
  <c r="AJ34" i="50"/>
  <c r="AZ34" i="50"/>
  <c r="AG34" i="50"/>
  <c r="AS34" i="50"/>
  <c r="AL34" i="50"/>
  <c r="AI34" i="50"/>
  <c r="AN34" i="50"/>
  <c r="AW34" i="50"/>
  <c r="AP34" i="50"/>
  <c r="AF34" i="50"/>
  <c r="AM34" i="50"/>
  <c r="AO34" i="50"/>
  <c r="AG79" i="50"/>
  <c r="AO79" i="50"/>
  <c r="BJ55" i="50"/>
  <c r="BH55" i="50"/>
  <c r="BI55" i="50"/>
  <c r="BK55" i="50"/>
  <c r="AW79" i="50"/>
  <c r="AS79" i="50"/>
  <c r="AR79" i="50"/>
  <c r="AZ79" i="50"/>
  <c r="AT79" i="50"/>
  <c r="BD55" i="50"/>
  <c r="AL79" i="50"/>
  <c r="AJ79" i="50"/>
  <c r="BF55" i="50"/>
  <c r="BM55" i="50"/>
  <c r="BE55" i="50"/>
  <c r="BG55" i="50"/>
  <c r="BL55" i="50"/>
  <c r="AX36" i="50"/>
  <c r="AR36" i="50"/>
  <c r="AY36" i="50"/>
  <c r="AK36" i="50"/>
  <c r="AS36" i="50"/>
  <c r="AP36" i="50"/>
  <c r="AM36" i="50"/>
  <c r="AF36" i="50"/>
  <c r="AI36" i="50"/>
  <c r="AU36" i="50"/>
  <c r="AJ36" i="50"/>
  <c r="AG36" i="50"/>
  <c r="AH36" i="50"/>
  <c r="AT36" i="50"/>
  <c r="AN36" i="50"/>
  <c r="AV36" i="50"/>
  <c r="AW36" i="50"/>
  <c r="AL36" i="50"/>
  <c r="AZ36" i="50"/>
  <c r="AQ36" i="50"/>
  <c r="AO36" i="50"/>
  <c r="AL56" i="50"/>
  <c r="AT56" i="50"/>
  <c r="AI56" i="50"/>
  <c r="AQ56" i="50"/>
  <c r="AY56" i="50"/>
  <c r="AF56" i="50"/>
  <c r="AN56" i="50"/>
  <c r="AV56" i="50"/>
  <c r="AK56" i="50"/>
  <c r="AS56" i="50"/>
  <c r="AG56" i="50"/>
  <c r="AJ56" i="50"/>
  <c r="AR56" i="50"/>
  <c r="AZ56" i="50"/>
  <c r="AH56" i="50"/>
  <c r="AP56" i="50"/>
  <c r="AX56" i="50"/>
  <c r="AM56" i="50"/>
  <c r="AU56" i="50"/>
  <c r="AO56" i="50"/>
  <c r="AW56" i="50"/>
  <c r="AY46" i="50"/>
  <c r="AV46" i="50"/>
  <c r="AN46" i="50"/>
  <c r="AI46" i="50"/>
  <c r="AQ46" i="50"/>
  <c r="AX46" i="50"/>
  <c r="AG46" i="50"/>
  <c r="AO46" i="50"/>
  <c r="AL46" i="50"/>
  <c r="AT46" i="50"/>
  <c r="AU46" i="50"/>
  <c r="AJ46" i="50"/>
  <c r="AR46" i="50"/>
  <c r="AM46" i="50"/>
  <c r="AK46" i="50"/>
  <c r="AP46" i="50"/>
  <c r="AF46" i="50"/>
  <c r="AZ46" i="50"/>
  <c r="AH46" i="50"/>
  <c r="AW46" i="50"/>
  <c r="AS46" i="50"/>
  <c r="AY79" i="50"/>
  <c r="AQ79" i="50"/>
  <c r="AH79" i="50"/>
  <c r="BA56" i="50"/>
  <c r="AU79" i="50"/>
  <c r="AX40" i="50"/>
  <c r="AM40" i="50"/>
  <c r="AU40" i="50"/>
  <c r="AY40" i="50"/>
  <c r="AL40" i="50"/>
  <c r="AW40" i="50"/>
  <c r="AV40" i="50"/>
  <c r="AP40" i="50"/>
  <c r="AN40" i="50"/>
  <c r="AZ40" i="50"/>
  <c r="AQ40" i="50"/>
  <c r="AF40" i="50"/>
  <c r="AR40" i="50"/>
  <c r="AH40" i="50"/>
  <c r="AK40" i="50"/>
  <c r="AS40" i="50"/>
  <c r="AJ40" i="50"/>
  <c r="AT40" i="50"/>
  <c r="AO40" i="50"/>
  <c r="AG40" i="50"/>
  <c r="AI40" i="50"/>
  <c r="AK79" i="50"/>
  <c r="AN79" i="50"/>
  <c r="AV79" i="50"/>
  <c r="AP79" i="50"/>
  <c r="AF79" i="50"/>
  <c r="AV53" i="50"/>
  <c r="AY53" i="50"/>
  <c r="AW53" i="50"/>
  <c r="AG53" i="50"/>
  <c r="AO53" i="50"/>
  <c r="AF53" i="50"/>
  <c r="AN53" i="50"/>
  <c r="AX53" i="50"/>
  <c r="AH53" i="50"/>
  <c r="AP53" i="50"/>
  <c r="AI53" i="50"/>
  <c r="AQ53" i="50"/>
  <c r="AK53" i="50"/>
  <c r="AS53" i="50"/>
  <c r="AZ53" i="50"/>
  <c r="AM53" i="50"/>
  <c r="AU53" i="50"/>
  <c r="AT53" i="50"/>
  <c r="AR53" i="50"/>
  <c r="AL53" i="50"/>
  <c r="AJ53" i="50"/>
  <c r="AN35" i="50"/>
  <c r="AY35" i="50"/>
  <c r="AG35" i="50"/>
  <c r="AO35" i="50"/>
  <c r="AV35" i="50"/>
  <c r="AT35" i="50"/>
  <c r="AR35" i="50"/>
  <c r="AM35" i="50"/>
  <c r="AJ35" i="50"/>
  <c r="AW35" i="50"/>
  <c r="AS35" i="50"/>
  <c r="AL35" i="50"/>
  <c r="AZ35" i="50"/>
  <c r="AH35" i="50"/>
  <c r="AQ35" i="50"/>
  <c r="AF35" i="50"/>
  <c r="AU35" i="50"/>
  <c r="AP35" i="50"/>
  <c r="AI35" i="50"/>
  <c r="AX35" i="50"/>
  <c r="AK35" i="50"/>
  <c r="BA35" i="50"/>
  <c r="BA46" i="50"/>
  <c r="AY47" i="50"/>
  <c r="AW47" i="50"/>
  <c r="AV47" i="50"/>
  <c r="AI47" i="50"/>
  <c r="AQ47" i="50"/>
  <c r="AF47" i="50"/>
  <c r="AN47" i="50"/>
  <c r="AG47" i="50"/>
  <c r="AO47" i="50"/>
  <c r="AL47" i="50"/>
  <c r="AT47" i="50"/>
  <c r="AM47" i="50"/>
  <c r="AU47" i="50"/>
  <c r="AZ47" i="50"/>
  <c r="AJ47" i="50"/>
  <c r="AH47" i="50"/>
  <c r="AX47" i="50"/>
  <c r="AS47" i="50"/>
  <c r="AR47" i="50"/>
  <c r="AK47" i="50"/>
  <c r="AP47" i="50"/>
  <c r="BA36" i="50"/>
  <c r="AY49" i="50"/>
  <c r="AZ49" i="50"/>
  <c r="AW49" i="50"/>
  <c r="AL49" i="50"/>
  <c r="AT49" i="50"/>
  <c r="AF49" i="50"/>
  <c r="AN49" i="50"/>
  <c r="AG49" i="50"/>
  <c r="AO49" i="50"/>
  <c r="AX49" i="50"/>
  <c r="AI49" i="50"/>
  <c r="AQ49" i="50"/>
  <c r="AS49" i="50"/>
  <c r="AH49" i="50"/>
  <c r="AP49" i="50"/>
  <c r="AJ49" i="50"/>
  <c r="AR49" i="50"/>
  <c r="AK49" i="50"/>
  <c r="AU49" i="50"/>
  <c r="AV49" i="50"/>
  <c r="AM49" i="50"/>
  <c r="AZ51" i="50"/>
  <c r="AW51" i="50"/>
  <c r="AV51" i="50"/>
  <c r="AF51" i="50"/>
  <c r="AN51" i="50"/>
  <c r="AH51" i="50"/>
  <c r="AP51" i="50"/>
  <c r="AI51" i="50"/>
  <c r="AQ51" i="50"/>
  <c r="AX51" i="50"/>
  <c r="AG51" i="50"/>
  <c r="AO51" i="50"/>
  <c r="AU51" i="50"/>
  <c r="AJ51" i="50"/>
  <c r="AR51" i="50"/>
  <c r="AL51" i="50"/>
  <c r="AT51" i="50"/>
  <c r="AM51" i="50"/>
  <c r="AY51" i="50"/>
  <c r="AS51" i="50"/>
  <c r="AK51" i="50"/>
  <c r="AK39" i="50"/>
  <c r="AZ39" i="50"/>
  <c r="AS39" i="50"/>
  <c r="AX39" i="50"/>
  <c r="AP39" i="50"/>
  <c r="AJ39" i="50"/>
  <c r="AW39" i="50"/>
  <c r="AG39" i="50"/>
  <c r="AH39" i="50"/>
  <c r="AI39" i="50"/>
  <c r="AQ39" i="50"/>
  <c r="AY39" i="50"/>
  <c r="AV39" i="50"/>
  <c r="AT39" i="50"/>
  <c r="AF39" i="50"/>
  <c r="AO39" i="50"/>
  <c r="AL39" i="50"/>
  <c r="AN39" i="50"/>
  <c r="AM39" i="50"/>
  <c r="AU39" i="50"/>
  <c r="AR39" i="50"/>
  <c r="AZ41" i="50"/>
  <c r="AL41" i="50"/>
  <c r="AT41" i="50"/>
  <c r="AW41" i="50"/>
  <c r="AM41" i="50"/>
  <c r="AP41" i="50"/>
  <c r="AQ41" i="50"/>
  <c r="AF41" i="50"/>
  <c r="AU41" i="50"/>
  <c r="AR41" i="50"/>
  <c r="AY41" i="50"/>
  <c r="AG41" i="50"/>
  <c r="AO41" i="50"/>
  <c r="AH41" i="50"/>
  <c r="AI41" i="50"/>
  <c r="AJ41" i="50"/>
  <c r="AX41" i="50"/>
  <c r="AK41" i="50"/>
  <c r="AS41" i="50"/>
  <c r="AV41" i="50"/>
  <c r="AN41" i="50"/>
  <c r="AT43" i="50"/>
  <c r="AS43" i="50"/>
  <c r="AX43" i="50"/>
  <c r="AY43" i="50"/>
  <c r="AI43" i="50"/>
  <c r="AV43" i="50"/>
  <c r="AH43" i="50"/>
  <c r="AM43" i="50"/>
  <c r="AJ43" i="50"/>
  <c r="AR43" i="50"/>
  <c r="AP43" i="50"/>
  <c r="AQ43" i="50"/>
  <c r="AU43" i="50"/>
  <c r="AW43" i="50"/>
  <c r="AZ43" i="50"/>
  <c r="AF43" i="50"/>
  <c r="AN43" i="50"/>
  <c r="AO43" i="50"/>
  <c r="AK43" i="50"/>
  <c r="AG43" i="50"/>
  <c r="AL43" i="50"/>
  <c r="AV48" i="50"/>
  <c r="AJ48" i="50"/>
  <c r="AR48" i="50"/>
  <c r="AI48" i="50"/>
  <c r="AQ48" i="50"/>
  <c r="AW48" i="50"/>
  <c r="AF48" i="50"/>
  <c r="AG48" i="50"/>
  <c r="AO48" i="50"/>
  <c r="AL48" i="50"/>
  <c r="AT48" i="50"/>
  <c r="AU48" i="50"/>
  <c r="AX48" i="50"/>
  <c r="AN48" i="50"/>
  <c r="AM48" i="50"/>
  <c r="AZ48" i="50"/>
  <c r="AY48" i="50"/>
  <c r="AK48" i="50"/>
  <c r="AP48" i="50"/>
  <c r="AS48" i="50"/>
  <c r="AH48" i="50"/>
  <c r="AL42" i="50"/>
  <c r="AK42" i="50"/>
  <c r="AP42" i="50"/>
  <c r="AI42" i="50"/>
  <c r="AX42" i="50"/>
  <c r="AG42" i="50"/>
  <c r="AF42" i="50"/>
  <c r="AV42" i="50"/>
  <c r="AS42" i="50"/>
  <c r="AW42" i="50"/>
  <c r="AJ42" i="50"/>
  <c r="AM42" i="50"/>
  <c r="AO42" i="50"/>
  <c r="AZ42" i="50"/>
  <c r="AH42" i="50"/>
  <c r="AQ42" i="50"/>
  <c r="AN42" i="50"/>
  <c r="AR42" i="50"/>
  <c r="AT42" i="50"/>
  <c r="AY42" i="50"/>
  <c r="AU42" i="50"/>
  <c r="AZ45" i="50"/>
  <c r="AW45" i="50"/>
  <c r="AX45" i="50"/>
  <c r="AG45" i="50"/>
  <c r="AO45" i="50"/>
  <c r="AV45" i="50"/>
  <c r="AY45" i="50"/>
  <c r="AL45" i="50"/>
  <c r="AT45" i="50"/>
  <c r="AI45" i="50"/>
  <c r="AQ45" i="50"/>
  <c r="AJ45" i="50"/>
  <c r="AR45" i="50"/>
  <c r="AK45" i="50"/>
  <c r="AS45" i="50"/>
  <c r="AP45" i="50"/>
  <c r="AF45" i="50"/>
  <c r="AH45" i="50"/>
  <c r="AU45" i="50"/>
  <c r="AM45" i="50"/>
  <c r="AN45" i="50"/>
  <c r="BA79" i="50"/>
  <c r="BB31" i="50"/>
  <c r="BA55" i="50" s="1"/>
  <c r="AV44" i="50"/>
  <c r="AZ44" i="50"/>
  <c r="AL44" i="50"/>
  <c r="AT44" i="50"/>
  <c r="AI44" i="50"/>
  <c r="AQ44" i="50"/>
  <c r="AJ44" i="50"/>
  <c r="AR44" i="50"/>
  <c r="AG44" i="50"/>
  <c r="AO44" i="50"/>
  <c r="AM44" i="50"/>
  <c r="AU44" i="50"/>
  <c r="AF44" i="50"/>
  <c r="AH44" i="50"/>
  <c r="AP44" i="50"/>
  <c r="AK44" i="50"/>
  <c r="AS44" i="50"/>
  <c r="AX44" i="50"/>
  <c r="AY44" i="50"/>
  <c r="AN44" i="50"/>
  <c r="AW44" i="50"/>
  <c r="AY50" i="50"/>
  <c r="AZ50" i="50"/>
  <c r="AV50" i="50"/>
  <c r="AH50" i="50"/>
  <c r="AP50" i="50"/>
  <c r="AI50" i="50"/>
  <c r="AQ50" i="50"/>
  <c r="AJ50" i="50"/>
  <c r="AR50" i="50"/>
  <c r="AG50" i="50"/>
  <c r="AO50" i="50"/>
  <c r="AU50" i="50"/>
  <c r="AF50" i="50"/>
  <c r="AL50" i="50"/>
  <c r="AT50" i="50"/>
  <c r="AM50" i="50"/>
  <c r="AX50" i="50"/>
  <c r="AN50" i="50"/>
  <c r="AK50" i="50"/>
  <c r="AS50" i="50"/>
  <c r="AW50" i="50"/>
  <c r="AJ54" i="50"/>
  <c r="AR54" i="50"/>
  <c r="AZ54" i="50"/>
  <c r="AI54" i="50"/>
  <c r="AQ54" i="50"/>
  <c r="AY54" i="50"/>
  <c r="AH54" i="50"/>
  <c r="AP54" i="50"/>
  <c r="AX54" i="50"/>
  <c r="AF54" i="50"/>
  <c r="AG54" i="50"/>
  <c r="AO54" i="50"/>
  <c r="AW54" i="50"/>
  <c r="AU54" i="50"/>
  <c r="AN54" i="50"/>
  <c r="AV54" i="50"/>
  <c r="AM54" i="50"/>
  <c r="AK54" i="50"/>
  <c r="AL54" i="50"/>
  <c r="AS54" i="50"/>
  <c r="AT54" i="50"/>
  <c r="AI79" i="50"/>
  <c r="AT55" i="50" l="1"/>
  <c r="AL55" i="50"/>
  <c r="AZ55" i="50"/>
  <c r="AO55" i="50"/>
  <c r="AR55" i="50"/>
  <c r="AG55" i="50"/>
  <c r="AW55" i="50"/>
  <c r="AJ55" i="50"/>
  <c r="AF55" i="50"/>
  <c r="AI55" i="50"/>
  <c r="AX55" i="50"/>
  <c r="AS55" i="50"/>
  <c r="AH55" i="50"/>
  <c r="AY55" i="50"/>
  <c r="AM55" i="50"/>
  <c r="AP55" i="50"/>
  <c r="AV55" i="50"/>
  <c r="AN55" i="50"/>
  <c r="AK55" i="50"/>
  <c r="AU55" i="50"/>
  <c r="AQ55" i="50"/>
  <c r="S4" i="22" l="1"/>
  <c r="A71" i="70" l="1"/>
  <c r="A38" i="70"/>
  <c r="A315" i="69"/>
  <c r="A280" i="69"/>
  <c r="A245" i="69"/>
  <c r="A210" i="69"/>
  <c r="A175" i="69"/>
  <c r="A140" i="69"/>
  <c r="A105" i="69"/>
  <c r="A70" i="69"/>
  <c r="A37" i="69"/>
  <c r="A105" i="68"/>
  <c r="A70" i="68"/>
  <c r="A37" i="68"/>
  <c r="A210" i="67"/>
  <c r="A175" i="67"/>
  <c r="A140" i="67"/>
  <c r="A105" i="67"/>
  <c r="A70" i="67"/>
  <c r="A37" i="67"/>
  <c r="A175" i="66"/>
  <c r="A140" i="66"/>
  <c r="A105" i="66"/>
  <c r="A70" i="66"/>
  <c r="A37" i="66"/>
  <c r="A105" i="65"/>
  <c r="A70" i="65"/>
  <c r="A37" i="65"/>
  <c r="A105" i="64"/>
  <c r="A70" i="64"/>
  <c r="A37" i="64"/>
  <c r="A175" i="63"/>
  <c r="A140" i="63"/>
  <c r="A105" i="63"/>
  <c r="A70" i="63"/>
  <c r="A37" i="63"/>
  <c r="A140" i="62"/>
  <c r="A105" i="62"/>
  <c r="A70" i="62"/>
  <c r="A37" i="62"/>
  <c r="A35" i="50" l="1"/>
  <c r="A70" i="50"/>
  <c r="A99" i="50"/>
  <c r="B64" i="50"/>
  <c r="AC4" i="50"/>
  <c r="A140" i="49"/>
  <c r="A105" i="49"/>
  <c r="A70" i="49"/>
  <c r="A37" i="49"/>
  <c r="A56" i="76"/>
  <c r="AE2" i="27"/>
  <c r="T5" i="44"/>
  <c r="S25" i="44"/>
  <c r="S26" i="44"/>
  <c r="S27" i="44"/>
  <c r="S28" i="44"/>
  <c r="S29" i="44"/>
  <c r="S30" i="44"/>
  <c r="S10" i="44"/>
  <c r="S11" i="44"/>
  <c r="S12" i="44"/>
  <c r="S13" i="44"/>
  <c r="S14" i="44"/>
  <c r="S15" i="44"/>
  <c r="S16" i="44"/>
  <c r="S17" i="44"/>
  <c r="S18" i="44"/>
  <c r="S19" i="44"/>
  <c r="S20" i="44"/>
  <c r="S21" i="44"/>
  <c r="S22" i="44"/>
  <c r="S23" i="44"/>
  <c r="S24" i="44"/>
  <c r="S9" i="44"/>
  <c r="C3" i="75"/>
  <c r="C2" i="76"/>
  <c r="C5" i="75" l="1"/>
  <c r="C9" i="75"/>
  <c r="C13" i="75"/>
  <c r="C17" i="75"/>
  <c r="C21" i="75"/>
  <c r="C25" i="75"/>
  <c r="C11" i="75"/>
  <c r="C19" i="75"/>
  <c r="C8" i="75"/>
  <c r="C16" i="75"/>
  <c r="C20" i="75"/>
  <c r="C24" i="75"/>
  <c r="C6" i="75"/>
  <c r="C10" i="75"/>
  <c r="C14" i="75"/>
  <c r="C18" i="75"/>
  <c r="C22" i="75"/>
  <c r="C4" i="75"/>
  <c r="C7" i="75"/>
  <c r="C15" i="75"/>
  <c r="C23" i="75"/>
  <c r="C12" i="75"/>
  <c r="C105" i="81"/>
  <c r="D105" i="81"/>
  <c r="E105" i="81"/>
  <c r="F105" i="81"/>
  <c r="G105" i="81"/>
  <c r="H105" i="81"/>
  <c r="I105" i="81"/>
  <c r="J105" i="81"/>
  <c r="K105" i="81"/>
  <c r="L105" i="81"/>
  <c r="M105" i="81"/>
  <c r="N105" i="81"/>
  <c r="O105" i="81"/>
  <c r="P105" i="81"/>
  <c r="Q105" i="81"/>
  <c r="R105" i="81"/>
  <c r="S105" i="81"/>
  <c r="T105" i="81"/>
  <c r="U105" i="81"/>
  <c r="V105" i="81"/>
  <c r="W105" i="81"/>
  <c r="X105" i="81"/>
  <c r="Y105" i="81"/>
  <c r="Z105" i="81"/>
  <c r="AB80" i="50"/>
  <c r="AB56" i="50"/>
  <c r="AB32" i="50"/>
  <c r="B5" i="50"/>
  <c r="AE32" i="50" l="1"/>
  <c r="AD32" i="50"/>
  <c r="AE56" i="50"/>
  <c r="AD56" i="50"/>
  <c r="AE80" i="50"/>
  <c r="AD80" i="50"/>
  <c r="BC56" i="50"/>
  <c r="P32" i="70" l="1"/>
  <c r="P31" i="70"/>
  <c r="P26" i="70"/>
  <c r="P25" i="70"/>
  <c r="P22" i="70"/>
  <c r="Y273" i="69" l="1"/>
  <c r="D273" i="69" s="1"/>
  <c r="I32" i="68" l="1"/>
  <c r="I31" i="68"/>
  <c r="I30" i="68"/>
  <c r="I29" i="68"/>
  <c r="I28" i="68"/>
  <c r="I27" i="68"/>
  <c r="I26" i="68"/>
  <c r="I25" i="68"/>
  <c r="I24" i="68"/>
  <c r="I23" i="68"/>
  <c r="I22" i="68"/>
  <c r="I21" i="68"/>
  <c r="I20" i="68"/>
  <c r="I19" i="68"/>
  <c r="I18" i="68"/>
  <c r="I17" i="68"/>
  <c r="I16" i="68"/>
  <c r="I15" i="68"/>
  <c r="I14" i="68"/>
  <c r="I13" i="68"/>
  <c r="I12" i="68"/>
  <c r="I11" i="68"/>
  <c r="I10" i="68"/>
  <c r="I9" i="68"/>
  <c r="H32" i="69"/>
  <c r="G32" i="69"/>
  <c r="F32" i="69"/>
  <c r="M32" i="69" s="1"/>
  <c r="E32" i="69"/>
  <c r="D32" i="69"/>
  <c r="H30" i="69"/>
  <c r="G30" i="69"/>
  <c r="N30" i="69" s="1"/>
  <c r="F30" i="69"/>
  <c r="M30" i="69" s="1"/>
  <c r="E30" i="69"/>
  <c r="D30" i="69"/>
  <c r="K30" i="69" s="1"/>
  <c r="H29" i="69"/>
  <c r="O29" i="69" s="1"/>
  <c r="G29" i="69"/>
  <c r="F29" i="69"/>
  <c r="E29" i="69"/>
  <c r="L29" i="69" s="1"/>
  <c r="D29" i="69"/>
  <c r="K29" i="69" s="1"/>
  <c r="H28" i="69"/>
  <c r="G28" i="69"/>
  <c r="F28" i="69"/>
  <c r="M28" i="69" s="1"/>
  <c r="E28" i="69"/>
  <c r="L28" i="69" s="1"/>
  <c r="D28" i="69"/>
  <c r="H27" i="69"/>
  <c r="G27" i="69"/>
  <c r="N27" i="69" s="1"/>
  <c r="F27" i="69"/>
  <c r="M27" i="69" s="1"/>
  <c r="E27" i="69"/>
  <c r="D27" i="69"/>
  <c r="H26" i="69"/>
  <c r="G26" i="69"/>
  <c r="F26" i="69"/>
  <c r="E26" i="69"/>
  <c r="D26" i="69"/>
  <c r="K26" i="69" s="1"/>
  <c r="H25" i="69"/>
  <c r="O25" i="69" s="1"/>
  <c r="T47" i="76" s="1"/>
  <c r="G25" i="69"/>
  <c r="F25" i="69"/>
  <c r="E25" i="69"/>
  <c r="L25" i="69" s="1"/>
  <c r="D25" i="69"/>
  <c r="K25" i="69" s="1"/>
  <c r="H24" i="69"/>
  <c r="G24" i="69"/>
  <c r="F24" i="69"/>
  <c r="M24" i="69" s="1"/>
  <c r="E24" i="69"/>
  <c r="L24" i="69" s="1"/>
  <c r="D24" i="69"/>
  <c r="H23" i="69"/>
  <c r="G23" i="69"/>
  <c r="N23" i="69" s="1"/>
  <c r="F23" i="69"/>
  <c r="M23" i="69" s="1"/>
  <c r="E23" i="69"/>
  <c r="D23" i="69"/>
  <c r="H22" i="69"/>
  <c r="G22" i="69"/>
  <c r="F22" i="69"/>
  <c r="E22" i="69"/>
  <c r="D22" i="69"/>
  <c r="K22" i="69" s="1"/>
  <c r="H21" i="69"/>
  <c r="G21" i="69"/>
  <c r="N21" i="69" s="1"/>
  <c r="F21" i="69"/>
  <c r="E21" i="69"/>
  <c r="L21" i="69" s="1"/>
  <c r="D21" i="69"/>
  <c r="H20" i="69"/>
  <c r="G20" i="69"/>
  <c r="F20" i="69"/>
  <c r="M20" i="69" s="1"/>
  <c r="E20" i="69"/>
  <c r="D20" i="69"/>
  <c r="K20" i="69" s="1"/>
  <c r="H19" i="69"/>
  <c r="G19" i="69"/>
  <c r="F19" i="69"/>
  <c r="E19" i="69"/>
  <c r="L19" i="69" s="1"/>
  <c r="D19" i="69"/>
  <c r="H18" i="69"/>
  <c r="O18" i="69" s="1"/>
  <c r="G18" i="69"/>
  <c r="F18" i="69"/>
  <c r="M18" i="69" s="1"/>
  <c r="E18" i="69"/>
  <c r="D18" i="69"/>
  <c r="K18" i="69" s="1"/>
  <c r="H17" i="69"/>
  <c r="G17" i="69"/>
  <c r="N17" i="69" s="1"/>
  <c r="F17" i="69"/>
  <c r="E17" i="69"/>
  <c r="L17" i="69" s="1"/>
  <c r="D17" i="69"/>
  <c r="H16" i="69"/>
  <c r="O16" i="69" s="1"/>
  <c r="G16" i="69"/>
  <c r="F16" i="69"/>
  <c r="M16" i="69" s="1"/>
  <c r="E16" i="69"/>
  <c r="D16" i="69"/>
  <c r="K16" i="69" s="1"/>
  <c r="H15" i="69"/>
  <c r="G15" i="69"/>
  <c r="N15" i="69" s="1"/>
  <c r="F15" i="69"/>
  <c r="E15" i="69"/>
  <c r="L15" i="69" s="1"/>
  <c r="D15" i="69"/>
  <c r="H14" i="69"/>
  <c r="O14" i="69" s="1"/>
  <c r="G14" i="69"/>
  <c r="F14" i="69"/>
  <c r="M14" i="69" s="1"/>
  <c r="E14" i="69"/>
  <c r="D14" i="69"/>
  <c r="K14" i="69" s="1"/>
  <c r="H13" i="69"/>
  <c r="G13" i="69"/>
  <c r="F13" i="69"/>
  <c r="E13" i="69"/>
  <c r="L13" i="69" s="1"/>
  <c r="D13" i="69"/>
  <c r="H12" i="69"/>
  <c r="O12" i="69" s="1"/>
  <c r="G12" i="69"/>
  <c r="F12" i="69"/>
  <c r="M12" i="69" s="1"/>
  <c r="E12" i="69"/>
  <c r="D12" i="69"/>
  <c r="H11" i="69"/>
  <c r="G11" i="69"/>
  <c r="N11" i="69" s="1"/>
  <c r="F11" i="69"/>
  <c r="E11" i="69"/>
  <c r="L11" i="69" s="1"/>
  <c r="D11" i="69"/>
  <c r="H10" i="69"/>
  <c r="O10" i="69" s="1"/>
  <c r="G10" i="69"/>
  <c r="F10" i="69"/>
  <c r="E10" i="69"/>
  <c r="D10" i="69"/>
  <c r="K10" i="69" s="1"/>
  <c r="H9" i="69"/>
  <c r="G9" i="69"/>
  <c r="N9" i="69" s="1"/>
  <c r="F9" i="69"/>
  <c r="E9" i="69"/>
  <c r="L9" i="69" s="1"/>
  <c r="D9" i="69"/>
  <c r="K32" i="69"/>
  <c r="I32" i="69" l="1"/>
  <c r="I22" i="69"/>
  <c r="I26" i="69"/>
  <c r="I30" i="69"/>
  <c r="I23" i="69"/>
  <c r="I11" i="69"/>
  <c r="O26" i="69"/>
  <c r="U47" i="76" s="1"/>
  <c r="AG26" i="69"/>
  <c r="X47" i="76"/>
  <c r="AG18" i="69"/>
  <c r="M47" i="76"/>
  <c r="AG10" i="69"/>
  <c r="E47" i="76"/>
  <c r="AG12" i="69"/>
  <c r="G47" i="76"/>
  <c r="AG14" i="69"/>
  <c r="I47" i="76"/>
  <c r="AG16" i="69"/>
  <c r="K47" i="76"/>
  <c r="O30" i="69"/>
  <c r="O32" i="69"/>
  <c r="O22" i="69"/>
  <c r="Q47" i="76" s="1"/>
  <c r="M9" i="69"/>
  <c r="L10" i="69"/>
  <c r="K11" i="69"/>
  <c r="O11" i="69"/>
  <c r="N12" i="69"/>
  <c r="M13" i="69"/>
  <c r="L14" i="69"/>
  <c r="I14" i="69"/>
  <c r="K15" i="69"/>
  <c r="O15" i="69"/>
  <c r="N16" i="69"/>
  <c r="M17" i="69"/>
  <c r="L18" i="69"/>
  <c r="I18" i="69"/>
  <c r="K19" i="69"/>
  <c r="O19" i="69"/>
  <c r="N20" i="69"/>
  <c r="M21" i="69"/>
  <c r="L22" i="69"/>
  <c r="K23" i="69"/>
  <c r="O23" i="69"/>
  <c r="N24" i="69"/>
  <c r="M25" i="69"/>
  <c r="L26" i="69"/>
  <c r="K27" i="69"/>
  <c r="O27" i="69"/>
  <c r="N28" i="69"/>
  <c r="M29" i="69"/>
  <c r="L30" i="69"/>
  <c r="N32" i="69"/>
  <c r="I27" i="69"/>
  <c r="I19" i="69"/>
  <c r="I15" i="69"/>
  <c r="M10" i="69"/>
  <c r="K12" i="69"/>
  <c r="N13" i="69"/>
  <c r="K9" i="69"/>
  <c r="O9" i="69"/>
  <c r="N10" i="69"/>
  <c r="M11" i="69"/>
  <c r="L12" i="69"/>
  <c r="K13" i="69"/>
  <c r="O13" i="69"/>
  <c r="N14" i="69"/>
  <c r="M15" i="69"/>
  <c r="L16" i="69"/>
  <c r="K17" i="69"/>
  <c r="O17" i="69"/>
  <c r="N18" i="69"/>
  <c r="M19" i="69"/>
  <c r="K21" i="69"/>
  <c r="O21" i="69"/>
  <c r="N22" i="69"/>
  <c r="N26" i="69"/>
  <c r="L32" i="69"/>
  <c r="I9" i="69"/>
  <c r="I29" i="69"/>
  <c r="I25" i="69"/>
  <c r="I21" i="69"/>
  <c r="I17" i="69"/>
  <c r="I13" i="69"/>
  <c r="O20" i="69"/>
  <c r="M22" i="69"/>
  <c r="L23" i="69"/>
  <c r="K24" i="69"/>
  <c r="O24" i="69"/>
  <c r="N25" i="69"/>
  <c r="M26" i="69"/>
  <c r="L27" i="69"/>
  <c r="K28" i="69"/>
  <c r="O28" i="69"/>
  <c r="N29" i="69"/>
  <c r="N19" i="69"/>
  <c r="I10" i="69"/>
  <c r="I28" i="69"/>
  <c r="I24" i="69"/>
  <c r="I20" i="69"/>
  <c r="I16" i="69"/>
  <c r="I12" i="69"/>
  <c r="L20" i="69"/>
  <c r="P32" i="68"/>
  <c r="O32" i="68"/>
  <c r="AA46" i="76" s="1"/>
  <c r="N32" i="68"/>
  <c r="M32" i="68"/>
  <c r="L32" i="68"/>
  <c r="K32" i="68"/>
  <c r="P31" i="68"/>
  <c r="O30" i="68"/>
  <c r="N30" i="68"/>
  <c r="M30" i="68"/>
  <c r="L30" i="68"/>
  <c r="K30" i="68"/>
  <c r="O29" i="68"/>
  <c r="N29" i="68"/>
  <c r="M29" i="68"/>
  <c r="L29" i="68"/>
  <c r="K29" i="68"/>
  <c r="O28" i="68"/>
  <c r="N28" i="68"/>
  <c r="M28" i="68"/>
  <c r="L28" i="68"/>
  <c r="K28" i="68"/>
  <c r="O27" i="68"/>
  <c r="N27" i="68"/>
  <c r="M27" i="68"/>
  <c r="L27" i="68"/>
  <c r="K27" i="68"/>
  <c r="P26" i="68"/>
  <c r="O26" i="68"/>
  <c r="U46" i="76" s="1"/>
  <c r="N26" i="68"/>
  <c r="M26" i="68"/>
  <c r="L26" i="68"/>
  <c r="K26" i="68"/>
  <c r="P25" i="68"/>
  <c r="O25" i="68"/>
  <c r="T46" i="76" s="1"/>
  <c r="N25" i="68"/>
  <c r="M25" i="68"/>
  <c r="L25" i="68"/>
  <c r="K25" i="68"/>
  <c r="O24" i="68"/>
  <c r="N24" i="68"/>
  <c r="M24" i="68"/>
  <c r="L24" i="68"/>
  <c r="K24" i="68"/>
  <c r="O23" i="68"/>
  <c r="N23" i="68"/>
  <c r="M23" i="68"/>
  <c r="L23" i="68"/>
  <c r="K23" i="68"/>
  <c r="P22" i="68"/>
  <c r="O22" i="68"/>
  <c r="Q46" i="76" s="1"/>
  <c r="N22" i="68"/>
  <c r="M22" i="68"/>
  <c r="L22" i="68"/>
  <c r="K22" i="68"/>
  <c r="O21" i="68"/>
  <c r="N21" i="68"/>
  <c r="M21" i="68"/>
  <c r="L21" i="68"/>
  <c r="K21" i="68"/>
  <c r="O20" i="68"/>
  <c r="N20" i="68"/>
  <c r="M20" i="68"/>
  <c r="L20" i="68"/>
  <c r="K20" i="68"/>
  <c r="O19" i="68"/>
  <c r="N19" i="68"/>
  <c r="M19" i="68"/>
  <c r="L19" i="68"/>
  <c r="K19" i="68"/>
  <c r="O18" i="68"/>
  <c r="N18" i="68"/>
  <c r="M18" i="68"/>
  <c r="L18" i="68"/>
  <c r="K18" i="68"/>
  <c r="O17" i="68"/>
  <c r="N17" i="68"/>
  <c r="M17" i="68"/>
  <c r="L17" i="68"/>
  <c r="K17" i="68"/>
  <c r="O16" i="68"/>
  <c r="N16" i="68"/>
  <c r="M16" i="68"/>
  <c r="L16" i="68"/>
  <c r="K16" i="68"/>
  <c r="O15" i="68"/>
  <c r="N15" i="68"/>
  <c r="M15" i="68"/>
  <c r="L15" i="68"/>
  <c r="K15" i="68"/>
  <c r="O14" i="68"/>
  <c r="N14" i="68"/>
  <c r="M14" i="68"/>
  <c r="L14" i="68"/>
  <c r="K14" i="68"/>
  <c r="O13" i="68"/>
  <c r="N13" i="68"/>
  <c r="M13" i="68"/>
  <c r="L13" i="68"/>
  <c r="K13" i="68"/>
  <c r="O12" i="68"/>
  <c r="N12" i="68"/>
  <c r="M12" i="68"/>
  <c r="L12" i="68"/>
  <c r="K12" i="68"/>
  <c r="O11" i="68"/>
  <c r="N11" i="68"/>
  <c r="M11" i="68"/>
  <c r="L11" i="68"/>
  <c r="K11" i="68"/>
  <c r="O10" i="68"/>
  <c r="N10" i="68"/>
  <c r="M10" i="68"/>
  <c r="L10" i="68"/>
  <c r="K10" i="68"/>
  <c r="O9" i="68"/>
  <c r="N9" i="68"/>
  <c r="M9" i="68"/>
  <c r="L9" i="68"/>
  <c r="K9" i="68"/>
  <c r="K46" i="76" l="1"/>
  <c r="AG16" i="68"/>
  <c r="O46" i="76"/>
  <c r="AG20" i="68"/>
  <c r="R46" i="76"/>
  <c r="AG22" i="68"/>
  <c r="X46" i="76"/>
  <c r="AG26" i="68"/>
  <c r="D46" i="76"/>
  <c r="AG9" i="68"/>
  <c r="L46" i="76"/>
  <c r="AG17" i="68"/>
  <c r="P46" i="76"/>
  <c r="AG21" i="68"/>
  <c r="Y46" i="76"/>
  <c r="AG27" i="68"/>
  <c r="E46" i="76"/>
  <c r="AG10" i="68"/>
  <c r="I46" i="76"/>
  <c r="AG14" i="68"/>
  <c r="M46" i="76"/>
  <c r="AG18" i="68"/>
  <c r="V46" i="76"/>
  <c r="AG24" i="68"/>
  <c r="G46" i="76"/>
  <c r="AG12" i="68"/>
  <c r="H46" i="76"/>
  <c r="AG13" i="68"/>
  <c r="S46" i="76"/>
  <c r="AG23" i="68"/>
  <c r="F46" i="76"/>
  <c r="AG11" i="68"/>
  <c r="J46" i="76"/>
  <c r="AG15" i="68"/>
  <c r="N46" i="76"/>
  <c r="AG19" i="68"/>
  <c r="W46" i="76"/>
  <c r="AG25" i="68"/>
  <c r="AG22" i="69"/>
  <c r="R47" i="76"/>
  <c r="AG17" i="69"/>
  <c r="L47" i="76"/>
  <c r="AG19" i="69"/>
  <c r="N47" i="76"/>
  <c r="AG11" i="69"/>
  <c r="F47" i="76"/>
  <c r="AG25" i="69"/>
  <c r="W47" i="76"/>
  <c r="AG13" i="69"/>
  <c r="H47" i="76"/>
  <c r="AA47" i="76"/>
  <c r="AG21" i="69"/>
  <c r="P47" i="76"/>
  <c r="AG23" i="69"/>
  <c r="S47" i="76"/>
  <c r="AG20" i="69"/>
  <c r="O47" i="76"/>
  <c r="D47" i="76"/>
  <c r="AG24" i="69"/>
  <c r="V47" i="76"/>
  <c r="AG15" i="69"/>
  <c r="J47" i="76"/>
  <c r="AG27" i="69"/>
  <c r="Y47" i="76"/>
  <c r="Y166" i="66"/>
  <c r="P32" i="66"/>
  <c r="P31" i="66"/>
  <c r="P26" i="66"/>
  <c r="P25" i="66"/>
  <c r="P22" i="66"/>
  <c r="Z4" i="70"/>
  <c r="Y4" i="69"/>
  <c r="Y4" i="68"/>
  <c r="Y4" i="67"/>
  <c r="Y4" i="66"/>
  <c r="Y4" i="65"/>
  <c r="Y4" i="64"/>
  <c r="P32" i="65"/>
  <c r="P31" i="65"/>
  <c r="P26" i="65"/>
  <c r="P25" i="65"/>
  <c r="P22" i="65"/>
  <c r="P32" i="64"/>
  <c r="P31" i="64"/>
  <c r="P26" i="64"/>
  <c r="P25" i="64"/>
  <c r="P22" i="64"/>
  <c r="Y168" i="63"/>
  <c r="Z168" i="63"/>
  <c r="AA168" i="63"/>
  <c r="AB168" i="63"/>
  <c r="AC168" i="63"/>
  <c r="Z102" i="77"/>
  <c r="Z103" i="77"/>
  <c r="Z102" i="78"/>
  <c r="Z103" i="78"/>
  <c r="Z102" i="79"/>
  <c r="Z103" i="79"/>
  <c r="Y102" i="80"/>
  <c r="Z102" i="80"/>
  <c r="Y103" i="80"/>
  <c r="Z103" i="80"/>
  <c r="Z103" i="81"/>
  <c r="Z102" i="81"/>
  <c r="Y4" i="63"/>
  <c r="Y4" i="62"/>
  <c r="P32" i="62"/>
  <c r="P31" i="62"/>
  <c r="P26" i="62"/>
  <c r="P25" i="62"/>
  <c r="P22" i="62"/>
  <c r="Y113" i="49"/>
  <c r="BO65" i="70" l="1"/>
  <c r="BN65" i="70"/>
  <c r="BK65" i="70"/>
  <c r="BP65" i="70"/>
  <c r="BI65" i="70"/>
  <c r="BH65" i="70"/>
  <c r="BJ65" i="70"/>
  <c r="BM65" i="70"/>
  <c r="AD168" i="63"/>
  <c r="Z61" i="80"/>
  <c r="Y38" i="77" l="1"/>
  <c r="Y68" i="77" l="1"/>
  <c r="Y69" i="77"/>
  <c r="Y70" i="77"/>
  <c r="Y71" i="77"/>
  <c r="Y72" i="77"/>
  <c r="Y61" i="77" l="1"/>
  <c r="Y57" i="77"/>
  <c r="Y58" i="77"/>
  <c r="Y4" i="49" l="1"/>
  <c r="Y87" i="77" l="1"/>
  <c r="Z168" i="70" s="1"/>
  <c r="Y77" i="77"/>
  <c r="Y65" i="77"/>
  <c r="Y63" i="77"/>
  <c r="Y62" i="77"/>
  <c r="Y60" i="77"/>
  <c r="D31" i="69" s="1"/>
  <c r="Y56" i="77"/>
  <c r="Y55" i="77"/>
  <c r="Y53" i="77"/>
  <c r="Y52" i="77"/>
  <c r="Y51" i="77"/>
  <c r="Y50" i="77"/>
  <c r="Y49" i="77"/>
  <c r="Y48" i="77"/>
  <c r="Y47" i="77"/>
  <c r="Y44" i="77"/>
  <c r="Y43" i="77"/>
  <c r="Y42" i="77"/>
  <c r="Y41" i="77"/>
  <c r="Y40" i="77"/>
  <c r="Y37" i="77"/>
  <c r="Y14" i="77"/>
  <c r="Y12" i="77"/>
  <c r="Y77" i="78"/>
  <c r="E31" i="69"/>
  <c r="Y87" i="79"/>
  <c r="AB168" i="70" s="1"/>
  <c r="Y76" i="79"/>
  <c r="Y72" i="79"/>
  <c r="Y71" i="79"/>
  <c r="Y70" i="79"/>
  <c r="Y69" i="79"/>
  <c r="Y68" i="79"/>
  <c r="Y65" i="79"/>
  <c r="Y63" i="79"/>
  <c r="Y62" i="79"/>
  <c r="F31" i="69"/>
  <c r="Y40" i="79"/>
  <c r="Y14" i="79"/>
  <c r="Y65" i="80"/>
  <c r="Y64" i="80"/>
  <c r="Y63" i="80"/>
  <c r="Y62" i="80"/>
  <c r="G31" i="69"/>
  <c r="Y12" i="80"/>
  <c r="Y55" i="81"/>
  <c r="Y60" i="81"/>
  <c r="H31" i="69" s="1"/>
  <c r="H31" i="70"/>
  <c r="Y61" i="79" l="1"/>
  <c r="Y103" i="77"/>
  <c r="Y102" i="77"/>
  <c r="Y103" i="78"/>
  <c r="Y102" i="78"/>
  <c r="I31" i="69"/>
  <c r="Y103" i="79"/>
  <c r="Y102" i="79"/>
  <c r="Y103" i="81"/>
  <c r="Y102" i="81"/>
  <c r="H32" i="70" l="1"/>
  <c r="G32" i="70"/>
  <c r="N32" i="70" s="1"/>
  <c r="F32" i="70"/>
  <c r="M32" i="70" s="1"/>
  <c r="E32" i="70"/>
  <c r="L32" i="70" s="1"/>
  <c r="D32" i="70"/>
  <c r="K32" i="70" s="1"/>
  <c r="D31" i="70"/>
  <c r="H30" i="70"/>
  <c r="G30" i="70"/>
  <c r="N30" i="70" s="1"/>
  <c r="F30" i="70"/>
  <c r="M30" i="70" s="1"/>
  <c r="E30" i="70"/>
  <c r="L30" i="70" s="1"/>
  <c r="D30" i="70"/>
  <c r="K30" i="70" s="1"/>
  <c r="H29" i="70"/>
  <c r="G29" i="70"/>
  <c r="N29" i="70" s="1"/>
  <c r="F29" i="70"/>
  <c r="M29" i="70" s="1"/>
  <c r="E29" i="70"/>
  <c r="L29" i="70" s="1"/>
  <c r="D29" i="70"/>
  <c r="K29" i="70" s="1"/>
  <c r="H28" i="70"/>
  <c r="G28" i="70"/>
  <c r="N28" i="70" s="1"/>
  <c r="F28" i="70"/>
  <c r="M28" i="70" s="1"/>
  <c r="E28" i="70"/>
  <c r="L28" i="70" s="1"/>
  <c r="D28" i="70"/>
  <c r="K28" i="70" s="1"/>
  <c r="H27" i="70"/>
  <c r="G27" i="70"/>
  <c r="N27" i="70" s="1"/>
  <c r="F27" i="70"/>
  <c r="M27" i="70" s="1"/>
  <c r="E27" i="70"/>
  <c r="L27" i="70" s="1"/>
  <c r="D27" i="70"/>
  <c r="K27" i="70" s="1"/>
  <c r="H26" i="70"/>
  <c r="G26" i="70"/>
  <c r="N26" i="70" s="1"/>
  <c r="F26" i="70"/>
  <c r="M26" i="70" s="1"/>
  <c r="E26" i="70"/>
  <c r="L26" i="70" s="1"/>
  <c r="D26" i="70"/>
  <c r="K26" i="70" s="1"/>
  <c r="H25" i="70"/>
  <c r="G25" i="70"/>
  <c r="N25" i="70" s="1"/>
  <c r="F25" i="70"/>
  <c r="M25" i="70" s="1"/>
  <c r="E25" i="70"/>
  <c r="L25" i="70" s="1"/>
  <c r="D25" i="70"/>
  <c r="K25" i="70" s="1"/>
  <c r="H24" i="70"/>
  <c r="G24" i="70"/>
  <c r="N24" i="70" s="1"/>
  <c r="F24" i="70"/>
  <c r="M24" i="70" s="1"/>
  <c r="E24" i="70"/>
  <c r="L24" i="70" s="1"/>
  <c r="D24" i="70"/>
  <c r="K24" i="70" s="1"/>
  <c r="H23" i="70"/>
  <c r="O23" i="70" s="1"/>
  <c r="G23" i="70"/>
  <c r="N23" i="70" s="1"/>
  <c r="F23" i="70"/>
  <c r="M23" i="70" s="1"/>
  <c r="E23" i="70"/>
  <c r="L23" i="70" s="1"/>
  <c r="D23" i="70"/>
  <c r="K23" i="70" s="1"/>
  <c r="H22" i="70"/>
  <c r="G22" i="70"/>
  <c r="N22" i="70" s="1"/>
  <c r="F22" i="70"/>
  <c r="M22" i="70" s="1"/>
  <c r="E22" i="70"/>
  <c r="L22" i="70" s="1"/>
  <c r="D22" i="70"/>
  <c r="K22" i="70" s="1"/>
  <c r="H21" i="70"/>
  <c r="G21" i="70"/>
  <c r="N21" i="70" s="1"/>
  <c r="F21" i="70"/>
  <c r="M21" i="70" s="1"/>
  <c r="E21" i="70"/>
  <c r="L21" i="70" s="1"/>
  <c r="D21" i="70"/>
  <c r="K21" i="70" s="1"/>
  <c r="H20" i="70"/>
  <c r="O20" i="70" s="1"/>
  <c r="G20" i="70"/>
  <c r="N20" i="70" s="1"/>
  <c r="F20" i="70"/>
  <c r="M20" i="70" s="1"/>
  <c r="E20" i="70"/>
  <c r="L20" i="70" s="1"/>
  <c r="D20" i="70"/>
  <c r="K20" i="70" s="1"/>
  <c r="H19" i="70"/>
  <c r="O19" i="70" s="1"/>
  <c r="G19" i="70"/>
  <c r="N19" i="70" s="1"/>
  <c r="F19" i="70"/>
  <c r="M19" i="70" s="1"/>
  <c r="E19" i="70"/>
  <c r="L19" i="70" s="1"/>
  <c r="D19" i="70"/>
  <c r="K19" i="70" s="1"/>
  <c r="H18" i="70"/>
  <c r="O18" i="70" s="1"/>
  <c r="G18" i="70"/>
  <c r="N18" i="70" s="1"/>
  <c r="F18" i="70"/>
  <c r="M18" i="70" s="1"/>
  <c r="E18" i="70"/>
  <c r="L18" i="70" s="1"/>
  <c r="D18" i="70"/>
  <c r="K18" i="70" s="1"/>
  <c r="H17" i="70"/>
  <c r="G17" i="70"/>
  <c r="N17" i="70" s="1"/>
  <c r="F17" i="70"/>
  <c r="M17" i="70" s="1"/>
  <c r="E17" i="70"/>
  <c r="L17" i="70" s="1"/>
  <c r="D17" i="70"/>
  <c r="K17" i="70" s="1"/>
  <c r="H16" i="70"/>
  <c r="G16" i="70"/>
  <c r="N16" i="70" s="1"/>
  <c r="F16" i="70"/>
  <c r="M16" i="70" s="1"/>
  <c r="E16" i="70"/>
  <c r="L16" i="70" s="1"/>
  <c r="D16" i="70"/>
  <c r="K16" i="70" s="1"/>
  <c r="H15" i="70"/>
  <c r="O15" i="70" s="1"/>
  <c r="G15" i="70"/>
  <c r="N15" i="70" s="1"/>
  <c r="F15" i="70"/>
  <c r="M15" i="70" s="1"/>
  <c r="E15" i="70"/>
  <c r="L15" i="70" s="1"/>
  <c r="D15" i="70"/>
  <c r="K15" i="70" s="1"/>
  <c r="H14" i="70"/>
  <c r="O14" i="70" s="1"/>
  <c r="G14" i="70"/>
  <c r="N14" i="70" s="1"/>
  <c r="F14" i="70"/>
  <c r="M14" i="70" s="1"/>
  <c r="E14" i="70"/>
  <c r="L14" i="70" s="1"/>
  <c r="D14" i="70"/>
  <c r="K14" i="70" s="1"/>
  <c r="H13" i="70"/>
  <c r="G13" i="70"/>
  <c r="N13" i="70" s="1"/>
  <c r="F13" i="70"/>
  <c r="M13" i="70" s="1"/>
  <c r="E13" i="70"/>
  <c r="L13" i="70" s="1"/>
  <c r="D13" i="70"/>
  <c r="K13" i="70" s="1"/>
  <c r="H12" i="70"/>
  <c r="G12" i="70"/>
  <c r="N12" i="70" s="1"/>
  <c r="F12" i="70"/>
  <c r="M12" i="70" s="1"/>
  <c r="E12" i="70"/>
  <c r="L12" i="70" s="1"/>
  <c r="D12" i="70"/>
  <c r="K12" i="70" s="1"/>
  <c r="H11" i="70"/>
  <c r="O11" i="70" s="1"/>
  <c r="G11" i="70"/>
  <c r="N11" i="70" s="1"/>
  <c r="F11" i="70"/>
  <c r="M11" i="70" s="1"/>
  <c r="E11" i="70"/>
  <c r="L11" i="70" s="1"/>
  <c r="D11" i="70"/>
  <c r="K11" i="70" s="1"/>
  <c r="H10" i="70"/>
  <c r="O10" i="70" s="1"/>
  <c r="G10" i="70"/>
  <c r="N10" i="70" s="1"/>
  <c r="F10" i="70"/>
  <c r="M10" i="70" s="1"/>
  <c r="E10" i="70"/>
  <c r="L10" i="70" s="1"/>
  <c r="D10" i="70"/>
  <c r="K10" i="70" s="1"/>
  <c r="H9" i="70"/>
  <c r="G9" i="70"/>
  <c r="N9" i="70" s="1"/>
  <c r="F9" i="70"/>
  <c r="M9" i="70" s="1"/>
  <c r="E9" i="70"/>
  <c r="L9" i="70" s="1"/>
  <c r="D9" i="70"/>
  <c r="K9" i="70" s="1"/>
  <c r="O27" i="70" l="1"/>
  <c r="V52" i="76" s="1"/>
  <c r="I27" i="70"/>
  <c r="AH10" i="70"/>
  <c r="E52" i="76"/>
  <c r="AH14" i="70"/>
  <c r="I52" i="76"/>
  <c r="AH18" i="70"/>
  <c r="M52" i="76"/>
  <c r="AH11" i="70"/>
  <c r="F52" i="76"/>
  <c r="AH15" i="70"/>
  <c r="J52" i="76"/>
  <c r="AH19" i="70"/>
  <c r="N52" i="76"/>
  <c r="AH22" i="70"/>
  <c r="R52" i="76"/>
  <c r="AH20" i="70"/>
  <c r="O52" i="76"/>
  <c r="I9" i="70"/>
  <c r="O9" i="70"/>
  <c r="I13" i="70"/>
  <c r="O13" i="70"/>
  <c r="I17" i="70"/>
  <c r="O17" i="70"/>
  <c r="I21" i="70"/>
  <c r="O21" i="70"/>
  <c r="I25" i="70"/>
  <c r="O25" i="70"/>
  <c r="T52" i="76" s="1"/>
  <c r="I29" i="70"/>
  <c r="O29" i="70"/>
  <c r="I22" i="70"/>
  <c r="O22" i="70"/>
  <c r="Q52" i="76" s="1"/>
  <c r="I26" i="70"/>
  <c r="O26" i="70"/>
  <c r="U52" i="76" s="1"/>
  <c r="I30" i="70"/>
  <c r="O30" i="70"/>
  <c r="I12" i="70"/>
  <c r="O12" i="70"/>
  <c r="I16" i="70"/>
  <c r="O16" i="70"/>
  <c r="I24" i="70"/>
  <c r="O24" i="70"/>
  <c r="I28" i="70"/>
  <c r="O28" i="70"/>
  <c r="I32" i="70"/>
  <c r="O32" i="70"/>
  <c r="AA52" i="76" s="1"/>
  <c r="I20" i="70"/>
  <c r="I10" i="70"/>
  <c r="I14" i="70"/>
  <c r="I18" i="70"/>
  <c r="I11" i="70"/>
  <c r="I15" i="70"/>
  <c r="I19" i="70"/>
  <c r="I23" i="70"/>
  <c r="AJ99" i="70"/>
  <c r="AI99" i="70"/>
  <c r="AH99" i="70"/>
  <c r="AG99" i="70"/>
  <c r="AF99" i="70"/>
  <c r="AJ97" i="70"/>
  <c r="AI97" i="70"/>
  <c r="AH97" i="70"/>
  <c r="AG97" i="70"/>
  <c r="AF97" i="70"/>
  <c r="AJ96" i="70"/>
  <c r="AI96" i="70"/>
  <c r="AH96" i="70"/>
  <c r="AG96" i="70"/>
  <c r="AF96" i="70"/>
  <c r="AJ95" i="70"/>
  <c r="AI95" i="70"/>
  <c r="AH95" i="70"/>
  <c r="AG95" i="70"/>
  <c r="AF95" i="70"/>
  <c r="AJ94" i="70"/>
  <c r="AI94" i="70"/>
  <c r="AH94" i="70"/>
  <c r="AG94" i="70"/>
  <c r="AF94" i="70"/>
  <c r="AJ93" i="70"/>
  <c r="AI93" i="70"/>
  <c r="AH93" i="70"/>
  <c r="AG93" i="70"/>
  <c r="AF93" i="70"/>
  <c r="AJ92" i="70"/>
  <c r="AI92" i="70"/>
  <c r="AH92" i="70"/>
  <c r="AG92" i="70"/>
  <c r="AF92" i="70"/>
  <c r="AJ91" i="70"/>
  <c r="AI91" i="70"/>
  <c r="AH91" i="70"/>
  <c r="AG91" i="70"/>
  <c r="AF91" i="70"/>
  <c r="AJ90" i="70"/>
  <c r="AI90" i="70"/>
  <c r="AH90" i="70"/>
  <c r="AG90" i="70"/>
  <c r="AF90" i="70"/>
  <c r="AJ89" i="70"/>
  <c r="AI89" i="70"/>
  <c r="AH89" i="70"/>
  <c r="AG89" i="70"/>
  <c r="AF89" i="70"/>
  <c r="AJ88" i="70"/>
  <c r="AI88" i="70"/>
  <c r="AH88" i="70"/>
  <c r="AG88" i="70"/>
  <c r="AF88" i="70"/>
  <c r="AJ87" i="70"/>
  <c r="AI87" i="70"/>
  <c r="AH87" i="70"/>
  <c r="AG87" i="70"/>
  <c r="AF87" i="70"/>
  <c r="AJ86" i="70"/>
  <c r="AI86" i="70"/>
  <c r="AH86" i="70"/>
  <c r="AG86" i="70"/>
  <c r="AF86" i="70"/>
  <c r="AJ85" i="70"/>
  <c r="AI85" i="70"/>
  <c r="AH85" i="70"/>
  <c r="AG85" i="70"/>
  <c r="AF85" i="70"/>
  <c r="AJ84" i="70"/>
  <c r="AI84" i="70"/>
  <c r="AH84" i="70"/>
  <c r="AG84" i="70"/>
  <c r="AF84" i="70"/>
  <c r="AJ83" i="70"/>
  <c r="AI83" i="70"/>
  <c r="AH83" i="70"/>
  <c r="AG83" i="70"/>
  <c r="AF83" i="70"/>
  <c r="AJ82" i="70"/>
  <c r="AI82" i="70"/>
  <c r="AH82" i="70"/>
  <c r="AG82" i="70"/>
  <c r="AF82" i="70"/>
  <c r="AJ81" i="70"/>
  <c r="AI81" i="70"/>
  <c r="AH81" i="70"/>
  <c r="AG81" i="70"/>
  <c r="AF81" i="70"/>
  <c r="AJ80" i="70"/>
  <c r="AI80" i="70"/>
  <c r="AH80" i="70"/>
  <c r="AG80" i="70"/>
  <c r="AF80" i="70"/>
  <c r="AJ79" i="70"/>
  <c r="AI79" i="70"/>
  <c r="AH79" i="70"/>
  <c r="AG79" i="70"/>
  <c r="AF79" i="70"/>
  <c r="AJ78" i="70"/>
  <c r="AI78" i="70"/>
  <c r="AH78" i="70"/>
  <c r="AG78" i="70"/>
  <c r="AF78" i="70"/>
  <c r="AJ77" i="70"/>
  <c r="AI77" i="70"/>
  <c r="AH77" i="70"/>
  <c r="AG77" i="70"/>
  <c r="AF77" i="70"/>
  <c r="AJ76" i="70"/>
  <c r="AI76" i="70"/>
  <c r="AH76" i="70"/>
  <c r="AG76" i="70"/>
  <c r="AF76" i="70"/>
  <c r="AD99" i="70"/>
  <c r="AC99" i="70"/>
  <c r="AB99" i="70"/>
  <c r="AA99" i="70"/>
  <c r="Z99" i="70"/>
  <c r="AD97" i="70"/>
  <c r="AC97" i="70"/>
  <c r="AB97" i="70"/>
  <c r="AA97" i="70"/>
  <c r="Z97" i="70"/>
  <c r="AD96" i="70"/>
  <c r="AC96" i="70"/>
  <c r="AB96" i="70"/>
  <c r="AA96" i="70"/>
  <c r="Z96" i="70"/>
  <c r="AD95" i="70"/>
  <c r="AC95" i="70"/>
  <c r="AB95" i="70"/>
  <c r="AA95" i="70"/>
  <c r="Z95" i="70"/>
  <c r="AD94" i="70"/>
  <c r="AC94" i="70"/>
  <c r="AB94" i="70"/>
  <c r="AA94" i="70"/>
  <c r="Z94" i="70"/>
  <c r="AD93" i="70"/>
  <c r="AC93" i="70"/>
  <c r="AB93" i="70"/>
  <c r="AA93" i="70"/>
  <c r="Z93" i="70"/>
  <c r="AD92" i="70"/>
  <c r="AC92" i="70"/>
  <c r="AB92" i="70"/>
  <c r="AA92" i="70"/>
  <c r="Z92" i="70"/>
  <c r="AD91" i="70"/>
  <c r="AC91" i="70"/>
  <c r="AB91" i="70"/>
  <c r="AA91" i="70"/>
  <c r="Z91" i="70"/>
  <c r="AD90" i="70"/>
  <c r="AC90" i="70"/>
  <c r="AB90" i="70"/>
  <c r="AA90" i="70"/>
  <c r="Z90" i="70"/>
  <c r="AD89" i="70"/>
  <c r="AC89" i="70"/>
  <c r="AB89" i="70"/>
  <c r="AA89" i="70"/>
  <c r="Z89" i="70"/>
  <c r="AD88" i="70"/>
  <c r="AC88" i="70"/>
  <c r="AB88" i="70"/>
  <c r="AA88" i="70"/>
  <c r="Z88" i="70"/>
  <c r="AD87" i="70"/>
  <c r="AC87" i="70"/>
  <c r="AB87" i="70"/>
  <c r="AA87" i="70"/>
  <c r="Z87" i="70"/>
  <c r="AD86" i="70"/>
  <c r="AC86" i="70"/>
  <c r="AB86" i="70"/>
  <c r="AA86" i="70"/>
  <c r="Z86" i="70"/>
  <c r="AD85" i="70"/>
  <c r="AC85" i="70"/>
  <c r="AB85" i="70"/>
  <c r="AA85" i="70"/>
  <c r="Z85" i="70"/>
  <c r="AD84" i="70"/>
  <c r="AC84" i="70"/>
  <c r="AB84" i="70"/>
  <c r="AA84" i="70"/>
  <c r="Z84" i="70"/>
  <c r="AD83" i="70"/>
  <c r="AC83" i="70"/>
  <c r="AB83" i="70"/>
  <c r="AA83" i="70"/>
  <c r="Z83" i="70"/>
  <c r="AD82" i="70"/>
  <c r="AC82" i="70"/>
  <c r="AB82" i="70"/>
  <c r="F152" i="70" s="1"/>
  <c r="BO47" i="70" s="1"/>
  <c r="AA82" i="70"/>
  <c r="Z82" i="70"/>
  <c r="AD81" i="70"/>
  <c r="AC81" i="70"/>
  <c r="AB81" i="70"/>
  <c r="AA81" i="70"/>
  <c r="Z81" i="70"/>
  <c r="AD80" i="70"/>
  <c r="AC80" i="70"/>
  <c r="AB80" i="70"/>
  <c r="AA80" i="70"/>
  <c r="Z80" i="70"/>
  <c r="AD79" i="70"/>
  <c r="AC79" i="70"/>
  <c r="AB79" i="70"/>
  <c r="AA79" i="70"/>
  <c r="Z79" i="70"/>
  <c r="AD78" i="70"/>
  <c r="AC78" i="70"/>
  <c r="AB78" i="70"/>
  <c r="AA78" i="70"/>
  <c r="Z78" i="70"/>
  <c r="AD77" i="70"/>
  <c r="AC77" i="70"/>
  <c r="AB77" i="70"/>
  <c r="AA77" i="70"/>
  <c r="Z77" i="70"/>
  <c r="AD76" i="70"/>
  <c r="AC76" i="70"/>
  <c r="AB76" i="70"/>
  <c r="AA76" i="70"/>
  <c r="Z76" i="70"/>
  <c r="E146" i="70" l="1"/>
  <c r="BN41" i="70" s="1"/>
  <c r="E111" i="70"/>
  <c r="BI41" i="70" s="1"/>
  <c r="H147" i="70"/>
  <c r="BQ42" i="70" s="1"/>
  <c r="H112" i="70"/>
  <c r="BL42" i="70" s="1"/>
  <c r="F149" i="70"/>
  <c r="BO44" i="70" s="1"/>
  <c r="F114" i="70"/>
  <c r="BJ44" i="70" s="1"/>
  <c r="D116" i="70"/>
  <c r="BH46" i="70" s="1"/>
  <c r="D151" i="70"/>
  <c r="BM46" i="70" s="1"/>
  <c r="G117" i="70"/>
  <c r="BK47" i="70" s="1"/>
  <c r="G152" i="70"/>
  <c r="BP47" i="70" s="1"/>
  <c r="E119" i="70"/>
  <c r="BI49" i="70" s="1"/>
  <c r="E154" i="70"/>
  <c r="BN49" i="70" s="1"/>
  <c r="H120" i="70"/>
  <c r="BL50" i="70" s="1"/>
  <c r="H155" i="70"/>
  <c r="BQ50" i="70" s="1"/>
  <c r="F122" i="70"/>
  <c r="BJ52" i="70" s="1"/>
  <c r="F157" i="70"/>
  <c r="BO52" i="70" s="1"/>
  <c r="D124" i="70"/>
  <c r="BH54" i="70" s="1"/>
  <c r="D159" i="70"/>
  <c r="BM54" i="70" s="1"/>
  <c r="G125" i="70"/>
  <c r="BK55" i="70" s="1"/>
  <c r="G160" i="70"/>
  <c r="BP55" i="70" s="1"/>
  <c r="E127" i="70"/>
  <c r="BI57" i="70" s="1"/>
  <c r="E162" i="70"/>
  <c r="BN57" i="70" s="1"/>
  <c r="H128" i="70"/>
  <c r="BL58" i="70" s="1"/>
  <c r="H163" i="70"/>
  <c r="BQ58" i="70" s="1"/>
  <c r="F130" i="70"/>
  <c r="BJ60" i="70" s="1"/>
  <c r="F165" i="70"/>
  <c r="BO60" i="70" s="1"/>
  <c r="D132" i="70"/>
  <c r="BH62" i="70" s="1"/>
  <c r="D167" i="70"/>
  <c r="BM62" i="70" s="1"/>
  <c r="G169" i="70"/>
  <c r="BP64" i="70" s="1"/>
  <c r="G134" i="70"/>
  <c r="BK64" i="70" s="1"/>
  <c r="F146" i="70"/>
  <c r="BO41" i="70" s="1"/>
  <c r="F111" i="70"/>
  <c r="BJ41" i="70" s="1"/>
  <c r="D148" i="70"/>
  <c r="BM43" i="70" s="1"/>
  <c r="D113" i="70"/>
  <c r="BH43" i="70" s="1"/>
  <c r="G149" i="70"/>
  <c r="BP44" i="70" s="1"/>
  <c r="G114" i="70"/>
  <c r="BK44" i="70" s="1"/>
  <c r="E116" i="70"/>
  <c r="BI46" i="70" s="1"/>
  <c r="E151" i="70"/>
  <c r="BN46" i="70" s="1"/>
  <c r="H117" i="70"/>
  <c r="BL47" i="70" s="1"/>
  <c r="H152" i="70"/>
  <c r="BQ47" i="70" s="1"/>
  <c r="F119" i="70"/>
  <c r="BJ49" i="70" s="1"/>
  <c r="F154" i="70"/>
  <c r="BO49" i="70" s="1"/>
  <c r="D121" i="70"/>
  <c r="BH51" i="70" s="1"/>
  <c r="D156" i="70"/>
  <c r="BM51" i="70" s="1"/>
  <c r="G122" i="70"/>
  <c r="BK52" i="70" s="1"/>
  <c r="G157" i="70"/>
  <c r="BP52" i="70" s="1"/>
  <c r="E124" i="70"/>
  <c r="BI54" i="70" s="1"/>
  <c r="E159" i="70"/>
  <c r="BN54" i="70" s="1"/>
  <c r="H125" i="70"/>
  <c r="BL55" i="70" s="1"/>
  <c r="H160" i="70"/>
  <c r="BQ55" i="70" s="1"/>
  <c r="F127" i="70"/>
  <c r="BJ57" i="70" s="1"/>
  <c r="F162" i="70"/>
  <c r="BO57" i="70" s="1"/>
  <c r="D129" i="70"/>
  <c r="BH59" i="70" s="1"/>
  <c r="D164" i="70"/>
  <c r="BM59" i="70" s="1"/>
  <c r="F131" i="70"/>
  <c r="BJ61" i="70" s="1"/>
  <c r="F166" i="70"/>
  <c r="BO61" i="70" s="1"/>
  <c r="D134" i="70"/>
  <c r="BH64" i="70" s="1"/>
  <c r="D169" i="70"/>
  <c r="BM64" i="70" s="1"/>
  <c r="F147" i="70"/>
  <c r="BO42" i="70" s="1"/>
  <c r="F112" i="70"/>
  <c r="BJ42" i="70" s="1"/>
  <c r="E148" i="70"/>
  <c r="BN43" i="70" s="1"/>
  <c r="E113" i="70"/>
  <c r="BI43" i="70" s="1"/>
  <c r="H149" i="70"/>
  <c r="BQ44" i="70" s="1"/>
  <c r="H114" i="70"/>
  <c r="BL44" i="70" s="1"/>
  <c r="F116" i="70"/>
  <c r="BJ46" i="70" s="1"/>
  <c r="F151" i="70"/>
  <c r="BO46" i="70" s="1"/>
  <c r="D118" i="70"/>
  <c r="BH48" i="70" s="1"/>
  <c r="D153" i="70"/>
  <c r="BM48" i="70" s="1"/>
  <c r="G154" i="70"/>
  <c r="BP49" i="70" s="1"/>
  <c r="G119" i="70"/>
  <c r="BK49" i="70" s="1"/>
  <c r="E121" i="70"/>
  <c r="BI51" i="70" s="1"/>
  <c r="E156" i="70"/>
  <c r="BN51" i="70" s="1"/>
  <c r="H157" i="70"/>
  <c r="BQ52" i="70" s="1"/>
  <c r="H122" i="70"/>
  <c r="BL52" i="70" s="1"/>
  <c r="F159" i="70"/>
  <c r="BO54" i="70" s="1"/>
  <c r="F124" i="70"/>
  <c r="BJ54" i="70" s="1"/>
  <c r="D146" i="70"/>
  <c r="BM41" i="70" s="1"/>
  <c r="D111" i="70"/>
  <c r="BH41" i="70" s="1"/>
  <c r="H146" i="70"/>
  <c r="BQ41" i="70" s="1"/>
  <c r="H111" i="70"/>
  <c r="BL41" i="70" s="1"/>
  <c r="G147" i="70"/>
  <c r="BP42" i="70" s="1"/>
  <c r="G112" i="70"/>
  <c r="BK42" i="70" s="1"/>
  <c r="F148" i="70"/>
  <c r="BO43" i="70" s="1"/>
  <c r="F113" i="70"/>
  <c r="BJ43" i="70" s="1"/>
  <c r="E149" i="70"/>
  <c r="BN44" i="70" s="1"/>
  <c r="E114" i="70"/>
  <c r="BI44" i="70" s="1"/>
  <c r="D150" i="70"/>
  <c r="BM45" i="70" s="1"/>
  <c r="D115" i="70"/>
  <c r="BH45" i="70" s="1"/>
  <c r="H150" i="70"/>
  <c r="BQ45" i="70" s="1"/>
  <c r="H115" i="70"/>
  <c r="BL45" i="70" s="1"/>
  <c r="G151" i="70"/>
  <c r="BP46" i="70" s="1"/>
  <c r="G116" i="70"/>
  <c r="BK46" i="70" s="1"/>
  <c r="F117" i="70"/>
  <c r="BJ47" i="70" s="1"/>
  <c r="E153" i="70"/>
  <c r="BN48" i="70" s="1"/>
  <c r="E118" i="70"/>
  <c r="BI48" i="70" s="1"/>
  <c r="D154" i="70"/>
  <c r="BM49" i="70" s="1"/>
  <c r="D119" i="70"/>
  <c r="BH49" i="70" s="1"/>
  <c r="H154" i="70"/>
  <c r="BQ49" i="70" s="1"/>
  <c r="H119" i="70"/>
  <c r="BL49" i="70" s="1"/>
  <c r="G155" i="70"/>
  <c r="BP50" i="70" s="1"/>
  <c r="G120" i="70"/>
  <c r="BK50" i="70" s="1"/>
  <c r="F156" i="70"/>
  <c r="BO51" i="70" s="1"/>
  <c r="F121" i="70"/>
  <c r="BJ51" i="70" s="1"/>
  <c r="E157" i="70"/>
  <c r="BN52" i="70" s="1"/>
  <c r="E122" i="70"/>
  <c r="BI52" i="70" s="1"/>
  <c r="D158" i="70"/>
  <c r="BM53" i="70" s="1"/>
  <c r="D123" i="70"/>
  <c r="BH53" i="70" s="1"/>
  <c r="H158" i="70"/>
  <c r="BQ53" i="70" s="1"/>
  <c r="H123" i="70"/>
  <c r="BL53" i="70" s="1"/>
  <c r="G159" i="70"/>
  <c r="BP54" i="70" s="1"/>
  <c r="G124" i="70"/>
  <c r="BK54" i="70" s="1"/>
  <c r="F160" i="70"/>
  <c r="BO55" i="70" s="1"/>
  <c r="F125" i="70"/>
  <c r="BJ55" i="70" s="1"/>
  <c r="E161" i="70"/>
  <c r="BN56" i="70" s="1"/>
  <c r="E126" i="70"/>
  <c r="BI56" i="70" s="1"/>
  <c r="D162" i="70"/>
  <c r="BM57" i="70" s="1"/>
  <c r="D127" i="70"/>
  <c r="BH57" i="70" s="1"/>
  <c r="H162" i="70"/>
  <c r="BQ57" i="70" s="1"/>
  <c r="H127" i="70"/>
  <c r="BL57" i="70" s="1"/>
  <c r="G163" i="70"/>
  <c r="BP58" i="70" s="1"/>
  <c r="G128" i="70"/>
  <c r="BK58" i="70" s="1"/>
  <c r="F164" i="70"/>
  <c r="BO59" i="70" s="1"/>
  <c r="F129" i="70"/>
  <c r="BJ59" i="70" s="1"/>
  <c r="E165" i="70"/>
  <c r="BN60" i="70" s="1"/>
  <c r="E130" i="70"/>
  <c r="BI60" i="70" s="1"/>
  <c r="D166" i="70"/>
  <c r="BM61" i="70" s="1"/>
  <c r="D131" i="70"/>
  <c r="BH61" i="70" s="1"/>
  <c r="H166" i="70"/>
  <c r="BQ61" i="70" s="1"/>
  <c r="H131" i="70"/>
  <c r="BL61" i="70" s="1"/>
  <c r="G167" i="70"/>
  <c r="BP62" i="70" s="1"/>
  <c r="G132" i="70"/>
  <c r="BK62" i="70" s="1"/>
  <c r="F169" i="70"/>
  <c r="BO64" i="70" s="1"/>
  <c r="F134" i="70"/>
  <c r="BJ64" i="70" s="1"/>
  <c r="D147" i="70"/>
  <c r="BM42" i="70" s="1"/>
  <c r="D112" i="70"/>
  <c r="BH42" i="70" s="1"/>
  <c r="G148" i="70"/>
  <c r="BP43" i="70" s="1"/>
  <c r="G113" i="70"/>
  <c r="BK43" i="70" s="1"/>
  <c r="E150" i="70"/>
  <c r="BN45" i="70" s="1"/>
  <c r="E115" i="70"/>
  <c r="BI45" i="70" s="1"/>
  <c r="H116" i="70"/>
  <c r="BL46" i="70" s="1"/>
  <c r="H151" i="70"/>
  <c r="BQ46" i="70" s="1"/>
  <c r="F118" i="70"/>
  <c r="BJ48" i="70" s="1"/>
  <c r="F153" i="70"/>
  <c r="BO48" i="70" s="1"/>
  <c r="D120" i="70"/>
  <c r="BH50" i="70" s="1"/>
  <c r="D155" i="70"/>
  <c r="BM50" i="70" s="1"/>
  <c r="G121" i="70"/>
  <c r="BK51" i="70" s="1"/>
  <c r="G156" i="70"/>
  <c r="BP51" i="70" s="1"/>
  <c r="E123" i="70"/>
  <c r="BI53" i="70" s="1"/>
  <c r="E158" i="70"/>
  <c r="BN53" i="70" s="1"/>
  <c r="H124" i="70"/>
  <c r="BL54" i="70" s="1"/>
  <c r="H159" i="70"/>
  <c r="BQ54" i="70" s="1"/>
  <c r="F126" i="70"/>
  <c r="BJ56" i="70" s="1"/>
  <c r="F161" i="70"/>
  <c r="BO56" i="70" s="1"/>
  <c r="D128" i="70"/>
  <c r="BH58" i="70" s="1"/>
  <c r="D163" i="70"/>
  <c r="BM58" i="70" s="1"/>
  <c r="G129" i="70"/>
  <c r="BK59" i="70" s="1"/>
  <c r="G164" i="70"/>
  <c r="BP59" i="70" s="1"/>
  <c r="E131" i="70"/>
  <c r="BI61" i="70" s="1"/>
  <c r="E166" i="70"/>
  <c r="BN61" i="70" s="1"/>
  <c r="H132" i="70"/>
  <c r="BL62" i="70" s="1"/>
  <c r="H167" i="70"/>
  <c r="BQ62" i="70" s="1"/>
  <c r="E147" i="70"/>
  <c r="BN42" i="70" s="1"/>
  <c r="E112" i="70"/>
  <c r="BI42" i="70" s="1"/>
  <c r="H148" i="70"/>
  <c r="BQ43" i="70" s="1"/>
  <c r="H113" i="70"/>
  <c r="BL43" i="70" s="1"/>
  <c r="F115" i="70"/>
  <c r="BJ45" i="70" s="1"/>
  <c r="F150" i="70"/>
  <c r="BO45" i="70" s="1"/>
  <c r="D117" i="70"/>
  <c r="BH47" i="70" s="1"/>
  <c r="D152" i="70"/>
  <c r="BM47" i="70" s="1"/>
  <c r="G118" i="70"/>
  <c r="BK48" i="70" s="1"/>
  <c r="G153" i="70"/>
  <c r="BP48" i="70" s="1"/>
  <c r="E120" i="70"/>
  <c r="BI50" i="70" s="1"/>
  <c r="E155" i="70"/>
  <c r="BN50" i="70" s="1"/>
  <c r="H121" i="70"/>
  <c r="BL51" i="70" s="1"/>
  <c r="H156" i="70"/>
  <c r="BQ51" i="70" s="1"/>
  <c r="F123" i="70"/>
  <c r="BJ53" i="70" s="1"/>
  <c r="F158" i="70"/>
  <c r="BO53" i="70" s="1"/>
  <c r="D125" i="70"/>
  <c r="BH55" i="70" s="1"/>
  <c r="D160" i="70"/>
  <c r="BM55" i="70" s="1"/>
  <c r="G126" i="70"/>
  <c r="BK56" i="70" s="1"/>
  <c r="G161" i="70"/>
  <c r="BP56" i="70" s="1"/>
  <c r="E128" i="70"/>
  <c r="BI58" i="70" s="1"/>
  <c r="E163" i="70"/>
  <c r="BN58" i="70" s="1"/>
  <c r="H129" i="70"/>
  <c r="BL59" i="70" s="1"/>
  <c r="H164" i="70"/>
  <c r="BQ59" i="70" s="1"/>
  <c r="G130" i="70"/>
  <c r="BK60" i="70" s="1"/>
  <c r="G165" i="70"/>
  <c r="BP60" i="70" s="1"/>
  <c r="E132" i="70"/>
  <c r="BI62" i="70" s="1"/>
  <c r="E167" i="70"/>
  <c r="BN62" i="70" s="1"/>
  <c r="H134" i="70"/>
  <c r="BL64" i="70" s="1"/>
  <c r="H169" i="70"/>
  <c r="BQ64" i="70" s="1"/>
  <c r="G146" i="70"/>
  <c r="BP41" i="70" s="1"/>
  <c r="G111" i="70"/>
  <c r="BK41" i="70" s="1"/>
  <c r="D114" i="70"/>
  <c r="BH44" i="70" s="1"/>
  <c r="D149" i="70"/>
  <c r="BM44" i="70" s="1"/>
  <c r="G150" i="70"/>
  <c r="BP45" i="70" s="1"/>
  <c r="G115" i="70"/>
  <c r="BK45" i="70" s="1"/>
  <c r="E152" i="70"/>
  <c r="BN47" i="70" s="1"/>
  <c r="E117" i="70"/>
  <c r="BI47" i="70" s="1"/>
  <c r="H153" i="70"/>
  <c r="BQ48" i="70" s="1"/>
  <c r="H118" i="70"/>
  <c r="BL48" i="70" s="1"/>
  <c r="F155" i="70"/>
  <c r="BO50" i="70" s="1"/>
  <c r="F120" i="70"/>
  <c r="BJ50" i="70" s="1"/>
  <c r="D157" i="70"/>
  <c r="BM52" i="70" s="1"/>
  <c r="D122" i="70"/>
  <c r="BH52" i="70" s="1"/>
  <c r="G158" i="70"/>
  <c r="BP53" i="70" s="1"/>
  <c r="G123" i="70"/>
  <c r="BK53" i="70" s="1"/>
  <c r="E160" i="70"/>
  <c r="BN55" i="70" s="1"/>
  <c r="E125" i="70"/>
  <c r="BI55" i="70" s="1"/>
  <c r="D161" i="70"/>
  <c r="BM56" i="70" s="1"/>
  <c r="D126" i="70"/>
  <c r="BH56" i="70" s="1"/>
  <c r="H161" i="70"/>
  <c r="BQ56" i="70" s="1"/>
  <c r="H126" i="70"/>
  <c r="BL56" i="70" s="1"/>
  <c r="G162" i="70"/>
  <c r="BP57" i="70" s="1"/>
  <c r="G127" i="70"/>
  <c r="BK57" i="70" s="1"/>
  <c r="F163" i="70"/>
  <c r="BO58" i="70" s="1"/>
  <c r="F128" i="70"/>
  <c r="BJ58" i="70" s="1"/>
  <c r="E129" i="70"/>
  <c r="BI59" i="70" s="1"/>
  <c r="E164" i="70"/>
  <c r="BN59" i="70" s="1"/>
  <c r="D165" i="70"/>
  <c r="BM60" i="70" s="1"/>
  <c r="D130" i="70"/>
  <c r="BH60" i="70" s="1"/>
  <c r="H165" i="70"/>
  <c r="H130" i="70"/>
  <c r="G166" i="70"/>
  <c r="BP61" i="70" s="1"/>
  <c r="G131" i="70"/>
  <c r="BK61" i="70" s="1"/>
  <c r="F167" i="70"/>
  <c r="BO62" i="70" s="1"/>
  <c r="F132" i="70"/>
  <c r="BJ62" i="70" s="1"/>
  <c r="E134" i="70"/>
  <c r="BI64" i="70" s="1"/>
  <c r="E169" i="70"/>
  <c r="BN64" i="70" s="1"/>
  <c r="AH24" i="70"/>
  <c r="AH25" i="70"/>
  <c r="W52" i="76"/>
  <c r="AH16" i="70"/>
  <c r="K52" i="76"/>
  <c r="AH17" i="70"/>
  <c r="L52" i="76"/>
  <c r="AH9" i="70"/>
  <c r="D52" i="76"/>
  <c r="AH26" i="70"/>
  <c r="X52" i="76"/>
  <c r="AH21" i="70"/>
  <c r="P52" i="76"/>
  <c r="AH13" i="70"/>
  <c r="H52" i="76"/>
  <c r="AH23" i="70"/>
  <c r="S52" i="76"/>
  <c r="AH12" i="70"/>
  <c r="G52" i="76"/>
  <c r="AH27" i="70"/>
  <c r="Y52" i="76"/>
  <c r="H76" i="70"/>
  <c r="E79" i="70"/>
  <c r="E76" i="70"/>
  <c r="D77" i="70"/>
  <c r="H77" i="70"/>
  <c r="F79" i="70"/>
  <c r="E80" i="70"/>
  <c r="D81" i="70"/>
  <c r="H81" i="70"/>
  <c r="G82" i="70"/>
  <c r="F83" i="70"/>
  <c r="E84" i="70"/>
  <c r="D85" i="70"/>
  <c r="H85" i="70"/>
  <c r="G86" i="70"/>
  <c r="F87" i="70"/>
  <c r="E88" i="70"/>
  <c r="D89" i="70"/>
  <c r="H89" i="70"/>
  <c r="G90" i="70"/>
  <c r="F91" i="70"/>
  <c r="E92" i="70"/>
  <c r="D93" i="70"/>
  <c r="H93" i="70"/>
  <c r="G94" i="70"/>
  <c r="F95" i="70"/>
  <c r="E96" i="70"/>
  <c r="D97" i="70"/>
  <c r="H97" i="70"/>
  <c r="G99" i="70"/>
  <c r="F76" i="70"/>
  <c r="E77" i="70"/>
  <c r="D78" i="70"/>
  <c r="H78" i="70"/>
  <c r="G79" i="70"/>
  <c r="F80" i="70"/>
  <c r="E81" i="70"/>
  <c r="D82" i="70"/>
  <c r="H82" i="70"/>
  <c r="G83" i="70"/>
  <c r="F84" i="70"/>
  <c r="E85" i="70"/>
  <c r="D86" i="70"/>
  <c r="H86" i="70"/>
  <c r="G87" i="70"/>
  <c r="F88" i="70"/>
  <c r="E89" i="70"/>
  <c r="D90" i="70"/>
  <c r="H90" i="70"/>
  <c r="G91" i="70"/>
  <c r="F92" i="70"/>
  <c r="E93" i="70"/>
  <c r="D94" i="70"/>
  <c r="H94" i="70"/>
  <c r="G95" i="70"/>
  <c r="F96" i="70"/>
  <c r="E97" i="70"/>
  <c r="D99" i="70"/>
  <c r="H99" i="70"/>
  <c r="D76" i="70"/>
  <c r="G77" i="70"/>
  <c r="F78" i="70"/>
  <c r="G78" i="70"/>
  <c r="G76" i="70"/>
  <c r="F77" i="70"/>
  <c r="E78" i="70"/>
  <c r="D79" i="70"/>
  <c r="H79" i="70"/>
  <c r="G80" i="70"/>
  <c r="F81" i="70"/>
  <c r="E82" i="70"/>
  <c r="D83" i="70"/>
  <c r="H83" i="70"/>
  <c r="G84" i="70"/>
  <c r="F85" i="70"/>
  <c r="E86" i="70"/>
  <c r="D87" i="70"/>
  <c r="H87" i="70"/>
  <c r="G88" i="70"/>
  <c r="F89" i="70"/>
  <c r="E90" i="70"/>
  <c r="D91" i="70"/>
  <c r="H91" i="70"/>
  <c r="G92" i="70"/>
  <c r="F93" i="70"/>
  <c r="E94" i="70"/>
  <c r="D95" i="70"/>
  <c r="H95" i="70"/>
  <c r="G96" i="70"/>
  <c r="F97" i="70"/>
  <c r="E99" i="70"/>
  <c r="D80" i="70"/>
  <c r="H80" i="70"/>
  <c r="G81" i="70"/>
  <c r="F82" i="70"/>
  <c r="E83" i="70"/>
  <c r="D84" i="70"/>
  <c r="H84" i="70"/>
  <c r="G85" i="70"/>
  <c r="F86" i="70"/>
  <c r="E87" i="70"/>
  <c r="D88" i="70"/>
  <c r="H88" i="70"/>
  <c r="G89" i="70"/>
  <c r="F90" i="70"/>
  <c r="E91" i="70"/>
  <c r="D92" i="70"/>
  <c r="H92" i="70"/>
  <c r="G93" i="70"/>
  <c r="F94" i="70"/>
  <c r="E95" i="70"/>
  <c r="D96" i="70"/>
  <c r="H96" i="70"/>
  <c r="G97" i="70"/>
  <c r="F99" i="70"/>
  <c r="BL60" i="70" l="1"/>
  <c r="BL65" i="70"/>
  <c r="BQ60" i="70"/>
  <c r="BQ65" i="70"/>
  <c r="AC273" i="69"/>
  <c r="H273" i="69" s="1"/>
  <c r="AC272" i="69"/>
  <c r="H272" i="69" s="1"/>
  <c r="AC271" i="69"/>
  <c r="H271" i="69" s="1"/>
  <c r="AC270" i="69"/>
  <c r="H270" i="69" s="1"/>
  <c r="AC269" i="69"/>
  <c r="H269" i="69" s="1"/>
  <c r="AC268" i="69"/>
  <c r="H268" i="69" s="1"/>
  <c r="AC267" i="69"/>
  <c r="H267" i="69" s="1"/>
  <c r="AC266" i="69"/>
  <c r="H266" i="69" s="1"/>
  <c r="AC265" i="69"/>
  <c r="H265" i="69" s="1"/>
  <c r="AC264" i="69"/>
  <c r="H264" i="69" s="1"/>
  <c r="AC263" i="69"/>
  <c r="H263" i="69" s="1"/>
  <c r="AC262" i="69"/>
  <c r="H262" i="69" s="1"/>
  <c r="AC261" i="69"/>
  <c r="H261" i="69" s="1"/>
  <c r="AC260" i="69"/>
  <c r="H260" i="69" s="1"/>
  <c r="AC259" i="69"/>
  <c r="H259" i="69" s="1"/>
  <c r="AC258" i="69"/>
  <c r="H258" i="69" s="1"/>
  <c r="AC257" i="69"/>
  <c r="H257" i="69" s="1"/>
  <c r="AC256" i="69"/>
  <c r="H256" i="69" s="1"/>
  <c r="AC255" i="69"/>
  <c r="H255" i="69" s="1"/>
  <c r="AC254" i="69"/>
  <c r="H254" i="69" s="1"/>
  <c r="AC253" i="69"/>
  <c r="H253" i="69" s="1"/>
  <c r="AC252" i="69"/>
  <c r="H252" i="69" s="1"/>
  <c r="AC251" i="69"/>
  <c r="H251" i="69" s="1"/>
  <c r="AC250" i="69"/>
  <c r="H250" i="69" s="1"/>
  <c r="AB273" i="69"/>
  <c r="G273" i="69" s="1"/>
  <c r="AB272" i="69"/>
  <c r="G272" i="69" s="1"/>
  <c r="AB271" i="69"/>
  <c r="G271" i="69" s="1"/>
  <c r="AB270" i="69"/>
  <c r="G270" i="69" s="1"/>
  <c r="AB269" i="69"/>
  <c r="G269" i="69" s="1"/>
  <c r="AB268" i="69"/>
  <c r="G268" i="69" s="1"/>
  <c r="AB267" i="69"/>
  <c r="G267" i="69" s="1"/>
  <c r="AB266" i="69"/>
  <c r="G266" i="69" s="1"/>
  <c r="AB265" i="69"/>
  <c r="G265" i="69" s="1"/>
  <c r="AB264" i="69"/>
  <c r="G264" i="69" s="1"/>
  <c r="AB263" i="69"/>
  <c r="G263" i="69" s="1"/>
  <c r="AB262" i="69"/>
  <c r="G262" i="69" s="1"/>
  <c r="AB261" i="69"/>
  <c r="G261" i="69" s="1"/>
  <c r="AB260" i="69"/>
  <c r="G260" i="69" s="1"/>
  <c r="AB259" i="69"/>
  <c r="G259" i="69" s="1"/>
  <c r="AB258" i="69"/>
  <c r="G258" i="69" s="1"/>
  <c r="AB257" i="69"/>
  <c r="G257" i="69" s="1"/>
  <c r="AB256" i="69"/>
  <c r="G256" i="69" s="1"/>
  <c r="AB255" i="69"/>
  <c r="G255" i="69" s="1"/>
  <c r="AB254" i="69"/>
  <c r="G254" i="69" s="1"/>
  <c r="AB253" i="69"/>
  <c r="G253" i="69" s="1"/>
  <c r="AB252" i="69"/>
  <c r="G252" i="69" s="1"/>
  <c r="AB251" i="69"/>
  <c r="G251" i="69" s="1"/>
  <c r="AB250" i="69"/>
  <c r="G250" i="69" s="1"/>
  <c r="AA273" i="69"/>
  <c r="F273" i="69" s="1"/>
  <c r="AA272" i="69"/>
  <c r="F272" i="69" s="1"/>
  <c r="AA271" i="69"/>
  <c r="F271" i="69" s="1"/>
  <c r="AA270" i="69"/>
  <c r="F270" i="69" s="1"/>
  <c r="AA269" i="69"/>
  <c r="F269" i="69" s="1"/>
  <c r="AA268" i="69"/>
  <c r="F268" i="69" s="1"/>
  <c r="AA267" i="69"/>
  <c r="F267" i="69" s="1"/>
  <c r="AA266" i="69"/>
  <c r="F266" i="69" s="1"/>
  <c r="AA265" i="69"/>
  <c r="F265" i="69" s="1"/>
  <c r="AA264" i="69"/>
  <c r="F264" i="69" s="1"/>
  <c r="AA263" i="69"/>
  <c r="F263" i="69" s="1"/>
  <c r="AA262" i="69"/>
  <c r="F262" i="69" s="1"/>
  <c r="AA261" i="69"/>
  <c r="F261" i="69" s="1"/>
  <c r="AA260" i="69"/>
  <c r="F260" i="69" s="1"/>
  <c r="AA259" i="69"/>
  <c r="F259" i="69" s="1"/>
  <c r="AA258" i="69"/>
  <c r="F258" i="69" s="1"/>
  <c r="AA257" i="69"/>
  <c r="F257" i="69" s="1"/>
  <c r="AA256" i="69"/>
  <c r="F256" i="69" s="1"/>
  <c r="AA255" i="69"/>
  <c r="F255" i="69" s="1"/>
  <c r="AA254" i="69"/>
  <c r="F254" i="69" s="1"/>
  <c r="AA253" i="69"/>
  <c r="F253" i="69" s="1"/>
  <c r="AA252" i="69"/>
  <c r="F252" i="69" s="1"/>
  <c r="AA251" i="69"/>
  <c r="F251" i="69" s="1"/>
  <c r="AA250" i="69"/>
  <c r="F250" i="69" s="1"/>
  <c r="Z273" i="69"/>
  <c r="E273" i="69" s="1"/>
  <c r="Z272" i="69"/>
  <c r="E272" i="69" s="1"/>
  <c r="Z271" i="69"/>
  <c r="E271" i="69" s="1"/>
  <c r="Z270" i="69"/>
  <c r="E270" i="69" s="1"/>
  <c r="Z269" i="69"/>
  <c r="E269" i="69" s="1"/>
  <c r="Z268" i="69"/>
  <c r="E268" i="69" s="1"/>
  <c r="Z267" i="69"/>
  <c r="E267" i="69" s="1"/>
  <c r="Z266" i="69"/>
  <c r="E266" i="69" s="1"/>
  <c r="Z265" i="69"/>
  <c r="E265" i="69" s="1"/>
  <c r="Z264" i="69"/>
  <c r="E264" i="69" s="1"/>
  <c r="Z263" i="69"/>
  <c r="E263" i="69" s="1"/>
  <c r="Z262" i="69"/>
  <c r="E262" i="69" s="1"/>
  <c r="Z261" i="69"/>
  <c r="E261" i="69" s="1"/>
  <c r="Z260" i="69"/>
  <c r="E260" i="69" s="1"/>
  <c r="Z259" i="69"/>
  <c r="E259" i="69" s="1"/>
  <c r="Z258" i="69"/>
  <c r="E258" i="69" s="1"/>
  <c r="Z257" i="69"/>
  <c r="E257" i="69" s="1"/>
  <c r="Z256" i="69"/>
  <c r="E256" i="69" s="1"/>
  <c r="Z255" i="69"/>
  <c r="E255" i="69" s="1"/>
  <c r="Z254" i="69"/>
  <c r="E254" i="69" s="1"/>
  <c r="Z253" i="69"/>
  <c r="E253" i="69" s="1"/>
  <c r="Z252" i="69"/>
  <c r="E252" i="69" s="1"/>
  <c r="Z251" i="69"/>
  <c r="E251" i="69" s="1"/>
  <c r="Z250" i="69"/>
  <c r="E250" i="69" s="1"/>
  <c r="Y272" i="69"/>
  <c r="D272" i="69" s="1"/>
  <c r="Y271" i="69"/>
  <c r="D271" i="69" s="1"/>
  <c r="Y270" i="69"/>
  <c r="D270" i="69" s="1"/>
  <c r="Y269" i="69"/>
  <c r="D269" i="69" s="1"/>
  <c r="Y268" i="69"/>
  <c r="D268" i="69" s="1"/>
  <c r="Y267" i="69"/>
  <c r="D267" i="69" s="1"/>
  <c r="Y266" i="69"/>
  <c r="D266" i="69" s="1"/>
  <c r="Y265" i="69"/>
  <c r="D265" i="69" s="1"/>
  <c r="Y264" i="69"/>
  <c r="D264" i="69" s="1"/>
  <c r="Y263" i="69"/>
  <c r="D263" i="69" s="1"/>
  <c r="Y262" i="69"/>
  <c r="D262" i="69" s="1"/>
  <c r="Y261" i="69"/>
  <c r="D261" i="69" s="1"/>
  <c r="Y260" i="69"/>
  <c r="D260" i="69" s="1"/>
  <c r="Y259" i="69"/>
  <c r="D259" i="69" s="1"/>
  <c r="Y258" i="69"/>
  <c r="D258" i="69" s="1"/>
  <c r="Y257" i="69"/>
  <c r="D257" i="69" s="1"/>
  <c r="Y256" i="69"/>
  <c r="D256" i="69" s="1"/>
  <c r="Y255" i="69"/>
  <c r="D255" i="69" s="1"/>
  <c r="Y254" i="69"/>
  <c r="D254" i="69" s="1"/>
  <c r="Y253" i="69"/>
  <c r="D253" i="69" s="1"/>
  <c r="Y252" i="69"/>
  <c r="D252" i="69" s="1"/>
  <c r="Y251" i="69"/>
  <c r="D251" i="69" s="1"/>
  <c r="Y250" i="69"/>
  <c r="D250" i="69" l="1"/>
  <c r="AE250" i="69"/>
  <c r="AC238" i="69"/>
  <c r="H238" i="69" s="1"/>
  <c r="AB238" i="69"/>
  <c r="G238" i="69" s="1"/>
  <c r="AA238" i="69"/>
  <c r="F238" i="69" s="1"/>
  <c r="Z238" i="69"/>
  <c r="E238" i="69" s="1"/>
  <c r="Y238" i="69"/>
  <c r="D238" i="69" s="1"/>
  <c r="AC236" i="69"/>
  <c r="H236" i="69" s="1"/>
  <c r="AB236" i="69"/>
  <c r="G236" i="69" s="1"/>
  <c r="AA236" i="69"/>
  <c r="F236" i="69" s="1"/>
  <c r="Z236" i="69"/>
  <c r="E236" i="69" s="1"/>
  <c r="Y236" i="69"/>
  <c r="D236" i="69" s="1"/>
  <c r="AC235" i="69"/>
  <c r="H235" i="69" s="1"/>
  <c r="AB235" i="69"/>
  <c r="G235" i="69" s="1"/>
  <c r="AA235" i="69"/>
  <c r="F235" i="69" s="1"/>
  <c r="Z235" i="69"/>
  <c r="E235" i="69" s="1"/>
  <c r="Y235" i="69"/>
  <c r="D235" i="69" s="1"/>
  <c r="AC234" i="69"/>
  <c r="H234" i="69" s="1"/>
  <c r="AB234" i="69"/>
  <c r="G234" i="69" s="1"/>
  <c r="AA234" i="69"/>
  <c r="F234" i="69" s="1"/>
  <c r="Z234" i="69"/>
  <c r="E234" i="69" s="1"/>
  <c r="Y234" i="69"/>
  <c r="D234" i="69" s="1"/>
  <c r="AC233" i="69"/>
  <c r="H233" i="69" s="1"/>
  <c r="AB233" i="69"/>
  <c r="G233" i="69" s="1"/>
  <c r="AA233" i="69"/>
  <c r="F233" i="69" s="1"/>
  <c r="Z233" i="69"/>
  <c r="E233" i="69" s="1"/>
  <c r="Y233" i="69"/>
  <c r="D233" i="69" s="1"/>
  <c r="AC232" i="69"/>
  <c r="H232" i="69" s="1"/>
  <c r="AB232" i="69"/>
  <c r="G232" i="69" s="1"/>
  <c r="AA232" i="69"/>
  <c r="F232" i="69" s="1"/>
  <c r="Z232" i="69"/>
  <c r="E232" i="69" s="1"/>
  <c r="Y232" i="69"/>
  <c r="D232" i="69" s="1"/>
  <c r="AC231" i="69"/>
  <c r="H231" i="69" s="1"/>
  <c r="AB231" i="69"/>
  <c r="G231" i="69" s="1"/>
  <c r="AA231" i="69"/>
  <c r="F231" i="69" s="1"/>
  <c r="Z231" i="69"/>
  <c r="E231" i="69" s="1"/>
  <c r="Y231" i="69"/>
  <c r="D231" i="69" s="1"/>
  <c r="AC230" i="69"/>
  <c r="H230" i="69" s="1"/>
  <c r="AB230" i="69"/>
  <c r="G230" i="69" s="1"/>
  <c r="AA230" i="69"/>
  <c r="F230" i="69" s="1"/>
  <c r="Z230" i="69"/>
  <c r="E230" i="69" s="1"/>
  <c r="Y230" i="69"/>
  <c r="D230" i="69" s="1"/>
  <c r="AC229" i="69"/>
  <c r="H229" i="69" s="1"/>
  <c r="AB229" i="69"/>
  <c r="G229" i="69" s="1"/>
  <c r="AA229" i="69"/>
  <c r="F229" i="69" s="1"/>
  <c r="Z229" i="69"/>
  <c r="E229" i="69" s="1"/>
  <c r="Y229" i="69"/>
  <c r="D229" i="69" s="1"/>
  <c r="AC228" i="69"/>
  <c r="H228" i="69" s="1"/>
  <c r="AB228" i="69"/>
  <c r="G228" i="69" s="1"/>
  <c r="AA228" i="69"/>
  <c r="F228" i="69" s="1"/>
  <c r="Z228" i="69"/>
  <c r="E228" i="69" s="1"/>
  <c r="Y228" i="69"/>
  <c r="D228" i="69" s="1"/>
  <c r="AC227" i="69"/>
  <c r="H227" i="69" s="1"/>
  <c r="AB227" i="69"/>
  <c r="G227" i="69" s="1"/>
  <c r="AA227" i="69"/>
  <c r="F227" i="69" s="1"/>
  <c r="Z227" i="69"/>
  <c r="E227" i="69" s="1"/>
  <c r="Y227" i="69"/>
  <c r="D227" i="69" s="1"/>
  <c r="AC226" i="69"/>
  <c r="H226" i="69" s="1"/>
  <c r="AB226" i="69"/>
  <c r="G226" i="69" s="1"/>
  <c r="AA226" i="69"/>
  <c r="F226" i="69" s="1"/>
  <c r="Z226" i="69"/>
  <c r="E226" i="69" s="1"/>
  <c r="Y226" i="69"/>
  <c r="D226" i="69" s="1"/>
  <c r="AC225" i="69"/>
  <c r="H225" i="69" s="1"/>
  <c r="AB225" i="69"/>
  <c r="G225" i="69" s="1"/>
  <c r="AA225" i="69"/>
  <c r="F225" i="69" s="1"/>
  <c r="Z225" i="69"/>
  <c r="E225" i="69" s="1"/>
  <c r="Y225" i="69"/>
  <c r="D225" i="69" s="1"/>
  <c r="AC224" i="69"/>
  <c r="H224" i="69" s="1"/>
  <c r="AB224" i="69"/>
  <c r="G224" i="69" s="1"/>
  <c r="AA224" i="69"/>
  <c r="F224" i="69" s="1"/>
  <c r="Z224" i="69"/>
  <c r="E224" i="69" s="1"/>
  <c r="Y224" i="69"/>
  <c r="D224" i="69" s="1"/>
  <c r="AC223" i="69"/>
  <c r="H223" i="69" s="1"/>
  <c r="AB223" i="69"/>
  <c r="G223" i="69" s="1"/>
  <c r="AA223" i="69"/>
  <c r="F223" i="69" s="1"/>
  <c r="Z223" i="69"/>
  <c r="E223" i="69" s="1"/>
  <c r="Y223" i="69"/>
  <c r="D223" i="69" s="1"/>
  <c r="AC222" i="69"/>
  <c r="H222" i="69" s="1"/>
  <c r="AB222" i="69"/>
  <c r="G222" i="69" s="1"/>
  <c r="AA222" i="69"/>
  <c r="F222" i="69" s="1"/>
  <c r="Z222" i="69"/>
  <c r="E222" i="69" s="1"/>
  <c r="Y222" i="69"/>
  <c r="D222" i="69" s="1"/>
  <c r="AC221" i="69"/>
  <c r="H221" i="69" s="1"/>
  <c r="AB221" i="69"/>
  <c r="G221" i="69" s="1"/>
  <c r="AA221" i="69"/>
  <c r="F221" i="69" s="1"/>
  <c r="Z221" i="69"/>
  <c r="E221" i="69" s="1"/>
  <c r="Y221" i="69"/>
  <c r="D221" i="69" s="1"/>
  <c r="AC220" i="69"/>
  <c r="H220" i="69" s="1"/>
  <c r="AB220" i="69"/>
  <c r="G220" i="69" s="1"/>
  <c r="AA220" i="69"/>
  <c r="F220" i="69" s="1"/>
  <c r="Z220" i="69"/>
  <c r="E220" i="69" s="1"/>
  <c r="Y220" i="69"/>
  <c r="D220" i="69" s="1"/>
  <c r="AC219" i="69"/>
  <c r="H219" i="69" s="1"/>
  <c r="AB219" i="69"/>
  <c r="G219" i="69" s="1"/>
  <c r="AA219" i="69"/>
  <c r="F219" i="69" s="1"/>
  <c r="Z219" i="69"/>
  <c r="E219" i="69" s="1"/>
  <c r="Y219" i="69"/>
  <c r="D219" i="69" s="1"/>
  <c r="AC218" i="69"/>
  <c r="H218" i="69" s="1"/>
  <c r="AB218" i="69"/>
  <c r="G218" i="69" s="1"/>
  <c r="AA218" i="69"/>
  <c r="F218" i="69" s="1"/>
  <c r="Z218" i="69"/>
  <c r="E218" i="69" s="1"/>
  <c r="Y218" i="69"/>
  <c r="D218" i="69" s="1"/>
  <c r="AC217" i="69"/>
  <c r="H217" i="69" s="1"/>
  <c r="AB217" i="69"/>
  <c r="G217" i="69" s="1"/>
  <c r="AA217" i="69"/>
  <c r="F217" i="69" s="1"/>
  <c r="Z217" i="69"/>
  <c r="E217" i="69" s="1"/>
  <c r="Y217" i="69"/>
  <c r="D217" i="69" s="1"/>
  <c r="AC216" i="69"/>
  <c r="H216" i="69" s="1"/>
  <c r="AB216" i="69"/>
  <c r="G216" i="69" s="1"/>
  <c r="AA216" i="69"/>
  <c r="F216" i="69" s="1"/>
  <c r="Z216" i="69"/>
  <c r="E216" i="69" s="1"/>
  <c r="Y216" i="69"/>
  <c r="D216" i="69" s="1"/>
  <c r="AC215" i="69"/>
  <c r="H215" i="69" s="1"/>
  <c r="AB215" i="69"/>
  <c r="G215" i="69" s="1"/>
  <c r="AA215" i="69"/>
  <c r="F215" i="69" s="1"/>
  <c r="Z215" i="69"/>
  <c r="E215" i="69" s="1"/>
  <c r="Y215" i="69"/>
  <c r="D215" i="69" s="1"/>
  <c r="AC203" i="69"/>
  <c r="H203" i="69" s="1"/>
  <c r="AB203" i="69"/>
  <c r="G203" i="69" s="1"/>
  <c r="AA203" i="69"/>
  <c r="F203" i="69" s="1"/>
  <c r="Z203" i="69"/>
  <c r="E203" i="69" s="1"/>
  <c r="Y203" i="69"/>
  <c r="D203" i="69" s="1"/>
  <c r="AC201" i="69"/>
  <c r="H201" i="69" s="1"/>
  <c r="AB201" i="69"/>
  <c r="G201" i="69" s="1"/>
  <c r="AA201" i="69"/>
  <c r="F201" i="69" s="1"/>
  <c r="Z201" i="69"/>
  <c r="E201" i="69" s="1"/>
  <c r="Y201" i="69"/>
  <c r="D201" i="69" s="1"/>
  <c r="AC200" i="69"/>
  <c r="H200" i="69" s="1"/>
  <c r="AB200" i="69"/>
  <c r="G200" i="69" s="1"/>
  <c r="AA200" i="69"/>
  <c r="F200" i="69" s="1"/>
  <c r="Z200" i="69"/>
  <c r="E200" i="69" s="1"/>
  <c r="Y200" i="69"/>
  <c r="D200" i="69" s="1"/>
  <c r="AC199" i="69"/>
  <c r="H199" i="69" s="1"/>
  <c r="AB199" i="69"/>
  <c r="G199" i="69" s="1"/>
  <c r="AA199" i="69"/>
  <c r="F199" i="69" s="1"/>
  <c r="Z199" i="69"/>
  <c r="E199" i="69" s="1"/>
  <c r="Y199" i="69"/>
  <c r="D199" i="69" s="1"/>
  <c r="AC198" i="69"/>
  <c r="H198" i="69" s="1"/>
  <c r="AB198" i="69"/>
  <c r="G198" i="69" s="1"/>
  <c r="AA198" i="69"/>
  <c r="F198" i="69" s="1"/>
  <c r="Z198" i="69"/>
  <c r="E198" i="69" s="1"/>
  <c r="Y198" i="69"/>
  <c r="D198" i="69" s="1"/>
  <c r="AC197" i="69"/>
  <c r="H197" i="69" s="1"/>
  <c r="AB197" i="69"/>
  <c r="G197" i="69" s="1"/>
  <c r="AA197" i="69"/>
  <c r="F197" i="69" s="1"/>
  <c r="Z197" i="69"/>
  <c r="E197" i="69" s="1"/>
  <c r="Y197" i="69"/>
  <c r="D197" i="69" s="1"/>
  <c r="AC196" i="69"/>
  <c r="H196" i="69" s="1"/>
  <c r="AB196" i="69"/>
  <c r="G196" i="69" s="1"/>
  <c r="AA196" i="69"/>
  <c r="F196" i="69" s="1"/>
  <c r="Z196" i="69"/>
  <c r="E196" i="69" s="1"/>
  <c r="Y196" i="69"/>
  <c r="D196" i="69" s="1"/>
  <c r="AC195" i="69"/>
  <c r="H195" i="69" s="1"/>
  <c r="AB195" i="69"/>
  <c r="G195" i="69" s="1"/>
  <c r="AA195" i="69"/>
  <c r="F195" i="69" s="1"/>
  <c r="Z195" i="69"/>
  <c r="E195" i="69" s="1"/>
  <c r="Y195" i="69"/>
  <c r="D195" i="69" s="1"/>
  <c r="AC194" i="69"/>
  <c r="H194" i="69" s="1"/>
  <c r="AB194" i="69"/>
  <c r="G194" i="69" s="1"/>
  <c r="AA194" i="69"/>
  <c r="F194" i="69" s="1"/>
  <c r="Z194" i="69"/>
  <c r="E194" i="69" s="1"/>
  <c r="Y194" i="69"/>
  <c r="D194" i="69" s="1"/>
  <c r="AC193" i="69"/>
  <c r="H193" i="69" s="1"/>
  <c r="AB193" i="69"/>
  <c r="G193" i="69" s="1"/>
  <c r="AA193" i="69"/>
  <c r="F193" i="69" s="1"/>
  <c r="Z193" i="69"/>
  <c r="E193" i="69" s="1"/>
  <c r="Y193" i="69"/>
  <c r="D193" i="69" s="1"/>
  <c r="AC192" i="69"/>
  <c r="H192" i="69" s="1"/>
  <c r="AB192" i="69"/>
  <c r="G192" i="69" s="1"/>
  <c r="AA192" i="69"/>
  <c r="F192" i="69" s="1"/>
  <c r="Z192" i="69"/>
  <c r="E192" i="69" s="1"/>
  <c r="Y192" i="69"/>
  <c r="D192" i="69" s="1"/>
  <c r="AC191" i="69"/>
  <c r="H191" i="69" s="1"/>
  <c r="AB191" i="69"/>
  <c r="G191" i="69" s="1"/>
  <c r="AA191" i="69"/>
  <c r="F191" i="69" s="1"/>
  <c r="Z191" i="69"/>
  <c r="E191" i="69" s="1"/>
  <c r="Y191" i="69"/>
  <c r="D191" i="69" s="1"/>
  <c r="AC190" i="69"/>
  <c r="H190" i="69" s="1"/>
  <c r="AB190" i="69"/>
  <c r="G190" i="69" s="1"/>
  <c r="AA190" i="69"/>
  <c r="F190" i="69" s="1"/>
  <c r="Z190" i="69"/>
  <c r="E190" i="69" s="1"/>
  <c r="Y190" i="69"/>
  <c r="D190" i="69" s="1"/>
  <c r="AC189" i="69"/>
  <c r="H189" i="69" s="1"/>
  <c r="AB189" i="69"/>
  <c r="G189" i="69" s="1"/>
  <c r="AA189" i="69"/>
  <c r="F189" i="69" s="1"/>
  <c r="Z189" i="69"/>
  <c r="E189" i="69" s="1"/>
  <c r="Y189" i="69"/>
  <c r="D189" i="69" s="1"/>
  <c r="AC188" i="69"/>
  <c r="H188" i="69" s="1"/>
  <c r="AB188" i="69"/>
  <c r="G188" i="69" s="1"/>
  <c r="AA188" i="69"/>
  <c r="F188" i="69" s="1"/>
  <c r="Z188" i="69"/>
  <c r="E188" i="69" s="1"/>
  <c r="Y188" i="69"/>
  <c r="D188" i="69" s="1"/>
  <c r="AC187" i="69"/>
  <c r="H187" i="69" s="1"/>
  <c r="AB187" i="69"/>
  <c r="G187" i="69" s="1"/>
  <c r="AA187" i="69"/>
  <c r="F187" i="69" s="1"/>
  <c r="Z187" i="69"/>
  <c r="E187" i="69" s="1"/>
  <c r="Y187" i="69"/>
  <c r="D187" i="69" s="1"/>
  <c r="AC186" i="69"/>
  <c r="H186" i="69" s="1"/>
  <c r="AB186" i="69"/>
  <c r="G186" i="69" s="1"/>
  <c r="AA186" i="69"/>
  <c r="F186" i="69" s="1"/>
  <c r="Z186" i="69"/>
  <c r="E186" i="69" s="1"/>
  <c r="Y186" i="69"/>
  <c r="D186" i="69" s="1"/>
  <c r="AC185" i="69"/>
  <c r="H185" i="69" s="1"/>
  <c r="AB185" i="69"/>
  <c r="G185" i="69" s="1"/>
  <c r="AA185" i="69"/>
  <c r="F185" i="69" s="1"/>
  <c r="Z185" i="69"/>
  <c r="E185" i="69" s="1"/>
  <c r="Y185" i="69"/>
  <c r="D185" i="69" s="1"/>
  <c r="AC184" i="69"/>
  <c r="H184" i="69" s="1"/>
  <c r="AB184" i="69"/>
  <c r="G184" i="69" s="1"/>
  <c r="AA184" i="69"/>
  <c r="F184" i="69" s="1"/>
  <c r="Z184" i="69"/>
  <c r="E184" i="69" s="1"/>
  <c r="Y184" i="69"/>
  <c r="D184" i="69" s="1"/>
  <c r="AC183" i="69"/>
  <c r="H183" i="69" s="1"/>
  <c r="AB183" i="69"/>
  <c r="G183" i="69" s="1"/>
  <c r="AA183" i="69"/>
  <c r="F183" i="69" s="1"/>
  <c r="Z183" i="69"/>
  <c r="E183" i="69" s="1"/>
  <c r="Y183" i="69"/>
  <c r="D183" i="69" s="1"/>
  <c r="AC182" i="69"/>
  <c r="H182" i="69" s="1"/>
  <c r="AB182" i="69"/>
  <c r="G182" i="69" s="1"/>
  <c r="AA182" i="69"/>
  <c r="F182" i="69" s="1"/>
  <c r="Z182" i="69"/>
  <c r="E182" i="69" s="1"/>
  <c r="Y182" i="69"/>
  <c r="D182" i="69" s="1"/>
  <c r="AC181" i="69"/>
  <c r="H181" i="69" s="1"/>
  <c r="AB181" i="69"/>
  <c r="G181" i="69" s="1"/>
  <c r="AA181" i="69"/>
  <c r="F181" i="69" s="1"/>
  <c r="Z181" i="69"/>
  <c r="E181" i="69" s="1"/>
  <c r="Y181" i="69"/>
  <c r="D181" i="69" s="1"/>
  <c r="AC180" i="69"/>
  <c r="H180" i="69" s="1"/>
  <c r="AB180" i="69"/>
  <c r="G180" i="69" s="1"/>
  <c r="AA180" i="69"/>
  <c r="F180" i="69" s="1"/>
  <c r="Z180" i="69"/>
  <c r="E180" i="69" s="1"/>
  <c r="Y180" i="69"/>
  <c r="D180" i="69" s="1"/>
  <c r="AA237" i="69" l="1"/>
  <c r="F237" i="69" s="1"/>
  <c r="AA202" i="69"/>
  <c r="F202" i="69" s="1"/>
  <c r="AB98" i="70"/>
  <c r="Z237" i="69"/>
  <c r="E237" i="69" s="1"/>
  <c r="Z202" i="69"/>
  <c r="E202" i="69" s="1"/>
  <c r="AA98" i="70"/>
  <c r="Y237" i="69"/>
  <c r="D237" i="69" s="1"/>
  <c r="Y202" i="69"/>
  <c r="D202" i="69" s="1"/>
  <c r="Z98" i="70"/>
  <c r="F168" i="70" l="1"/>
  <c r="BO63" i="70" s="1"/>
  <c r="F133" i="70"/>
  <c r="BJ63" i="70" s="1"/>
  <c r="D133" i="70"/>
  <c r="BH63" i="70" s="1"/>
  <c r="D168" i="70"/>
  <c r="BM63" i="70" s="1"/>
  <c r="E133" i="70"/>
  <c r="BI63" i="70" s="1"/>
  <c r="E168" i="70"/>
  <c r="BN63" i="70" s="1"/>
  <c r="F31" i="70"/>
  <c r="E31" i="70"/>
  <c r="AH98" i="70"/>
  <c r="AG98" i="70"/>
  <c r="AF98" i="70"/>
  <c r="F98" i="70" l="1"/>
  <c r="D98" i="70"/>
  <c r="E98" i="70"/>
  <c r="AD98" i="70"/>
  <c r="AC202" i="69"/>
  <c r="H202" i="69" s="1"/>
  <c r="AC237" i="69"/>
  <c r="H237" i="69" s="1"/>
  <c r="AB202" i="69"/>
  <c r="G202" i="69" s="1"/>
  <c r="C103" i="77"/>
  <c r="D103" i="77"/>
  <c r="E103" i="77"/>
  <c r="F103" i="77"/>
  <c r="G103" i="77"/>
  <c r="H103" i="77"/>
  <c r="I103" i="77"/>
  <c r="J103" i="77"/>
  <c r="K103" i="77"/>
  <c r="L103" i="77"/>
  <c r="M103" i="77"/>
  <c r="N103" i="77"/>
  <c r="O103" i="77"/>
  <c r="P103" i="77"/>
  <c r="Q103" i="77"/>
  <c r="R103" i="77"/>
  <c r="S103" i="77"/>
  <c r="T103" i="77"/>
  <c r="U103" i="77"/>
  <c r="V103" i="77"/>
  <c r="W103" i="77"/>
  <c r="X103" i="77"/>
  <c r="H133" i="70" l="1"/>
  <c r="BL63" i="70" s="1"/>
  <c r="H168" i="70"/>
  <c r="BQ63" i="70" s="1"/>
  <c r="AJ98" i="70"/>
  <c r="H98" i="70" l="1"/>
  <c r="I31" i="70"/>
  <c r="AC168" i="69"/>
  <c r="AB168" i="69"/>
  <c r="AA168" i="69"/>
  <c r="Z168" i="69"/>
  <c r="Y168" i="69"/>
  <c r="AC167" i="69"/>
  <c r="AC166" i="69"/>
  <c r="AB166" i="69"/>
  <c r="AA166" i="69"/>
  <c r="Z166" i="69"/>
  <c r="Y166" i="69"/>
  <c r="AC165" i="69"/>
  <c r="AB165" i="69"/>
  <c r="AA165" i="69"/>
  <c r="Z165" i="69"/>
  <c r="Y165" i="69"/>
  <c r="AC164" i="69"/>
  <c r="AB164" i="69"/>
  <c r="AA164" i="69"/>
  <c r="Z164" i="69"/>
  <c r="Y164" i="69"/>
  <c r="AC163" i="69"/>
  <c r="AB163" i="69"/>
  <c r="AA163" i="69"/>
  <c r="Z163" i="69"/>
  <c r="Y163" i="69"/>
  <c r="AC162" i="69"/>
  <c r="AB162" i="69"/>
  <c r="AA162" i="69"/>
  <c r="Z162" i="69"/>
  <c r="Y162" i="69"/>
  <c r="AC161" i="69"/>
  <c r="AB161" i="69"/>
  <c r="AA161" i="69"/>
  <c r="Z161" i="69"/>
  <c r="Y161" i="69"/>
  <c r="AC160" i="69"/>
  <c r="AB160" i="69"/>
  <c r="AA160" i="69"/>
  <c r="Z160" i="69"/>
  <c r="Y160" i="69"/>
  <c r="AC159" i="69"/>
  <c r="AB159" i="69"/>
  <c r="AA159" i="69"/>
  <c r="Z159" i="69"/>
  <c r="Y159" i="69"/>
  <c r="AC158" i="69"/>
  <c r="AB158" i="69"/>
  <c r="AA158" i="69"/>
  <c r="Z158" i="69"/>
  <c r="Y158" i="69"/>
  <c r="AC157" i="69"/>
  <c r="AB157" i="69"/>
  <c r="AA157" i="69"/>
  <c r="Z157" i="69"/>
  <c r="Y157" i="69"/>
  <c r="AC156" i="69"/>
  <c r="AB156" i="69"/>
  <c r="AA156" i="69"/>
  <c r="Z156" i="69"/>
  <c r="Y156" i="69"/>
  <c r="AC155" i="69"/>
  <c r="AB155" i="69"/>
  <c r="AA155" i="69"/>
  <c r="Z155" i="69"/>
  <c r="Y155" i="69"/>
  <c r="AC154" i="69"/>
  <c r="AB154" i="69"/>
  <c r="AA154" i="69"/>
  <c r="Z154" i="69"/>
  <c r="Y154" i="69"/>
  <c r="AC153" i="69"/>
  <c r="AB153" i="69"/>
  <c r="AA153" i="69"/>
  <c r="Z153" i="69"/>
  <c r="Y153" i="69"/>
  <c r="AC152" i="69"/>
  <c r="AB152" i="69"/>
  <c r="AA152" i="69"/>
  <c r="Z152" i="69"/>
  <c r="Y152" i="69"/>
  <c r="AC151" i="69"/>
  <c r="AB151" i="69"/>
  <c r="AA151" i="69"/>
  <c r="Z151" i="69"/>
  <c r="Y151" i="69"/>
  <c r="AC150" i="69"/>
  <c r="AB150" i="69"/>
  <c r="AA150" i="69"/>
  <c r="Z150" i="69"/>
  <c r="Y150" i="69"/>
  <c r="AC149" i="69"/>
  <c r="AB149" i="69"/>
  <c r="AA149" i="69"/>
  <c r="Z149" i="69"/>
  <c r="Y149" i="69"/>
  <c r="AC148" i="69"/>
  <c r="AB148" i="69"/>
  <c r="AA148" i="69"/>
  <c r="Z148" i="69"/>
  <c r="Y148" i="69"/>
  <c r="AC147" i="69"/>
  <c r="AB147" i="69"/>
  <c r="AA147" i="69"/>
  <c r="Z147" i="69"/>
  <c r="Y147" i="69"/>
  <c r="AC146" i="69"/>
  <c r="AB146" i="69"/>
  <c r="AA146" i="69"/>
  <c r="Z146" i="69"/>
  <c r="Y146" i="69"/>
  <c r="AC145" i="69"/>
  <c r="AB145" i="69"/>
  <c r="AA145" i="69"/>
  <c r="Z145" i="69"/>
  <c r="Y145" i="69"/>
  <c r="AI133" i="69"/>
  <c r="AH133" i="69"/>
  <c r="AG133" i="69"/>
  <c r="AF133" i="69"/>
  <c r="AE133" i="69"/>
  <c r="AI132" i="69"/>
  <c r="AI131" i="69"/>
  <c r="AH131" i="69"/>
  <c r="AG131" i="69"/>
  <c r="AF131" i="69"/>
  <c r="AE131" i="69"/>
  <c r="AI130" i="69"/>
  <c r="AH130" i="69"/>
  <c r="AG130" i="69"/>
  <c r="AF130" i="69"/>
  <c r="AE130" i="69"/>
  <c r="AI129" i="69"/>
  <c r="AH129" i="69"/>
  <c r="AG129" i="69"/>
  <c r="AF129" i="69"/>
  <c r="AE129" i="69"/>
  <c r="AI128" i="69"/>
  <c r="AH128" i="69"/>
  <c r="AG128" i="69"/>
  <c r="AF128" i="69"/>
  <c r="AE128" i="69"/>
  <c r="AI127" i="69"/>
  <c r="AH127" i="69"/>
  <c r="AG127" i="69"/>
  <c r="AF127" i="69"/>
  <c r="AE127" i="69"/>
  <c r="AI126" i="69"/>
  <c r="AH126" i="69"/>
  <c r="AG126" i="69"/>
  <c r="AF126" i="69"/>
  <c r="AE126" i="69"/>
  <c r="AI125" i="69"/>
  <c r="AH125" i="69"/>
  <c r="AG125" i="69"/>
  <c r="AF125" i="69"/>
  <c r="AE125" i="69"/>
  <c r="AI124" i="69"/>
  <c r="AH124" i="69"/>
  <c r="AG124" i="69"/>
  <c r="AF124" i="69"/>
  <c r="AE124" i="69"/>
  <c r="AI123" i="69"/>
  <c r="AH123" i="69"/>
  <c r="AG123" i="69"/>
  <c r="AF123" i="69"/>
  <c r="AE123" i="69"/>
  <c r="AI122" i="69"/>
  <c r="AH122" i="69"/>
  <c r="AG122" i="69"/>
  <c r="AF122" i="69"/>
  <c r="AE122" i="69"/>
  <c r="AI121" i="69"/>
  <c r="AH121" i="69"/>
  <c r="AG121" i="69"/>
  <c r="AF121" i="69"/>
  <c r="AE121" i="69"/>
  <c r="AI120" i="69"/>
  <c r="AH120" i="69"/>
  <c r="AG120" i="69"/>
  <c r="AF120" i="69"/>
  <c r="AE120" i="69"/>
  <c r="AI119" i="69"/>
  <c r="AH119" i="69"/>
  <c r="AG119" i="69"/>
  <c r="AF119" i="69"/>
  <c r="AE119" i="69"/>
  <c r="AI118" i="69"/>
  <c r="AH118" i="69"/>
  <c r="AG118" i="69"/>
  <c r="AF118" i="69"/>
  <c r="AE118" i="69"/>
  <c r="AI117" i="69"/>
  <c r="AH117" i="69"/>
  <c r="AG117" i="69"/>
  <c r="AF117" i="69"/>
  <c r="AE117" i="69"/>
  <c r="AI116" i="69"/>
  <c r="AH116" i="69"/>
  <c r="AG116" i="69"/>
  <c r="AF116" i="69"/>
  <c r="AE116" i="69"/>
  <c r="AI115" i="69"/>
  <c r="AH115" i="69"/>
  <c r="AG115" i="69"/>
  <c r="AF115" i="69"/>
  <c r="AE115" i="69"/>
  <c r="AI114" i="69"/>
  <c r="AH114" i="69"/>
  <c r="AG114" i="69"/>
  <c r="AF114" i="69"/>
  <c r="AE114" i="69"/>
  <c r="AI113" i="69"/>
  <c r="AH113" i="69"/>
  <c r="AG113" i="69"/>
  <c r="AF113" i="69"/>
  <c r="AE113" i="69"/>
  <c r="AI112" i="69"/>
  <c r="AH112" i="69"/>
  <c r="AG112" i="69"/>
  <c r="AF112" i="69"/>
  <c r="AE112" i="69"/>
  <c r="AI111" i="69"/>
  <c r="AH111" i="69"/>
  <c r="AG111" i="69"/>
  <c r="AF111" i="69"/>
  <c r="AE111" i="69"/>
  <c r="AI110" i="69"/>
  <c r="AH110" i="69"/>
  <c r="AG110" i="69"/>
  <c r="AF110" i="69"/>
  <c r="AE110" i="69"/>
  <c r="AC133" i="69"/>
  <c r="AB133" i="69"/>
  <c r="AA133" i="69"/>
  <c r="Z133" i="69"/>
  <c r="Y133" i="69"/>
  <c r="AC132" i="69"/>
  <c r="AC131" i="69"/>
  <c r="AB131" i="69"/>
  <c r="AA131" i="69"/>
  <c r="Z131" i="69"/>
  <c r="Y131" i="69"/>
  <c r="AC130" i="69"/>
  <c r="AB130" i="69"/>
  <c r="AA130" i="69"/>
  <c r="Z130" i="69"/>
  <c r="Y130" i="69"/>
  <c r="AC129" i="69"/>
  <c r="AB129" i="69"/>
  <c r="AA129" i="69"/>
  <c r="Z129" i="69"/>
  <c r="Y129" i="69"/>
  <c r="AC128" i="69"/>
  <c r="AB128" i="69"/>
  <c r="AA128" i="69"/>
  <c r="Z128" i="69"/>
  <c r="Y128" i="69"/>
  <c r="AC127" i="69"/>
  <c r="AB127" i="69"/>
  <c r="AA127" i="69"/>
  <c r="Z127" i="69"/>
  <c r="Y127" i="69"/>
  <c r="AC126" i="69"/>
  <c r="AB126" i="69"/>
  <c r="AA126" i="69"/>
  <c r="Z126" i="69"/>
  <c r="Y126" i="69"/>
  <c r="AC125" i="69"/>
  <c r="AB125" i="69"/>
  <c r="AA125" i="69"/>
  <c r="Z125" i="69"/>
  <c r="Y125" i="69"/>
  <c r="AC124" i="69"/>
  <c r="AB124" i="69"/>
  <c r="AA124" i="69"/>
  <c r="Z124" i="69"/>
  <c r="Y124" i="69"/>
  <c r="AC123" i="69"/>
  <c r="AB123" i="69"/>
  <c r="AA123" i="69"/>
  <c r="Z123" i="69"/>
  <c r="Y123" i="69"/>
  <c r="AC122" i="69"/>
  <c r="AB122" i="69"/>
  <c r="AA122" i="69"/>
  <c r="Z122" i="69"/>
  <c r="Y122" i="69"/>
  <c r="AC121" i="69"/>
  <c r="AB121" i="69"/>
  <c r="AA121" i="69"/>
  <c r="Z121" i="69"/>
  <c r="Y121" i="69"/>
  <c r="AC120" i="69"/>
  <c r="AB120" i="69"/>
  <c r="AA120" i="69"/>
  <c r="Z120" i="69"/>
  <c r="Y120" i="69"/>
  <c r="AC119" i="69"/>
  <c r="AB119" i="69"/>
  <c r="AA119" i="69"/>
  <c r="Z119" i="69"/>
  <c r="Y119" i="69"/>
  <c r="AC118" i="69"/>
  <c r="AB118" i="69"/>
  <c r="AA118" i="69"/>
  <c r="Z118" i="69"/>
  <c r="Y118" i="69"/>
  <c r="AC117" i="69"/>
  <c r="AB117" i="69"/>
  <c r="AA117" i="69"/>
  <c r="Z117" i="69"/>
  <c r="Y117" i="69"/>
  <c r="AC116" i="69"/>
  <c r="AB116" i="69"/>
  <c r="AA116" i="69"/>
  <c r="Z116" i="69"/>
  <c r="Y116" i="69"/>
  <c r="AC115" i="69"/>
  <c r="AB115" i="69"/>
  <c r="AA115" i="69"/>
  <c r="Z115" i="69"/>
  <c r="Y115" i="69"/>
  <c r="AC114" i="69"/>
  <c r="AB114" i="69"/>
  <c r="AA114" i="69"/>
  <c r="Z114" i="69"/>
  <c r="Y114" i="69"/>
  <c r="AC113" i="69"/>
  <c r="AB113" i="69"/>
  <c r="AA113" i="69"/>
  <c r="Z113" i="69"/>
  <c r="Y113" i="69"/>
  <c r="AC112" i="69"/>
  <c r="AB112" i="69"/>
  <c r="AA112" i="69"/>
  <c r="Z112" i="69"/>
  <c r="Y112" i="69"/>
  <c r="AC111" i="69"/>
  <c r="AB111" i="69"/>
  <c r="AA111" i="69"/>
  <c r="Z111" i="69"/>
  <c r="Y111" i="69"/>
  <c r="AC110" i="69"/>
  <c r="AB110" i="69"/>
  <c r="AA110" i="69"/>
  <c r="Z110" i="69"/>
  <c r="Y110" i="69"/>
  <c r="AF9" i="69"/>
  <c r="AF9" i="68"/>
  <c r="AI203" i="67"/>
  <c r="AH203" i="67"/>
  <c r="AG203" i="67"/>
  <c r="AF203" i="67"/>
  <c r="AE203" i="67"/>
  <c r="AI202" i="67"/>
  <c r="AI201" i="67"/>
  <c r="AH201" i="67"/>
  <c r="AG201" i="67"/>
  <c r="AF201" i="67"/>
  <c r="AE201" i="67"/>
  <c r="AI200" i="67"/>
  <c r="AH200" i="67"/>
  <c r="AG200" i="67"/>
  <c r="AF200" i="67"/>
  <c r="AE200" i="67"/>
  <c r="AI199" i="67"/>
  <c r="AH199" i="67"/>
  <c r="AG199" i="67"/>
  <c r="AF199" i="67"/>
  <c r="AE199" i="67"/>
  <c r="AI198" i="67"/>
  <c r="AH198" i="67"/>
  <c r="AG198" i="67"/>
  <c r="AF198" i="67"/>
  <c r="AE198" i="67"/>
  <c r="AI197" i="67"/>
  <c r="AH197" i="67"/>
  <c r="AG197" i="67"/>
  <c r="AF197" i="67"/>
  <c r="AE197" i="67"/>
  <c r="AI196" i="67"/>
  <c r="AH196" i="67"/>
  <c r="AG196" i="67"/>
  <c r="AF196" i="67"/>
  <c r="AE196" i="67"/>
  <c r="AI195" i="67"/>
  <c r="AH195" i="67"/>
  <c r="AG195" i="67"/>
  <c r="AF195" i="67"/>
  <c r="AE195" i="67"/>
  <c r="AI194" i="67"/>
  <c r="AH194" i="67"/>
  <c r="AE194" i="67"/>
  <c r="AI193" i="67"/>
  <c r="AH193" i="67"/>
  <c r="AG193" i="67"/>
  <c r="AF193" i="67"/>
  <c r="AE193" i="67"/>
  <c r="AI192" i="67"/>
  <c r="AH192" i="67"/>
  <c r="AG192" i="67"/>
  <c r="AF192" i="67"/>
  <c r="AE192" i="67"/>
  <c r="AI191" i="67"/>
  <c r="AH191" i="67"/>
  <c r="AG191" i="67"/>
  <c r="AF191" i="67"/>
  <c r="AE191" i="67"/>
  <c r="AI190" i="67"/>
  <c r="AH190" i="67"/>
  <c r="AG190" i="67"/>
  <c r="AF190" i="67"/>
  <c r="AE190" i="67"/>
  <c r="AI189" i="67"/>
  <c r="AH189" i="67"/>
  <c r="AG189" i="67"/>
  <c r="AF189" i="67"/>
  <c r="AE189" i="67"/>
  <c r="AI188" i="67"/>
  <c r="AH188" i="67"/>
  <c r="AG188" i="67"/>
  <c r="AF188" i="67"/>
  <c r="AE188" i="67"/>
  <c r="AI187" i="67"/>
  <c r="AH187" i="67"/>
  <c r="AG187" i="67"/>
  <c r="AF187" i="67"/>
  <c r="AE187" i="67"/>
  <c r="AI186" i="67"/>
  <c r="AH186" i="67"/>
  <c r="AG186" i="67"/>
  <c r="AF186" i="67"/>
  <c r="AE186" i="67"/>
  <c r="AI185" i="67"/>
  <c r="AH185" i="67"/>
  <c r="AG185" i="67"/>
  <c r="AF185" i="67"/>
  <c r="AE185" i="67"/>
  <c r="AI184" i="67"/>
  <c r="AH184" i="67"/>
  <c r="AG184" i="67"/>
  <c r="AF184" i="67"/>
  <c r="AE184" i="67"/>
  <c r="AI183" i="67"/>
  <c r="AH183" i="67"/>
  <c r="AG183" i="67"/>
  <c r="AF183" i="67"/>
  <c r="AE183" i="67"/>
  <c r="AI182" i="67"/>
  <c r="AH182" i="67"/>
  <c r="AG182" i="67"/>
  <c r="AF182" i="67"/>
  <c r="AE182" i="67"/>
  <c r="AI181" i="67"/>
  <c r="AH181" i="67"/>
  <c r="AG181" i="67"/>
  <c r="AF181" i="67"/>
  <c r="AE181" i="67"/>
  <c r="AI180" i="67"/>
  <c r="AH180" i="67"/>
  <c r="AG180" i="67"/>
  <c r="AF180" i="67"/>
  <c r="AE180" i="67"/>
  <c r="AC203" i="67"/>
  <c r="AB203" i="67"/>
  <c r="AA203" i="67"/>
  <c r="Z203" i="67"/>
  <c r="Y203" i="67"/>
  <c r="AC202" i="67"/>
  <c r="AC201" i="67"/>
  <c r="AB201" i="67"/>
  <c r="AA201" i="67"/>
  <c r="Z201" i="67"/>
  <c r="Y201" i="67"/>
  <c r="AC200" i="67"/>
  <c r="AB200" i="67"/>
  <c r="AA200" i="67"/>
  <c r="Z200" i="67"/>
  <c r="Y200" i="67"/>
  <c r="AC199" i="67"/>
  <c r="AB199" i="67"/>
  <c r="AA199" i="67"/>
  <c r="Z199" i="67"/>
  <c r="Y199" i="67"/>
  <c r="AC198" i="67"/>
  <c r="AB198" i="67"/>
  <c r="AA198" i="67"/>
  <c r="Z198" i="67"/>
  <c r="Y198" i="67"/>
  <c r="AC197" i="67"/>
  <c r="AB197" i="67"/>
  <c r="AA197" i="67"/>
  <c r="Z197" i="67"/>
  <c r="Y197" i="67"/>
  <c r="AC196" i="67"/>
  <c r="AB196" i="67"/>
  <c r="AA196" i="67"/>
  <c r="Z196" i="67"/>
  <c r="Y196" i="67"/>
  <c r="AC195" i="67"/>
  <c r="AB195" i="67"/>
  <c r="AA195" i="67"/>
  <c r="Z195" i="67"/>
  <c r="Y195" i="67"/>
  <c r="AC194" i="67"/>
  <c r="AB194" i="67"/>
  <c r="AA194" i="67"/>
  <c r="Z194" i="67"/>
  <c r="Y194" i="67"/>
  <c r="AC193" i="67"/>
  <c r="AB193" i="67"/>
  <c r="AA193" i="67"/>
  <c r="Z193" i="67"/>
  <c r="Y193" i="67"/>
  <c r="AC192" i="67"/>
  <c r="AB192" i="67"/>
  <c r="AA192" i="67"/>
  <c r="Z192" i="67"/>
  <c r="Y192" i="67"/>
  <c r="AC191" i="67"/>
  <c r="AB191" i="67"/>
  <c r="AA191" i="67"/>
  <c r="Z191" i="67"/>
  <c r="Y191" i="67"/>
  <c r="AC190" i="67"/>
  <c r="AB190" i="67"/>
  <c r="AA190" i="67"/>
  <c r="Z190" i="67"/>
  <c r="Y190" i="67"/>
  <c r="AC189" i="67"/>
  <c r="AB189" i="67"/>
  <c r="AA189" i="67"/>
  <c r="Z189" i="67"/>
  <c r="Y189" i="67"/>
  <c r="AC188" i="67"/>
  <c r="AB188" i="67"/>
  <c r="AA188" i="67"/>
  <c r="Z188" i="67"/>
  <c r="Y188" i="67"/>
  <c r="AC187" i="67"/>
  <c r="AB187" i="67"/>
  <c r="AA187" i="67"/>
  <c r="Z187" i="67"/>
  <c r="Y187" i="67"/>
  <c r="AC186" i="67"/>
  <c r="AB186" i="67"/>
  <c r="AA186" i="67"/>
  <c r="Z186" i="67"/>
  <c r="Y186" i="67"/>
  <c r="AC185" i="67"/>
  <c r="AB185" i="67"/>
  <c r="AA185" i="67"/>
  <c r="Z185" i="67"/>
  <c r="Y185" i="67"/>
  <c r="AC184" i="67"/>
  <c r="AB184" i="67"/>
  <c r="AA184" i="67"/>
  <c r="Z184" i="67"/>
  <c r="Y184" i="67"/>
  <c r="AC183" i="67"/>
  <c r="AB183" i="67"/>
  <c r="AA183" i="67"/>
  <c r="Z183" i="67"/>
  <c r="Y183" i="67"/>
  <c r="AC182" i="67"/>
  <c r="AB182" i="67"/>
  <c r="AA182" i="67"/>
  <c r="Z182" i="67"/>
  <c r="Y182" i="67"/>
  <c r="AC181" i="67"/>
  <c r="AB181" i="67"/>
  <c r="AA181" i="67"/>
  <c r="Z181" i="67"/>
  <c r="Y181" i="67"/>
  <c r="AC180" i="67"/>
  <c r="AB180" i="67"/>
  <c r="AA180" i="67"/>
  <c r="Z180" i="67"/>
  <c r="Y180" i="67"/>
  <c r="AI168" i="67"/>
  <c r="AH168" i="67"/>
  <c r="AG168" i="67"/>
  <c r="AF168" i="67"/>
  <c r="AE168" i="67"/>
  <c r="AI167" i="67"/>
  <c r="AI166" i="67"/>
  <c r="AH166" i="67"/>
  <c r="AG166" i="67"/>
  <c r="AF166" i="67"/>
  <c r="AE166" i="67"/>
  <c r="AI165" i="67"/>
  <c r="AH165" i="67"/>
  <c r="AG165" i="67"/>
  <c r="AF165" i="67"/>
  <c r="AE165" i="67"/>
  <c r="AI164" i="67"/>
  <c r="AH164" i="67"/>
  <c r="AG164" i="67"/>
  <c r="AF164" i="67"/>
  <c r="AE164" i="67"/>
  <c r="AI163" i="67"/>
  <c r="AH163" i="67"/>
  <c r="AG163" i="67"/>
  <c r="AF163" i="67"/>
  <c r="AE163" i="67"/>
  <c r="AI162" i="67"/>
  <c r="AH162" i="67"/>
  <c r="AG162" i="67"/>
  <c r="AF162" i="67"/>
  <c r="AE162" i="67"/>
  <c r="AI161" i="67"/>
  <c r="AH161" i="67"/>
  <c r="AG161" i="67"/>
  <c r="AF161" i="67"/>
  <c r="AE161" i="67"/>
  <c r="AI160" i="67"/>
  <c r="AH160" i="67"/>
  <c r="AG160" i="67"/>
  <c r="AF160" i="67"/>
  <c r="AE160" i="67"/>
  <c r="AI159" i="67"/>
  <c r="AH159" i="67"/>
  <c r="AG159" i="67"/>
  <c r="AF159" i="67"/>
  <c r="AE159" i="67"/>
  <c r="AI158" i="67"/>
  <c r="AH158" i="67"/>
  <c r="AG158" i="67"/>
  <c r="AF158" i="67"/>
  <c r="AE158" i="67"/>
  <c r="AI157" i="67"/>
  <c r="AH157" i="67"/>
  <c r="AG157" i="67"/>
  <c r="AF157" i="67"/>
  <c r="AE157" i="67"/>
  <c r="AI156" i="67"/>
  <c r="AH156" i="67"/>
  <c r="AG156" i="67"/>
  <c r="AF156" i="67"/>
  <c r="AE156" i="67"/>
  <c r="AI155" i="67"/>
  <c r="AH155" i="67"/>
  <c r="AG155" i="67"/>
  <c r="AF155" i="67"/>
  <c r="AE155" i="67"/>
  <c r="AI154" i="67"/>
  <c r="AH154" i="67"/>
  <c r="AG154" i="67"/>
  <c r="AF154" i="67"/>
  <c r="AE154" i="67"/>
  <c r="AI153" i="67"/>
  <c r="AH153" i="67"/>
  <c r="AG153" i="67"/>
  <c r="AF153" i="67"/>
  <c r="AE153" i="67"/>
  <c r="AI152" i="67"/>
  <c r="AH152" i="67"/>
  <c r="AG152" i="67"/>
  <c r="AF152" i="67"/>
  <c r="AE152" i="67"/>
  <c r="AI151" i="67"/>
  <c r="AH151" i="67"/>
  <c r="AG151" i="67"/>
  <c r="AF151" i="67"/>
  <c r="AE151" i="67"/>
  <c r="AI150" i="67"/>
  <c r="AH150" i="67"/>
  <c r="AG150" i="67"/>
  <c r="AF150" i="67"/>
  <c r="AE150" i="67"/>
  <c r="AI149" i="67"/>
  <c r="AH149" i="67"/>
  <c r="AG149" i="67"/>
  <c r="AF149" i="67"/>
  <c r="AE149" i="67"/>
  <c r="AI148" i="67"/>
  <c r="AH148" i="67"/>
  <c r="AG148" i="67"/>
  <c r="AF148" i="67"/>
  <c r="AE148" i="67"/>
  <c r="AI147" i="67"/>
  <c r="AH147" i="67"/>
  <c r="AG147" i="67"/>
  <c r="AF147" i="67"/>
  <c r="AE147" i="67"/>
  <c r="AI146" i="67"/>
  <c r="AH146" i="67"/>
  <c r="AG146" i="67"/>
  <c r="AF146" i="67"/>
  <c r="AE146" i="67"/>
  <c r="AI145" i="67"/>
  <c r="AH145" i="67"/>
  <c r="AG145" i="67"/>
  <c r="AF145" i="67"/>
  <c r="AE145" i="67"/>
  <c r="AC168" i="67"/>
  <c r="AB168" i="67"/>
  <c r="AA168" i="67"/>
  <c r="Z168" i="67"/>
  <c r="Y168" i="67"/>
  <c r="AC167" i="67"/>
  <c r="AC166" i="67"/>
  <c r="AB166" i="67"/>
  <c r="AA166" i="67"/>
  <c r="Z166" i="67"/>
  <c r="Y166" i="67"/>
  <c r="AC165" i="67"/>
  <c r="AB165" i="67"/>
  <c r="AA165" i="67"/>
  <c r="Z165" i="67"/>
  <c r="Y165" i="67"/>
  <c r="AC164" i="67"/>
  <c r="AB164" i="67"/>
  <c r="AA164" i="67"/>
  <c r="Z164" i="67"/>
  <c r="Y164" i="67"/>
  <c r="AC163" i="67"/>
  <c r="AB163" i="67"/>
  <c r="AA163" i="67"/>
  <c r="Z163" i="67"/>
  <c r="Y163" i="67"/>
  <c r="AC162" i="67"/>
  <c r="AB162" i="67"/>
  <c r="AA162" i="67"/>
  <c r="Z162" i="67"/>
  <c r="Y162" i="67"/>
  <c r="AC161" i="67"/>
  <c r="AB161" i="67"/>
  <c r="AA161" i="67"/>
  <c r="Z161" i="67"/>
  <c r="Y161" i="67"/>
  <c r="AC160" i="67"/>
  <c r="AB160" i="67"/>
  <c r="AA160" i="67"/>
  <c r="Z160" i="67"/>
  <c r="Y160" i="67"/>
  <c r="AC159" i="67"/>
  <c r="AB159" i="67"/>
  <c r="AA159" i="67"/>
  <c r="Z159" i="67"/>
  <c r="Y159" i="67"/>
  <c r="AC158" i="67"/>
  <c r="AB158" i="67"/>
  <c r="AA158" i="67"/>
  <c r="Z158" i="67"/>
  <c r="Y158" i="67"/>
  <c r="AC157" i="67"/>
  <c r="AB157" i="67"/>
  <c r="AA157" i="67"/>
  <c r="Z157" i="67"/>
  <c r="Y157" i="67"/>
  <c r="AC156" i="67"/>
  <c r="AB156" i="67"/>
  <c r="AA156" i="67"/>
  <c r="Z156" i="67"/>
  <c r="Y156" i="67"/>
  <c r="AC155" i="67"/>
  <c r="AB155" i="67"/>
  <c r="AA155" i="67"/>
  <c r="Z155" i="67"/>
  <c r="Y155" i="67"/>
  <c r="AC154" i="67"/>
  <c r="AB154" i="67"/>
  <c r="AA154" i="67"/>
  <c r="Z154" i="67"/>
  <c r="Y154" i="67"/>
  <c r="AC153" i="67"/>
  <c r="AB153" i="67"/>
  <c r="AA153" i="67"/>
  <c r="Z153" i="67"/>
  <c r="Y153" i="67"/>
  <c r="AC152" i="67"/>
  <c r="AB152" i="67"/>
  <c r="AA152" i="67"/>
  <c r="Z152" i="67"/>
  <c r="Y152" i="67"/>
  <c r="AC151" i="67"/>
  <c r="AB151" i="67"/>
  <c r="AA151" i="67"/>
  <c r="Z151" i="67"/>
  <c r="Y151" i="67"/>
  <c r="AC150" i="67"/>
  <c r="AB150" i="67"/>
  <c r="AA150" i="67"/>
  <c r="Z150" i="67"/>
  <c r="Y150" i="67"/>
  <c r="AC149" i="67"/>
  <c r="AB149" i="67"/>
  <c r="AA149" i="67"/>
  <c r="Z149" i="67"/>
  <c r="Y149" i="67"/>
  <c r="AC148" i="67"/>
  <c r="AB148" i="67"/>
  <c r="AA148" i="67"/>
  <c r="Z148" i="67"/>
  <c r="Y148" i="67"/>
  <c r="AC147" i="67"/>
  <c r="AB147" i="67"/>
  <c r="AA147" i="67"/>
  <c r="Z147" i="67"/>
  <c r="Y147" i="67"/>
  <c r="AC146" i="67"/>
  <c r="AB146" i="67"/>
  <c r="AA146" i="67"/>
  <c r="Z146" i="67"/>
  <c r="Y146" i="67"/>
  <c r="AC145" i="67"/>
  <c r="AB145" i="67"/>
  <c r="AA145" i="67"/>
  <c r="Z145" i="67"/>
  <c r="Y145" i="67"/>
  <c r="AI133" i="67"/>
  <c r="AH133" i="67"/>
  <c r="AG133" i="67"/>
  <c r="AF133" i="67"/>
  <c r="AE133" i="67"/>
  <c r="AI132" i="67"/>
  <c r="AI131" i="67"/>
  <c r="AH131" i="67"/>
  <c r="AG131" i="67"/>
  <c r="AF131" i="67"/>
  <c r="AE131" i="67"/>
  <c r="AI130" i="67"/>
  <c r="AH130" i="67"/>
  <c r="AG130" i="67"/>
  <c r="AF130" i="67"/>
  <c r="AE130" i="67"/>
  <c r="AI129" i="67"/>
  <c r="AH129" i="67"/>
  <c r="AG129" i="67"/>
  <c r="AF129" i="67"/>
  <c r="AE129" i="67"/>
  <c r="AI128" i="67"/>
  <c r="AH128" i="67"/>
  <c r="AG128" i="67"/>
  <c r="AF128" i="67"/>
  <c r="AE128" i="67"/>
  <c r="AI127" i="67"/>
  <c r="AH127" i="67"/>
  <c r="AG127" i="67"/>
  <c r="AF127" i="67"/>
  <c r="AE127" i="67"/>
  <c r="AI126" i="67"/>
  <c r="AH126" i="67"/>
  <c r="AG126" i="67"/>
  <c r="AF126" i="67"/>
  <c r="AE126" i="67"/>
  <c r="AI125" i="67"/>
  <c r="AH125" i="67"/>
  <c r="AG125" i="67"/>
  <c r="AF125" i="67"/>
  <c r="AE125" i="67"/>
  <c r="AI124" i="67"/>
  <c r="AH124" i="67"/>
  <c r="AG124" i="67"/>
  <c r="AF124" i="67"/>
  <c r="AE124" i="67"/>
  <c r="AI123" i="67"/>
  <c r="AH123" i="67"/>
  <c r="AG123" i="67"/>
  <c r="AF123" i="67"/>
  <c r="AE123" i="67"/>
  <c r="AI122" i="67"/>
  <c r="AH122" i="67"/>
  <c r="AG122" i="67"/>
  <c r="AF122" i="67"/>
  <c r="AE122" i="67"/>
  <c r="AI121" i="67"/>
  <c r="AH121" i="67"/>
  <c r="AG121" i="67"/>
  <c r="AF121" i="67"/>
  <c r="AE121" i="67"/>
  <c r="AI120" i="67"/>
  <c r="AH120" i="67"/>
  <c r="AG120" i="67"/>
  <c r="AF120" i="67"/>
  <c r="AE120" i="67"/>
  <c r="AI119" i="67"/>
  <c r="AH119" i="67"/>
  <c r="AG119" i="67"/>
  <c r="AF119" i="67"/>
  <c r="AE119" i="67"/>
  <c r="AI118" i="67"/>
  <c r="AH118" i="67"/>
  <c r="AG118" i="67"/>
  <c r="AF118" i="67"/>
  <c r="AE118" i="67"/>
  <c r="AI117" i="67"/>
  <c r="AH117" i="67"/>
  <c r="AG117" i="67"/>
  <c r="AF117" i="67"/>
  <c r="AE117" i="67"/>
  <c r="AI116" i="67"/>
  <c r="AH116" i="67"/>
  <c r="AG116" i="67"/>
  <c r="AF116" i="67"/>
  <c r="AE116" i="67"/>
  <c r="AI115" i="67"/>
  <c r="AH115" i="67"/>
  <c r="AG115" i="67"/>
  <c r="AF115" i="67"/>
  <c r="AE115" i="67"/>
  <c r="AI114" i="67"/>
  <c r="AH114" i="67"/>
  <c r="AG114" i="67"/>
  <c r="AF114" i="67"/>
  <c r="AE114" i="67"/>
  <c r="AI113" i="67"/>
  <c r="AH113" i="67"/>
  <c r="AG113" i="67"/>
  <c r="AF113" i="67"/>
  <c r="AE113" i="67"/>
  <c r="AI112" i="67"/>
  <c r="AH112" i="67"/>
  <c r="AG112" i="67"/>
  <c r="AF112" i="67"/>
  <c r="AE112" i="67"/>
  <c r="AI111" i="67"/>
  <c r="AH111" i="67"/>
  <c r="AG111" i="67"/>
  <c r="AF111" i="67"/>
  <c r="AE111" i="67"/>
  <c r="AI110" i="67"/>
  <c r="AH110" i="67"/>
  <c r="AG110" i="67"/>
  <c r="AF110" i="67"/>
  <c r="AE110" i="67"/>
  <c r="AC133" i="67"/>
  <c r="AB133" i="67"/>
  <c r="AA133" i="67"/>
  <c r="Z133" i="67"/>
  <c r="Y133" i="67"/>
  <c r="AC132" i="67"/>
  <c r="AC131" i="67"/>
  <c r="AB131" i="67"/>
  <c r="AA131" i="67"/>
  <c r="Z131" i="67"/>
  <c r="Y131" i="67"/>
  <c r="AC130" i="67"/>
  <c r="AB130" i="67"/>
  <c r="AA130" i="67"/>
  <c r="Z130" i="67"/>
  <c r="Y130" i="67"/>
  <c r="AC129" i="67"/>
  <c r="AB129" i="67"/>
  <c r="AA129" i="67"/>
  <c r="Z129" i="67"/>
  <c r="Y129" i="67"/>
  <c r="AC128" i="67"/>
  <c r="AB128" i="67"/>
  <c r="AA128" i="67"/>
  <c r="Z128" i="67"/>
  <c r="Y128" i="67"/>
  <c r="AC127" i="67"/>
  <c r="AB127" i="67"/>
  <c r="AA127" i="67"/>
  <c r="Z127" i="67"/>
  <c r="Y127" i="67"/>
  <c r="AC126" i="67"/>
  <c r="AB126" i="67"/>
  <c r="AA126" i="67"/>
  <c r="Z126" i="67"/>
  <c r="Y126" i="67"/>
  <c r="AC125" i="67"/>
  <c r="AB125" i="67"/>
  <c r="AA125" i="67"/>
  <c r="Z125" i="67"/>
  <c r="Y125" i="67"/>
  <c r="AC124" i="67"/>
  <c r="AB124" i="67"/>
  <c r="AA124" i="67"/>
  <c r="Z124" i="67"/>
  <c r="Y124" i="67"/>
  <c r="AC123" i="67"/>
  <c r="AB123" i="67"/>
  <c r="AA123" i="67"/>
  <c r="Z123" i="67"/>
  <c r="Y123" i="67"/>
  <c r="AC122" i="67"/>
  <c r="AB122" i="67"/>
  <c r="AA122" i="67"/>
  <c r="Z122" i="67"/>
  <c r="Y122" i="67"/>
  <c r="AC121" i="67"/>
  <c r="AB121" i="67"/>
  <c r="AA121" i="67"/>
  <c r="Z121" i="67"/>
  <c r="Y121" i="67"/>
  <c r="AC120" i="67"/>
  <c r="AB120" i="67"/>
  <c r="AA120" i="67"/>
  <c r="Z120" i="67"/>
  <c r="Y120" i="67"/>
  <c r="AC119" i="67"/>
  <c r="AB119" i="67"/>
  <c r="AA119" i="67"/>
  <c r="Z119" i="67"/>
  <c r="Y119" i="67"/>
  <c r="AC118" i="67"/>
  <c r="AB118" i="67"/>
  <c r="AA118" i="67"/>
  <c r="Z118" i="67"/>
  <c r="Y118" i="67"/>
  <c r="AC117" i="67"/>
  <c r="AB117" i="67"/>
  <c r="AA117" i="67"/>
  <c r="Z117" i="67"/>
  <c r="Y117" i="67"/>
  <c r="AC116" i="67"/>
  <c r="AB116" i="67"/>
  <c r="AA116" i="67"/>
  <c r="Z116" i="67"/>
  <c r="Y116" i="67"/>
  <c r="AC115" i="67"/>
  <c r="AB115" i="67"/>
  <c r="AA115" i="67"/>
  <c r="Z115" i="67"/>
  <c r="Y115" i="67"/>
  <c r="AC114" i="67"/>
  <c r="AB114" i="67"/>
  <c r="AA114" i="67"/>
  <c r="Z114" i="67"/>
  <c r="Y114" i="67"/>
  <c r="AC113" i="67"/>
  <c r="AB113" i="67"/>
  <c r="AA113" i="67"/>
  <c r="Z113" i="67"/>
  <c r="Y113" i="67"/>
  <c r="AC112" i="67"/>
  <c r="AB112" i="67"/>
  <c r="AA112" i="67"/>
  <c r="Z112" i="67"/>
  <c r="Y112" i="67"/>
  <c r="AC111" i="67"/>
  <c r="AB111" i="67"/>
  <c r="AA111" i="67"/>
  <c r="Z111" i="67"/>
  <c r="Y111" i="67"/>
  <c r="AC110" i="67"/>
  <c r="AB110" i="67"/>
  <c r="AA110" i="67"/>
  <c r="Z110" i="67"/>
  <c r="Y110" i="67"/>
  <c r="AF9" i="67"/>
  <c r="H32" i="67"/>
  <c r="G32" i="67"/>
  <c r="N32" i="67" s="1"/>
  <c r="F32" i="67"/>
  <c r="M32" i="67" s="1"/>
  <c r="E32" i="67"/>
  <c r="L32" i="67" s="1"/>
  <c r="D32" i="67"/>
  <c r="K32" i="67" s="1"/>
  <c r="H31" i="67"/>
  <c r="H30" i="67"/>
  <c r="G30" i="67"/>
  <c r="N30" i="67" s="1"/>
  <c r="F30" i="67"/>
  <c r="M30" i="67" s="1"/>
  <c r="E30" i="67"/>
  <c r="L30" i="67" s="1"/>
  <c r="D30" i="67"/>
  <c r="K30" i="67" s="1"/>
  <c r="H29" i="67"/>
  <c r="G29" i="67"/>
  <c r="N29" i="67" s="1"/>
  <c r="F29" i="67"/>
  <c r="M29" i="67" s="1"/>
  <c r="E29" i="67"/>
  <c r="L29" i="67" s="1"/>
  <c r="D29" i="67"/>
  <c r="K29" i="67" s="1"/>
  <c r="H28" i="67"/>
  <c r="G28" i="67"/>
  <c r="N28" i="67" s="1"/>
  <c r="F28" i="67"/>
  <c r="M28" i="67" s="1"/>
  <c r="E28" i="67"/>
  <c r="L28" i="67" s="1"/>
  <c r="D28" i="67"/>
  <c r="K28" i="67" s="1"/>
  <c r="H27" i="67"/>
  <c r="G27" i="67"/>
  <c r="N27" i="67" s="1"/>
  <c r="F27" i="67"/>
  <c r="M27" i="67" s="1"/>
  <c r="E27" i="67"/>
  <c r="L27" i="67" s="1"/>
  <c r="D27" i="67"/>
  <c r="K27" i="67" s="1"/>
  <c r="H26" i="67"/>
  <c r="G26" i="67"/>
  <c r="N26" i="67" s="1"/>
  <c r="F26" i="67"/>
  <c r="M26" i="67" s="1"/>
  <c r="E26" i="67"/>
  <c r="L26" i="67" s="1"/>
  <c r="D26" i="67"/>
  <c r="K26" i="67" s="1"/>
  <c r="H25" i="67"/>
  <c r="G25" i="67"/>
  <c r="N25" i="67" s="1"/>
  <c r="F25" i="67"/>
  <c r="M25" i="67" s="1"/>
  <c r="E25" i="67"/>
  <c r="L25" i="67" s="1"/>
  <c r="D25" i="67"/>
  <c r="K25" i="67" s="1"/>
  <c r="H24" i="67"/>
  <c r="G24" i="67"/>
  <c r="N24" i="67" s="1"/>
  <c r="F24" i="67"/>
  <c r="M24" i="67" s="1"/>
  <c r="E24" i="67"/>
  <c r="L24" i="67" s="1"/>
  <c r="D24" i="67"/>
  <c r="K24" i="67" s="1"/>
  <c r="H23" i="67"/>
  <c r="G23" i="67"/>
  <c r="N23" i="67" s="1"/>
  <c r="F23" i="67"/>
  <c r="M23" i="67" s="1"/>
  <c r="E23" i="67"/>
  <c r="L23" i="67" s="1"/>
  <c r="D23" i="67"/>
  <c r="K23" i="67" s="1"/>
  <c r="H22" i="67"/>
  <c r="G22" i="67"/>
  <c r="N22" i="67" s="1"/>
  <c r="F22" i="67"/>
  <c r="M22" i="67" s="1"/>
  <c r="E22" i="67"/>
  <c r="L22" i="67" s="1"/>
  <c r="D22" i="67"/>
  <c r="K22" i="67" s="1"/>
  <c r="H21" i="67"/>
  <c r="G21" i="67"/>
  <c r="N21" i="67" s="1"/>
  <c r="F21" i="67"/>
  <c r="M21" i="67" s="1"/>
  <c r="E21" i="67"/>
  <c r="L21" i="67" s="1"/>
  <c r="D21" i="67"/>
  <c r="K21" i="67" s="1"/>
  <c r="H20" i="67"/>
  <c r="O20" i="67" s="1"/>
  <c r="G20" i="67"/>
  <c r="N20" i="67" s="1"/>
  <c r="F20" i="67"/>
  <c r="M20" i="67" s="1"/>
  <c r="E20" i="67"/>
  <c r="D20" i="67"/>
  <c r="K20" i="67" s="1"/>
  <c r="H19" i="67"/>
  <c r="G19" i="67"/>
  <c r="N19" i="67" s="1"/>
  <c r="F19" i="67"/>
  <c r="M19" i="67" s="1"/>
  <c r="E19" i="67"/>
  <c r="L19" i="67" s="1"/>
  <c r="D19" i="67"/>
  <c r="K19" i="67" s="1"/>
  <c r="H18" i="67"/>
  <c r="G18" i="67"/>
  <c r="N18" i="67" s="1"/>
  <c r="F18" i="67"/>
  <c r="M18" i="67" s="1"/>
  <c r="E18" i="67"/>
  <c r="L18" i="67" s="1"/>
  <c r="D18" i="67"/>
  <c r="K18" i="67" s="1"/>
  <c r="H17" i="67"/>
  <c r="G17" i="67"/>
  <c r="N17" i="67" s="1"/>
  <c r="F17" i="67"/>
  <c r="M17" i="67" s="1"/>
  <c r="E17" i="67"/>
  <c r="L17" i="67" s="1"/>
  <c r="D17" i="67"/>
  <c r="K17" i="67" s="1"/>
  <c r="H16" i="67"/>
  <c r="G16" i="67"/>
  <c r="N16" i="67" s="1"/>
  <c r="F16" i="67"/>
  <c r="M16" i="67" s="1"/>
  <c r="E16" i="67"/>
  <c r="L16" i="67" s="1"/>
  <c r="D16" i="67"/>
  <c r="K16" i="67" s="1"/>
  <c r="H15" i="67"/>
  <c r="G15" i="67"/>
  <c r="N15" i="67" s="1"/>
  <c r="F15" i="67"/>
  <c r="M15" i="67" s="1"/>
  <c r="E15" i="67"/>
  <c r="L15" i="67" s="1"/>
  <c r="D15" i="67"/>
  <c r="K15" i="67" s="1"/>
  <c r="H14" i="67"/>
  <c r="G14" i="67"/>
  <c r="N14" i="67" s="1"/>
  <c r="F14" i="67"/>
  <c r="M14" i="67" s="1"/>
  <c r="E14" i="67"/>
  <c r="L14" i="67" s="1"/>
  <c r="D14" i="67"/>
  <c r="K14" i="67" s="1"/>
  <c r="H13" i="67"/>
  <c r="G13" i="67"/>
  <c r="N13" i="67" s="1"/>
  <c r="F13" i="67"/>
  <c r="M13" i="67" s="1"/>
  <c r="E13" i="67"/>
  <c r="L13" i="67" s="1"/>
  <c r="D13" i="67"/>
  <c r="K13" i="67" s="1"/>
  <c r="H12" i="67"/>
  <c r="G12" i="67"/>
  <c r="N12" i="67" s="1"/>
  <c r="F12" i="67"/>
  <c r="M12" i="67" s="1"/>
  <c r="E12" i="67"/>
  <c r="L12" i="67" s="1"/>
  <c r="D12" i="67"/>
  <c r="K12" i="67" s="1"/>
  <c r="H11" i="67"/>
  <c r="G11" i="67"/>
  <c r="N11" i="67" s="1"/>
  <c r="F11" i="67"/>
  <c r="M11" i="67" s="1"/>
  <c r="E11" i="67"/>
  <c r="L11" i="67" s="1"/>
  <c r="D11" i="67"/>
  <c r="K11" i="67" s="1"/>
  <c r="H10" i="67"/>
  <c r="G10" i="67"/>
  <c r="N10" i="67" s="1"/>
  <c r="F10" i="67"/>
  <c r="M10" i="67" s="1"/>
  <c r="E10" i="67"/>
  <c r="L10" i="67" s="1"/>
  <c r="D10" i="67"/>
  <c r="K10" i="67" s="1"/>
  <c r="H9" i="67"/>
  <c r="G9" i="67"/>
  <c r="N9" i="67" s="1"/>
  <c r="F9" i="67"/>
  <c r="M9" i="67" s="1"/>
  <c r="E9" i="67"/>
  <c r="L9" i="67" s="1"/>
  <c r="D9" i="67"/>
  <c r="K9" i="67" s="1"/>
  <c r="AC166" i="66"/>
  <c r="AB166" i="66"/>
  <c r="AA166" i="66"/>
  <c r="Z166" i="66"/>
  <c r="AC165" i="66"/>
  <c r="AC164" i="66"/>
  <c r="AB164" i="66"/>
  <c r="AA164" i="66"/>
  <c r="Z164" i="66"/>
  <c r="Y164" i="66"/>
  <c r="AC163" i="66"/>
  <c r="AB163" i="66"/>
  <c r="AA163" i="66"/>
  <c r="Z163" i="66"/>
  <c r="Y163" i="66"/>
  <c r="AC162" i="66"/>
  <c r="AB162" i="66"/>
  <c r="AA162" i="66"/>
  <c r="Z162" i="66"/>
  <c r="Y162" i="66"/>
  <c r="AC161" i="66"/>
  <c r="AB161" i="66"/>
  <c r="AA161" i="66"/>
  <c r="Z161" i="66"/>
  <c r="Y161" i="66"/>
  <c r="AC160" i="66"/>
  <c r="AB160" i="66"/>
  <c r="AA160" i="66"/>
  <c r="Z160" i="66"/>
  <c r="Y160" i="66"/>
  <c r="AC159" i="66"/>
  <c r="AB159" i="66"/>
  <c r="AA159" i="66"/>
  <c r="Z159" i="66"/>
  <c r="Y159" i="66"/>
  <c r="AC158" i="66"/>
  <c r="AB158" i="66"/>
  <c r="AA158" i="66"/>
  <c r="Z158" i="66"/>
  <c r="Y158" i="66"/>
  <c r="AC157" i="66"/>
  <c r="AB157" i="66"/>
  <c r="AA157" i="66"/>
  <c r="Z157" i="66"/>
  <c r="Y157" i="66"/>
  <c r="AC156" i="66"/>
  <c r="AB156" i="66"/>
  <c r="AA156" i="66"/>
  <c r="Z156" i="66"/>
  <c r="Y156" i="66"/>
  <c r="AC155" i="66"/>
  <c r="AB155" i="66"/>
  <c r="AA155" i="66"/>
  <c r="Z155" i="66"/>
  <c r="Y155" i="66"/>
  <c r="AC154" i="66"/>
  <c r="AB154" i="66"/>
  <c r="AA154" i="66"/>
  <c r="Z154" i="66"/>
  <c r="Y154" i="66"/>
  <c r="AC153" i="66"/>
  <c r="AB153" i="66"/>
  <c r="AA153" i="66"/>
  <c r="Z153" i="66"/>
  <c r="Y153" i="66"/>
  <c r="AC152" i="66"/>
  <c r="AB152" i="66"/>
  <c r="AA152" i="66"/>
  <c r="Z152" i="66"/>
  <c r="Y152" i="66"/>
  <c r="AC151" i="66"/>
  <c r="AB151" i="66"/>
  <c r="AA151" i="66"/>
  <c r="Z151" i="66"/>
  <c r="Y151" i="66"/>
  <c r="AC150" i="66"/>
  <c r="AB150" i="66"/>
  <c r="AA150" i="66"/>
  <c r="Z150" i="66"/>
  <c r="Y150" i="66"/>
  <c r="AC149" i="66"/>
  <c r="AB149" i="66"/>
  <c r="AA149" i="66"/>
  <c r="Z149" i="66"/>
  <c r="Y149" i="66"/>
  <c r="AC148" i="66"/>
  <c r="AB148" i="66"/>
  <c r="AA148" i="66"/>
  <c r="Z148" i="66"/>
  <c r="Y148" i="66"/>
  <c r="AC147" i="66"/>
  <c r="AB147" i="66"/>
  <c r="AA147" i="66"/>
  <c r="Z147" i="66"/>
  <c r="Y147" i="66"/>
  <c r="AC146" i="66"/>
  <c r="AB146" i="66"/>
  <c r="AA146" i="66"/>
  <c r="Z146" i="66"/>
  <c r="Y146" i="66"/>
  <c r="AC145" i="66"/>
  <c r="AB145" i="66"/>
  <c r="AA145" i="66"/>
  <c r="Z145" i="66"/>
  <c r="Y145" i="66"/>
  <c r="AC144" i="66"/>
  <c r="AB144" i="66"/>
  <c r="AA144" i="66"/>
  <c r="Z144" i="66"/>
  <c r="Y144" i="66"/>
  <c r="AC143" i="66"/>
  <c r="AB143" i="66"/>
  <c r="AA143" i="66"/>
  <c r="Z143" i="66"/>
  <c r="Y143" i="66"/>
  <c r="AF9" i="66"/>
  <c r="H32" i="66"/>
  <c r="G32" i="66"/>
  <c r="N32" i="66" s="1"/>
  <c r="F32" i="66"/>
  <c r="M32" i="66" s="1"/>
  <c r="E32" i="66"/>
  <c r="L32" i="66" s="1"/>
  <c r="D32" i="66"/>
  <c r="K32" i="66" s="1"/>
  <c r="H31" i="66"/>
  <c r="H30" i="66"/>
  <c r="G30" i="66"/>
  <c r="N30" i="66" s="1"/>
  <c r="F30" i="66"/>
  <c r="M30" i="66" s="1"/>
  <c r="E30" i="66"/>
  <c r="L30" i="66" s="1"/>
  <c r="D30" i="66"/>
  <c r="K30" i="66" s="1"/>
  <c r="H29" i="66"/>
  <c r="G29" i="66"/>
  <c r="N29" i="66" s="1"/>
  <c r="F29" i="66"/>
  <c r="M29" i="66" s="1"/>
  <c r="E29" i="66"/>
  <c r="L29" i="66" s="1"/>
  <c r="D29" i="66"/>
  <c r="K29" i="66" s="1"/>
  <c r="H28" i="66"/>
  <c r="G28" i="66"/>
  <c r="N28" i="66" s="1"/>
  <c r="F28" i="66"/>
  <c r="M28" i="66" s="1"/>
  <c r="E28" i="66"/>
  <c r="L28" i="66" s="1"/>
  <c r="D28" i="66"/>
  <c r="K28" i="66" s="1"/>
  <c r="H27" i="66"/>
  <c r="G27" i="66"/>
  <c r="N27" i="66" s="1"/>
  <c r="F27" i="66"/>
  <c r="M27" i="66" s="1"/>
  <c r="E27" i="66"/>
  <c r="L27" i="66" s="1"/>
  <c r="D27" i="66"/>
  <c r="K27" i="66" s="1"/>
  <c r="H26" i="66"/>
  <c r="G26" i="66"/>
  <c r="N26" i="66" s="1"/>
  <c r="F26" i="66"/>
  <c r="M26" i="66" s="1"/>
  <c r="E26" i="66"/>
  <c r="L26" i="66" s="1"/>
  <c r="D26" i="66"/>
  <c r="K26" i="66" s="1"/>
  <c r="H25" i="66"/>
  <c r="G25" i="66"/>
  <c r="N25" i="66" s="1"/>
  <c r="F25" i="66"/>
  <c r="M25" i="66" s="1"/>
  <c r="E25" i="66"/>
  <c r="L25" i="66" s="1"/>
  <c r="D25" i="66"/>
  <c r="K25" i="66" s="1"/>
  <c r="H24" i="66"/>
  <c r="G24" i="66"/>
  <c r="N24" i="66" s="1"/>
  <c r="F24" i="66"/>
  <c r="M24" i="66" s="1"/>
  <c r="E24" i="66"/>
  <c r="L24" i="66" s="1"/>
  <c r="D24" i="66"/>
  <c r="K24" i="66" s="1"/>
  <c r="H23" i="66"/>
  <c r="G23" i="66"/>
  <c r="N23" i="66" s="1"/>
  <c r="F23" i="66"/>
  <c r="M23" i="66" s="1"/>
  <c r="E23" i="66"/>
  <c r="L23" i="66" s="1"/>
  <c r="D23" i="66"/>
  <c r="K23" i="66" s="1"/>
  <c r="H22" i="66"/>
  <c r="G22" i="66"/>
  <c r="N22" i="66" s="1"/>
  <c r="F22" i="66"/>
  <c r="M22" i="66" s="1"/>
  <c r="E22" i="66"/>
  <c r="L22" i="66" s="1"/>
  <c r="D22" i="66"/>
  <c r="K22" i="66" s="1"/>
  <c r="H21" i="66"/>
  <c r="G21" i="66"/>
  <c r="N21" i="66" s="1"/>
  <c r="F21" i="66"/>
  <c r="M21" i="66" s="1"/>
  <c r="E21" i="66"/>
  <c r="L21" i="66" s="1"/>
  <c r="D21" i="66"/>
  <c r="K21" i="66" s="1"/>
  <c r="H20" i="66"/>
  <c r="O20" i="66" s="1"/>
  <c r="G20" i="66"/>
  <c r="N20" i="66" s="1"/>
  <c r="F20" i="66"/>
  <c r="M20" i="66" s="1"/>
  <c r="E20" i="66"/>
  <c r="D20" i="66"/>
  <c r="K20" i="66" s="1"/>
  <c r="H19" i="66"/>
  <c r="G19" i="66"/>
  <c r="N19" i="66" s="1"/>
  <c r="F19" i="66"/>
  <c r="M19" i="66" s="1"/>
  <c r="E19" i="66"/>
  <c r="L19" i="66" s="1"/>
  <c r="D19" i="66"/>
  <c r="K19" i="66" s="1"/>
  <c r="H18" i="66"/>
  <c r="G18" i="66"/>
  <c r="N18" i="66" s="1"/>
  <c r="F18" i="66"/>
  <c r="M18" i="66" s="1"/>
  <c r="E18" i="66"/>
  <c r="L18" i="66" s="1"/>
  <c r="D18" i="66"/>
  <c r="K18" i="66" s="1"/>
  <c r="H17" i="66"/>
  <c r="G17" i="66"/>
  <c r="N17" i="66" s="1"/>
  <c r="F17" i="66"/>
  <c r="M17" i="66" s="1"/>
  <c r="E17" i="66"/>
  <c r="L17" i="66" s="1"/>
  <c r="D17" i="66"/>
  <c r="K17" i="66" s="1"/>
  <c r="H16" i="66"/>
  <c r="G16" i="66"/>
  <c r="N16" i="66" s="1"/>
  <c r="F16" i="66"/>
  <c r="M16" i="66" s="1"/>
  <c r="E16" i="66"/>
  <c r="L16" i="66" s="1"/>
  <c r="D16" i="66"/>
  <c r="K16" i="66" s="1"/>
  <c r="H15" i="66"/>
  <c r="G15" i="66"/>
  <c r="N15" i="66" s="1"/>
  <c r="F15" i="66"/>
  <c r="M15" i="66" s="1"/>
  <c r="E15" i="66"/>
  <c r="L15" i="66" s="1"/>
  <c r="D15" i="66"/>
  <c r="K15" i="66" s="1"/>
  <c r="H14" i="66"/>
  <c r="G14" i="66"/>
  <c r="N14" i="66" s="1"/>
  <c r="F14" i="66"/>
  <c r="M14" i="66" s="1"/>
  <c r="E14" i="66"/>
  <c r="L14" i="66" s="1"/>
  <c r="D14" i="66"/>
  <c r="K14" i="66" s="1"/>
  <c r="H13" i="66"/>
  <c r="G13" i="66"/>
  <c r="N13" i="66" s="1"/>
  <c r="F13" i="66"/>
  <c r="M13" i="66" s="1"/>
  <c r="E13" i="66"/>
  <c r="L13" i="66" s="1"/>
  <c r="D13" i="66"/>
  <c r="K13" i="66" s="1"/>
  <c r="H12" i="66"/>
  <c r="G12" i="66"/>
  <c r="N12" i="66" s="1"/>
  <c r="F12" i="66"/>
  <c r="M12" i="66" s="1"/>
  <c r="E12" i="66"/>
  <c r="L12" i="66" s="1"/>
  <c r="D12" i="66"/>
  <c r="K12" i="66" s="1"/>
  <c r="H11" i="66"/>
  <c r="G11" i="66"/>
  <c r="N11" i="66" s="1"/>
  <c r="F11" i="66"/>
  <c r="M11" i="66" s="1"/>
  <c r="E11" i="66"/>
  <c r="L11" i="66" s="1"/>
  <c r="D11" i="66"/>
  <c r="K11" i="66" s="1"/>
  <c r="H10" i="66"/>
  <c r="G10" i="66"/>
  <c r="N10" i="66" s="1"/>
  <c r="F10" i="66"/>
  <c r="M10" i="66" s="1"/>
  <c r="E10" i="66"/>
  <c r="L10" i="66" s="1"/>
  <c r="D10" i="66"/>
  <c r="K10" i="66" s="1"/>
  <c r="H9" i="66"/>
  <c r="G9" i="66"/>
  <c r="N9" i="66" s="1"/>
  <c r="F9" i="66"/>
  <c r="M9" i="66" s="1"/>
  <c r="E9" i="66"/>
  <c r="L9" i="66" s="1"/>
  <c r="D9" i="66"/>
  <c r="K9" i="66" s="1"/>
  <c r="AF9" i="65"/>
  <c r="H32" i="65"/>
  <c r="G32" i="65"/>
  <c r="N32" i="65" s="1"/>
  <c r="F32" i="65"/>
  <c r="M32" i="65" s="1"/>
  <c r="E32" i="65"/>
  <c r="L32" i="65" s="1"/>
  <c r="D32" i="65"/>
  <c r="K32" i="65" s="1"/>
  <c r="H31" i="65"/>
  <c r="H30" i="65"/>
  <c r="G30" i="65"/>
  <c r="N30" i="65" s="1"/>
  <c r="F30" i="65"/>
  <c r="M30" i="65" s="1"/>
  <c r="E30" i="65"/>
  <c r="L30" i="65" s="1"/>
  <c r="D30" i="65"/>
  <c r="K30" i="65" s="1"/>
  <c r="H29" i="65"/>
  <c r="G29" i="65"/>
  <c r="N29" i="65" s="1"/>
  <c r="F29" i="65"/>
  <c r="M29" i="65" s="1"/>
  <c r="E29" i="65"/>
  <c r="L29" i="65" s="1"/>
  <c r="D29" i="65"/>
  <c r="K29" i="65" s="1"/>
  <c r="H28" i="65"/>
  <c r="G28" i="65"/>
  <c r="N28" i="65" s="1"/>
  <c r="F28" i="65"/>
  <c r="M28" i="65" s="1"/>
  <c r="E28" i="65"/>
  <c r="L28" i="65" s="1"/>
  <c r="D28" i="65"/>
  <c r="K28" i="65" s="1"/>
  <c r="H27" i="65"/>
  <c r="G27" i="65"/>
  <c r="N27" i="65" s="1"/>
  <c r="F27" i="65"/>
  <c r="M27" i="65" s="1"/>
  <c r="E27" i="65"/>
  <c r="L27" i="65" s="1"/>
  <c r="D27" i="65"/>
  <c r="K27" i="65" s="1"/>
  <c r="H26" i="65"/>
  <c r="G26" i="65"/>
  <c r="N26" i="65" s="1"/>
  <c r="F26" i="65"/>
  <c r="M26" i="65" s="1"/>
  <c r="E26" i="65"/>
  <c r="L26" i="65" s="1"/>
  <c r="D26" i="65"/>
  <c r="K26" i="65" s="1"/>
  <c r="H25" i="65"/>
  <c r="G25" i="65"/>
  <c r="N25" i="65" s="1"/>
  <c r="F25" i="65"/>
  <c r="M25" i="65" s="1"/>
  <c r="E25" i="65"/>
  <c r="L25" i="65" s="1"/>
  <c r="D25" i="65"/>
  <c r="K25" i="65" s="1"/>
  <c r="H24" i="65"/>
  <c r="G24" i="65"/>
  <c r="N24" i="65" s="1"/>
  <c r="F24" i="65"/>
  <c r="M24" i="65" s="1"/>
  <c r="E24" i="65"/>
  <c r="L24" i="65" s="1"/>
  <c r="D24" i="65"/>
  <c r="K24" i="65" s="1"/>
  <c r="H23" i="65"/>
  <c r="G23" i="65"/>
  <c r="N23" i="65" s="1"/>
  <c r="F23" i="65"/>
  <c r="M23" i="65" s="1"/>
  <c r="E23" i="65"/>
  <c r="L23" i="65" s="1"/>
  <c r="D23" i="65"/>
  <c r="K23" i="65" s="1"/>
  <c r="H22" i="65"/>
  <c r="G22" i="65"/>
  <c r="N22" i="65" s="1"/>
  <c r="F22" i="65"/>
  <c r="M22" i="65" s="1"/>
  <c r="E22" i="65"/>
  <c r="L22" i="65" s="1"/>
  <c r="D22" i="65"/>
  <c r="K22" i="65" s="1"/>
  <c r="H21" i="65"/>
  <c r="G21" i="65"/>
  <c r="N21" i="65" s="1"/>
  <c r="F21" i="65"/>
  <c r="M21" i="65" s="1"/>
  <c r="E21" i="65"/>
  <c r="L21" i="65" s="1"/>
  <c r="D21" i="65"/>
  <c r="K21" i="65" s="1"/>
  <c r="H20" i="65"/>
  <c r="O20" i="65" s="1"/>
  <c r="G20" i="65"/>
  <c r="N20" i="65" s="1"/>
  <c r="F20" i="65"/>
  <c r="M20" i="65" s="1"/>
  <c r="E20" i="65"/>
  <c r="D20" i="65"/>
  <c r="K20" i="65" s="1"/>
  <c r="H19" i="65"/>
  <c r="G19" i="65"/>
  <c r="N19" i="65" s="1"/>
  <c r="F19" i="65"/>
  <c r="M19" i="65" s="1"/>
  <c r="E19" i="65"/>
  <c r="L19" i="65" s="1"/>
  <c r="D19" i="65"/>
  <c r="K19" i="65" s="1"/>
  <c r="H18" i="65"/>
  <c r="G18" i="65"/>
  <c r="N18" i="65" s="1"/>
  <c r="F18" i="65"/>
  <c r="M18" i="65" s="1"/>
  <c r="E18" i="65"/>
  <c r="L18" i="65" s="1"/>
  <c r="D18" i="65"/>
  <c r="K18" i="65" s="1"/>
  <c r="H17" i="65"/>
  <c r="G17" i="65"/>
  <c r="N17" i="65" s="1"/>
  <c r="F17" i="65"/>
  <c r="M17" i="65" s="1"/>
  <c r="E17" i="65"/>
  <c r="L17" i="65" s="1"/>
  <c r="D17" i="65"/>
  <c r="K17" i="65" s="1"/>
  <c r="H16" i="65"/>
  <c r="G16" i="65"/>
  <c r="N16" i="65" s="1"/>
  <c r="F16" i="65"/>
  <c r="M16" i="65" s="1"/>
  <c r="E16" i="65"/>
  <c r="L16" i="65" s="1"/>
  <c r="D16" i="65"/>
  <c r="K16" i="65" s="1"/>
  <c r="H15" i="65"/>
  <c r="G15" i="65"/>
  <c r="N15" i="65" s="1"/>
  <c r="F15" i="65"/>
  <c r="M15" i="65" s="1"/>
  <c r="E15" i="65"/>
  <c r="L15" i="65" s="1"/>
  <c r="D15" i="65"/>
  <c r="K15" i="65" s="1"/>
  <c r="H14" i="65"/>
  <c r="G14" i="65"/>
  <c r="N14" i="65" s="1"/>
  <c r="F14" i="65"/>
  <c r="M14" i="65" s="1"/>
  <c r="E14" i="65"/>
  <c r="L14" i="65" s="1"/>
  <c r="D14" i="65"/>
  <c r="K14" i="65" s="1"/>
  <c r="H13" i="65"/>
  <c r="G13" i="65"/>
  <c r="N13" i="65" s="1"/>
  <c r="F13" i="65"/>
  <c r="M13" i="65" s="1"/>
  <c r="E13" i="65"/>
  <c r="L13" i="65" s="1"/>
  <c r="D13" i="65"/>
  <c r="K13" i="65" s="1"/>
  <c r="H12" i="65"/>
  <c r="G12" i="65"/>
  <c r="N12" i="65" s="1"/>
  <c r="F12" i="65"/>
  <c r="M12" i="65" s="1"/>
  <c r="E12" i="65"/>
  <c r="L12" i="65" s="1"/>
  <c r="D12" i="65"/>
  <c r="K12" i="65" s="1"/>
  <c r="H11" i="65"/>
  <c r="G11" i="65"/>
  <c r="N11" i="65" s="1"/>
  <c r="F11" i="65"/>
  <c r="M11" i="65" s="1"/>
  <c r="E11" i="65"/>
  <c r="L11" i="65" s="1"/>
  <c r="D11" i="65"/>
  <c r="K11" i="65" s="1"/>
  <c r="H10" i="65"/>
  <c r="G10" i="65"/>
  <c r="N10" i="65" s="1"/>
  <c r="F10" i="65"/>
  <c r="M10" i="65" s="1"/>
  <c r="E10" i="65"/>
  <c r="L10" i="65" s="1"/>
  <c r="D10" i="65"/>
  <c r="K10" i="65" s="1"/>
  <c r="H9" i="65"/>
  <c r="G9" i="65"/>
  <c r="N9" i="65" s="1"/>
  <c r="F9" i="65"/>
  <c r="M9" i="65" s="1"/>
  <c r="E9" i="65"/>
  <c r="L9" i="65" s="1"/>
  <c r="D9" i="65"/>
  <c r="K9" i="65" s="1"/>
  <c r="AF9" i="64"/>
  <c r="H32" i="64"/>
  <c r="G32" i="64"/>
  <c r="N32" i="64" s="1"/>
  <c r="F32" i="64"/>
  <c r="M32" i="64" s="1"/>
  <c r="E32" i="64"/>
  <c r="L32" i="64" s="1"/>
  <c r="D32" i="64"/>
  <c r="K32" i="64" s="1"/>
  <c r="H31" i="64"/>
  <c r="H30" i="64"/>
  <c r="G30" i="64"/>
  <c r="N30" i="64" s="1"/>
  <c r="F30" i="64"/>
  <c r="M30" i="64" s="1"/>
  <c r="E30" i="64"/>
  <c r="L30" i="64" s="1"/>
  <c r="D30" i="64"/>
  <c r="K30" i="64" s="1"/>
  <c r="H29" i="64"/>
  <c r="G29" i="64"/>
  <c r="N29" i="64" s="1"/>
  <c r="F29" i="64"/>
  <c r="M29" i="64" s="1"/>
  <c r="E29" i="64"/>
  <c r="L29" i="64" s="1"/>
  <c r="D29" i="64"/>
  <c r="K29" i="64" s="1"/>
  <c r="H28" i="64"/>
  <c r="G28" i="64"/>
  <c r="N28" i="64" s="1"/>
  <c r="F28" i="64"/>
  <c r="M28" i="64" s="1"/>
  <c r="E28" i="64"/>
  <c r="L28" i="64" s="1"/>
  <c r="D28" i="64"/>
  <c r="K28" i="64" s="1"/>
  <c r="H27" i="64"/>
  <c r="G27" i="64"/>
  <c r="N27" i="64" s="1"/>
  <c r="F27" i="64"/>
  <c r="M27" i="64" s="1"/>
  <c r="E27" i="64"/>
  <c r="L27" i="64" s="1"/>
  <c r="D27" i="64"/>
  <c r="K27" i="64" s="1"/>
  <c r="H26" i="64"/>
  <c r="G26" i="64"/>
  <c r="N26" i="64" s="1"/>
  <c r="F26" i="64"/>
  <c r="M26" i="64" s="1"/>
  <c r="E26" i="64"/>
  <c r="L26" i="64" s="1"/>
  <c r="D26" i="64"/>
  <c r="K26" i="64" s="1"/>
  <c r="H25" i="64"/>
  <c r="G25" i="64"/>
  <c r="N25" i="64" s="1"/>
  <c r="F25" i="64"/>
  <c r="M25" i="64" s="1"/>
  <c r="E25" i="64"/>
  <c r="L25" i="64" s="1"/>
  <c r="D25" i="64"/>
  <c r="K25" i="64" s="1"/>
  <c r="H24" i="64"/>
  <c r="G24" i="64"/>
  <c r="N24" i="64" s="1"/>
  <c r="F24" i="64"/>
  <c r="M24" i="64" s="1"/>
  <c r="E24" i="64"/>
  <c r="L24" i="64" s="1"/>
  <c r="D24" i="64"/>
  <c r="K24" i="64" s="1"/>
  <c r="H23" i="64"/>
  <c r="G23" i="64"/>
  <c r="N23" i="64" s="1"/>
  <c r="F23" i="64"/>
  <c r="M23" i="64" s="1"/>
  <c r="E23" i="64"/>
  <c r="L23" i="64" s="1"/>
  <c r="D23" i="64"/>
  <c r="K23" i="64" s="1"/>
  <c r="H22" i="64"/>
  <c r="G22" i="64"/>
  <c r="N22" i="64" s="1"/>
  <c r="F22" i="64"/>
  <c r="M22" i="64" s="1"/>
  <c r="E22" i="64"/>
  <c r="L22" i="64" s="1"/>
  <c r="D22" i="64"/>
  <c r="K22" i="64" s="1"/>
  <c r="H21" i="64"/>
  <c r="G21" i="64"/>
  <c r="N21" i="64" s="1"/>
  <c r="F21" i="64"/>
  <c r="M21" i="64" s="1"/>
  <c r="E21" i="64"/>
  <c r="L21" i="64" s="1"/>
  <c r="D21" i="64"/>
  <c r="K21" i="64" s="1"/>
  <c r="H20" i="64"/>
  <c r="O20" i="64" s="1"/>
  <c r="G20" i="64"/>
  <c r="N20" i="64" s="1"/>
  <c r="F20" i="64"/>
  <c r="M20" i="64" s="1"/>
  <c r="E20" i="64"/>
  <c r="D20" i="64"/>
  <c r="K20" i="64" s="1"/>
  <c r="H19" i="64"/>
  <c r="G19" i="64"/>
  <c r="N19" i="64" s="1"/>
  <c r="F19" i="64"/>
  <c r="M19" i="64" s="1"/>
  <c r="E19" i="64"/>
  <c r="L19" i="64" s="1"/>
  <c r="D19" i="64"/>
  <c r="K19" i="64" s="1"/>
  <c r="H18" i="64"/>
  <c r="G18" i="64"/>
  <c r="N18" i="64" s="1"/>
  <c r="F18" i="64"/>
  <c r="M18" i="64" s="1"/>
  <c r="E18" i="64"/>
  <c r="L18" i="64" s="1"/>
  <c r="D18" i="64"/>
  <c r="K18" i="64" s="1"/>
  <c r="H17" i="64"/>
  <c r="G17" i="64"/>
  <c r="N17" i="64" s="1"/>
  <c r="F17" i="64"/>
  <c r="M17" i="64" s="1"/>
  <c r="E17" i="64"/>
  <c r="L17" i="64" s="1"/>
  <c r="D17" i="64"/>
  <c r="K17" i="64" s="1"/>
  <c r="H16" i="64"/>
  <c r="G16" i="64"/>
  <c r="N16" i="64" s="1"/>
  <c r="F16" i="64"/>
  <c r="M16" i="64" s="1"/>
  <c r="E16" i="64"/>
  <c r="L16" i="64" s="1"/>
  <c r="D16" i="64"/>
  <c r="K16" i="64" s="1"/>
  <c r="H15" i="64"/>
  <c r="G15" i="64"/>
  <c r="N15" i="64" s="1"/>
  <c r="F15" i="64"/>
  <c r="M15" i="64" s="1"/>
  <c r="E15" i="64"/>
  <c r="L15" i="64" s="1"/>
  <c r="D15" i="64"/>
  <c r="K15" i="64" s="1"/>
  <c r="H14" i="64"/>
  <c r="G14" i="64"/>
  <c r="N14" i="64" s="1"/>
  <c r="F14" i="64"/>
  <c r="M14" i="64" s="1"/>
  <c r="E14" i="64"/>
  <c r="L14" i="64" s="1"/>
  <c r="D14" i="64"/>
  <c r="K14" i="64" s="1"/>
  <c r="H13" i="64"/>
  <c r="G13" i="64"/>
  <c r="N13" i="64" s="1"/>
  <c r="F13" i="64"/>
  <c r="M13" i="64" s="1"/>
  <c r="E13" i="64"/>
  <c r="L13" i="64" s="1"/>
  <c r="D13" i="64"/>
  <c r="K13" i="64" s="1"/>
  <c r="H12" i="64"/>
  <c r="G12" i="64"/>
  <c r="N12" i="64" s="1"/>
  <c r="F12" i="64"/>
  <c r="M12" i="64" s="1"/>
  <c r="E12" i="64"/>
  <c r="L12" i="64" s="1"/>
  <c r="D12" i="64"/>
  <c r="K12" i="64" s="1"/>
  <c r="H11" i="64"/>
  <c r="G11" i="64"/>
  <c r="N11" i="64" s="1"/>
  <c r="F11" i="64"/>
  <c r="M11" i="64" s="1"/>
  <c r="E11" i="64"/>
  <c r="L11" i="64" s="1"/>
  <c r="D11" i="64"/>
  <c r="K11" i="64" s="1"/>
  <c r="H10" i="64"/>
  <c r="G10" i="64"/>
  <c r="N10" i="64" s="1"/>
  <c r="F10" i="64"/>
  <c r="M10" i="64" s="1"/>
  <c r="E10" i="64"/>
  <c r="L10" i="64" s="1"/>
  <c r="D10" i="64"/>
  <c r="K10" i="64" s="1"/>
  <c r="H9" i="64"/>
  <c r="G9" i="64"/>
  <c r="N9" i="64" s="1"/>
  <c r="F9" i="64"/>
  <c r="M9" i="64" s="1"/>
  <c r="E9" i="64"/>
  <c r="L9" i="64" s="1"/>
  <c r="D9" i="64"/>
  <c r="K9" i="64" s="1"/>
  <c r="AH133" i="63"/>
  <c r="AG133" i="63"/>
  <c r="AF133" i="63"/>
  <c r="AE133" i="63"/>
  <c r="AD133" i="63"/>
  <c r="AC133" i="63"/>
  <c r="AB133" i="63"/>
  <c r="AA133" i="63"/>
  <c r="Z133" i="63"/>
  <c r="Y133" i="63"/>
  <c r="AH132" i="63"/>
  <c r="AH131" i="63"/>
  <c r="AH130" i="63"/>
  <c r="AH129" i="63"/>
  <c r="AH128" i="63"/>
  <c r="AH127" i="63"/>
  <c r="AH126" i="63"/>
  <c r="AH125" i="63"/>
  <c r="AH124" i="63"/>
  <c r="AH123" i="63"/>
  <c r="AH122" i="63"/>
  <c r="AH121" i="63"/>
  <c r="AH120" i="63"/>
  <c r="AH119" i="63"/>
  <c r="AH118" i="63"/>
  <c r="AH117" i="63"/>
  <c r="AH116" i="63"/>
  <c r="AH115" i="63"/>
  <c r="AH114" i="63"/>
  <c r="AH113" i="63"/>
  <c r="AH112" i="63"/>
  <c r="AH111" i="63"/>
  <c r="AH110" i="63"/>
  <c r="X133" i="63"/>
  <c r="AC167" i="63"/>
  <c r="AB167" i="63"/>
  <c r="AA167" i="63"/>
  <c r="Z167" i="63"/>
  <c r="Y167" i="63"/>
  <c r="AC166" i="63"/>
  <c r="AB166" i="63"/>
  <c r="AA166" i="63"/>
  <c r="Z166" i="63"/>
  <c r="Y166" i="63"/>
  <c r="AC165" i="63"/>
  <c r="AB165" i="63"/>
  <c r="AA165" i="63"/>
  <c r="Z165" i="63"/>
  <c r="Y165" i="63"/>
  <c r="AC164" i="63"/>
  <c r="AB164" i="63"/>
  <c r="AA164" i="63"/>
  <c r="Z164" i="63"/>
  <c r="Y164" i="63"/>
  <c r="AC163" i="63"/>
  <c r="AB163" i="63"/>
  <c r="AA163" i="63"/>
  <c r="Z163" i="63"/>
  <c r="Y163" i="63"/>
  <c r="AC162" i="63"/>
  <c r="AB162" i="63"/>
  <c r="AA162" i="63"/>
  <c r="Z162" i="63"/>
  <c r="Y162" i="63"/>
  <c r="AC161" i="63"/>
  <c r="AB161" i="63"/>
  <c r="AA161" i="63"/>
  <c r="Z161" i="63"/>
  <c r="Y161" i="63"/>
  <c r="AC160" i="63"/>
  <c r="AB160" i="63"/>
  <c r="AA160" i="63"/>
  <c r="Z160" i="63"/>
  <c r="Y160" i="63"/>
  <c r="AC159" i="63"/>
  <c r="AB159" i="63"/>
  <c r="AA159" i="63"/>
  <c r="Z159" i="63"/>
  <c r="Y159" i="63"/>
  <c r="AC158" i="63"/>
  <c r="AB158" i="63"/>
  <c r="AA158" i="63"/>
  <c r="Z158" i="63"/>
  <c r="Y158" i="63"/>
  <c r="AC157" i="63"/>
  <c r="AB157" i="63"/>
  <c r="AA157" i="63"/>
  <c r="Z157" i="63"/>
  <c r="Y157" i="63"/>
  <c r="AC156" i="63"/>
  <c r="AB156" i="63"/>
  <c r="AA156" i="63"/>
  <c r="Z156" i="63"/>
  <c r="Y156" i="63"/>
  <c r="AC155" i="63"/>
  <c r="AB155" i="63"/>
  <c r="AA155" i="63"/>
  <c r="Z155" i="63"/>
  <c r="Y155" i="63"/>
  <c r="AC154" i="63"/>
  <c r="AB154" i="63"/>
  <c r="AA154" i="63"/>
  <c r="Z154" i="63"/>
  <c r="Y154" i="63"/>
  <c r="AC153" i="63"/>
  <c r="AB153" i="63"/>
  <c r="AA153" i="63"/>
  <c r="Z153" i="63"/>
  <c r="Y153" i="63"/>
  <c r="AC152" i="63"/>
  <c r="AB152" i="63"/>
  <c r="AA152" i="63"/>
  <c r="Z152" i="63"/>
  <c r="Y152" i="63"/>
  <c r="AC151" i="63"/>
  <c r="AB151" i="63"/>
  <c r="AA151" i="63"/>
  <c r="Z151" i="63"/>
  <c r="Y151" i="63"/>
  <c r="AC150" i="63"/>
  <c r="AB150" i="63"/>
  <c r="AA150" i="63"/>
  <c r="Z150" i="63"/>
  <c r="Y150" i="63"/>
  <c r="AC149" i="63"/>
  <c r="AB149" i="63"/>
  <c r="AA149" i="63"/>
  <c r="Z149" i="63"/>
  <c r="Y149" i="63"/>
  <c r="AC148" i="63"/>
  <c r="AB148" i="63"/>
  <c r="AA148" i="63"/>
  <c r="Z148" i="63"/>
  <c r="Y148" i="63"/>
  <c r="AC147" i="63"/>
  <c r="AB147" i="63"/>
  <c r="AA147" i="63"/>
  <c r="Z147" i="63"/>
  <c r="Y147" i="63"/>
  <c r="AC146" i="63"/>
  <c r="AB146" i="63"/>
  <c r="AA146" i="63"/>
  <c r="Z146" i="63"/>
  <c r="Y146" i="63"/>
  <c r="AC145" i="63"/>
  <c r="AB145" i="63"/>
  <c r="AA145" i="63"/>
  <c r="Z145" i="63"/>
  <c r="Y145" i="63"/>
  <c r="AF9" i="63"/>
  <c r="H32" i="63"/>
  <c r="G32" i="63"/>
  <c r="N32" i="63" s="1"/>
  <c r="AA27" i="76" s="1"/>
  <c r="F32" i="63"/>
  <c r="M32" i="63" s="1"/>
  <c r="E32" i="63"/>
  <c r="L32" i="63" s="1"/>
  <c r="D32" i="63"/>
  <c r="K32" i="63" s="1"/>
  <c r="H31" i="63"/>
  <c r="H30" i="63"/>
  <c r="G30" i="63"/>
  <c r="N30" i="63" s="1"/>
  <c r="Y27" i="76" s="1"/>
  <c r="F30" i="63"/>
  <c r="M30" i="63" s="1"/>
  <c r="E30" i="63"/>
  <c r="L30" i="63" s="1"/>
  <c r="D30" i="63"/>
  <c r="K30" i="63" s="1"/>
  <c r="H29" i="63"/>
  <c r="G29" i="63"/>
  <c r="N29" i="63" s="1"/>
  <c r="X27" i="76" s="1"/>
  <c r="F29" i="63"/>
  <c r="M29" i="63" s="1"/>
  <c r="E29" i="63"/>
  <c r="L29" i="63" s="1"/>
  <c r="D29" i="63"/>
  <c r="K29" i="63" s="1"/>
  <c r="H28" i="63"/>
  <c r="G28" i="63"/>
  <c r="N28" i="63" s="1"/>
  <c r="W27" i="76" s="1"/>
  <c r="F28" i="63"/>
  <c r="M28" i="63" s="1"/>
  <c r="E28" i="63"/>
  <c r="L28" i="63" s="1"/>
  <c r="D28" i="63"/>
  <c r="K28" i="63" s="1"/>
  <c r="H27" i="63"/>
  <c r="G27" i="63"/>
  <c r="N27" i="63" s="1"/>
  <c r="V27" i="76" s="1"/>
  <c r="F27" i="63"/>
  <c r="M27" i="63" s="1"/>
  <c r="E27" i="63"/>
  <c r="L27" i="63" s="1"/>
  <c r="D27" i="63"/>
  <c r="K27" i="63" s="1"/>
  <c r="H26" i="63"/>
  <c r="G26" i="63"/>
  <c r="N26" i="63" s="1"/>
  <c r="U27" i="76" s="1"/>
  <c r="F26" i="63"/>
  <c r="M26" i="63" s="1"/>
  <c r="E26" i="63"/>
  <c r="L26" i="63" s="1"/>
  <c r="D26" i="63"/>
  <c r="K26" i="63" s="1"/>
  <c r="H25" i="63"/>
  <c r="G25" i="63"/>
  <c r="N25" i="63" s="1"/>
  <c r="T27" i="76" s="1"/>
  <c r="F25" i="63"/>
  <c r="M25" i="63" s="1"/>
  <c r="E25" i="63"/>
  <c r="L25" i="63" s="1"/>
  <c r="D25" i="63"/>
  <c r="K25" i="63" s="1"/>
  <c r="H24" i="63"/>
  <c r="G24" i="63"/>
  <c r="N24" i="63" s="1"/>
  <c r="S27" i="76" s="1"/>
  <c r="F24" i="63"/>
  <c r="M24" i="63" s="1"/>
  <c r="E24" i="63"/>
  <c r="L24" i="63" s="1"/>
  <c r="D24" i="63"/>
  <c r="K24" i="63" s="1"/>
  <c r="H23" i="63"/>
  <c r="G23" i="63"/>
  <c r="N23" i="63" s="1"/>
  <c r="R27" i="76" s="1"/>
  <c r="F23" i="63"/>
  <c r="M23" i="63" s="1"/>
  <c r="E23" i="63"/>
  <c r="L23" i="63" s="1"/>
  <c r="D23" i="63"/>
  <c r="K23" i="63" s="1"/>
  <c r="H22" i="63"/>
  <c r="G22" i="63"/>
  <c r="N22" i="63" s="1"/>
  <c r="Q27" i="76" s="1"/>
  <c r="F22" i="63"/>
  <c r="M22" i="63" s="1"/>
  <c r="E22" i="63"/>
  <c r="L22" i="63" s="1"/>
  <c r="D22" i="63"/>
  <c r="K22" i="63" s="1"/>
  <c r="H21" i="63"/>
  <c r="G21" i="63"/>
  <c r="N21" i="63" s="1"/>
  <c r="P27" i="76" s="1"/>
  <c r="F21" i="63"/>
  <c r="M21" i="63" s="1"/>
  <c r="E21" i="63"/>
  <c r="L21" i="63" s="1"/>
  <c r="D21" i="63"/>
  <c r="K21" i="63" s="1"/>
  <c r="H20" i="63"/>
  <c r="O20" i="63" s="1"/>
  <c r="AG20" i="63" s="1"/>
  <c r="G20" i="63"/>
  <c r="N20" i="63" s="1"/>
  <c r="O27" i="76" s="1"/>
  <c r="F20" i="63"/>
  <c r="M20" i="63" s="1"/>
  <c r="E20" i="63"/>
  <c r="D20" i="63"/>
  <c r="K20" i="63" s="1"/>
  <c r="H19" i="63"/>
  <c r="G19" i="63"/>
  <c r="N19" i="63" s="1"/>
  <c r="N27" i="76" s="1"/>
  <c r="F19" i="63"/>
  <c r="M19" i="63" s="1"/>
  <c r="E19" i="63"/>
  <c r="L19" i="63" s="1"/>
  <c r="D19" i="63"/>
  <c r="K19" i="63" s="1"/>
  <c r="H18" i="63"/>
  <c r="G18" i="63"/>
  <c r="N18" i="63" s="1"/>
  <c r="M27" i="76" s="1"/>
  <c r="F18" i="63"/>
  <c r="M18" i="63" s="1"/>
  <c r="E18" i="63"/>
  <c r="L18" i="63" s="1"/>
  <c r="D18" i="63"/>
  <c r="K18" i="63" s="1"/>
  <c r="H17" i="63"/>
  <c r="G17" i="63"/>
  <c r="N17" i="63" s="1"/>
  <c r="L27" i="76" s="1"/>
  <c r="F17" i="63"/>
  <c r="M17" i="63" s="1"/>
  <c r="E17" i="63"/>
  <c r="L17" i="63" s="1"/>
  <c r="D17" i="63"/>
  <c r="K17" i="63" s="1"/>
  <c r="H16" i="63"/>
  <c r="G16" i="63"/>
  <c r="N16" i="63" s="1"/>
  <c r="K27" i="76" s="1"/>
  <c r="F16" i="63"/>
  <c r="M16" i="63" s="1"/>
  <c r="E16" i="63"/>
  <c r="L16" i="63" s="1"/>
  <c r="D16" i="63"/>
  <c r="K16" i="63" s="1"/>
  <c r="H15" i="63"/>
  <c r="G15" i="63"/>
  <c r="N15" i="63" s="1"/>
  <c r="J27" i="76" s="1"/>
  <c r="F15" i="63"/>
  <c r="M15" i="63" s="1"/>
  <c r="E15" i="63"/>
  <c r="L15" i="63" s="1"/>
  <c r="D15" i="63"/>
  <c r="K15" i="63" s="1"/>
  <c r="H14" i="63"/>
  <c r="G14" i="63"/>
  <c r="N14" i="63" s="1"/>
  <c r="I27" i="76" s="1"/>
  <c r="F14" i="63"/>
  <c r="M14" i="63" s="1"/>
  <c r="E14" i="63"/>
  <c r="L14" i="63" s="1"/>
  <c r="D14" i="63"/>
  <c r="K14" i="63" s="1"/>
  <c r="H13" i="63"/>
  <c r="G13" i="63"/>
  <c r="N13" i="63" s="1"/>
  <c r="H27" i="76" s="1"/>
  <c r="F13" i="63"/>
  <c r="M13" i="63" s="1"/>
  <c r="E13" i="63"/>
  <c r="L13" i="63" s="1"/>
  <c r="D13" i="63"/>
  <c r="K13" i="63" s="1"/>
  <c r="H12" i="63"/>
  <c r="G12" i="63"/>
  <c r="N12" i="63" s="1"/>
  <c r="G27" i="76" s="1"/>
  <c r="F12" i="63"/>
  <c r="M12" i="63" s="1"/>
  <c r="E12" i="63"/>
  <c r="L12" i="63" s="1"/>
  <c r="D12" i="63"/>
  <c r="K12" i="63" s="1"/>
  <c r="H11" i="63"/>
  <c r="G11" i="63"/>
  <c r="N11" i="63" s="1"/>
  <c r="F27" i="76" s="1"/>
  <c r="F11" i="63"/>
  <c r="M11" i="63" s="1"/>
  <c r="E11" i="63"/>
  <c r="L11" i="63" s="1"/>
  <c r="D11" i="63"/>
  <c r="K11" i="63" s="1"/>
  <c r="H10" i="63"/>
  <c r="G10" i="63"/>
  <c r="N10" i="63" s="1"/>
  <c r="E27" i="76" s="1"/>
  <c r="F10" i="63"/>
  <c r="M10" i="63" s="1"/>
  <c r="E10" i="63"/>
  <c r="L10" i="63" s="1"/>
  <c r="D10" i="63"/>
  <c r="K10" i="63" s="1"/>
  <c r="H9" i="63"/>
  <c r="G9" i="63"/>
  <c r="N9" i="63" s="1"/>
  <c r="D27" i="76" s="1"/>
  <c r="F9" i="63"/>
  <c r="M9" i="63" s="1"/>
  <c r="E9" i="63"/>
  <c r="L9" i="63" s="1"/>
  <c r="D9" i="63"/>
  <c r="K9" i="63" s="1"/>
  <c r="AF9" i="62"/>
  <c r="H32" i="62"/>
  <c r="G32" i="62"/>
  <c r="N32" i="62" s="1"/>
  <c r="F32" i="62"/>
  <c r="M32" i="62" s="1"/>
  <c r="E32" i="62"/>
  <c r="L32" i="62" s="1"/>
  <c r="D32" i="62"/>
  <c r="K32" i="62" s="1"/>
  <c r="H30" i="62"/>
  <c r="G30" i="62"/>
  <c r="N30" i="62" s="1"/>
  <c r="F30" i="62"/>
  <c r="M30" i="62" s="1"/>
  <c r="E30" i="62"/>
  <c r="L30" i="62" s="1"/>
  <c r="D30" i="62"/>
  <c r="K30" i="62" s="1"/>
  <c r="H29" i="62"/>
  <c r="G29" i="62"/>
  <c r="N29" i="62" s="1"/>
  <c r="F29" i="62"/>
  <c r="M29" i="62" s="1"/>
  <c r="E29" i="62"/>
  <c r="L29" i="62" s="1"/>
  <c r="D29" i="62"/>
  <c r="K29" i="62" s="1"/>
  <c r="H28" i="62"/>
  <c r="G28" i="62"/>
  <c r="N28" i="62" s="1"/>
  <c r="F28" i="62"/>
  <c r="M28" i="62" s="1"/>
  <c r="E28" i="62"/>
  <c r="L28" i="62" s="1"/>
  <c r="D28" i="62"/>
  <c r="K28" i="62" s="1"/>
  <c r="H27" i="62"/>
  <c r="G27" i="62"/>
  <c r="N27" i="62" s="1"/>
  <c r="F27" i="62"/>
  <c r="M27" i="62" s="1"/>
  <c r="E27" i="62"/>
  <c r="L27" i="62" s="1"/>
  <c r="D27" i="62"/>
  <c r="K27" i="62" s="1"/>
  <c r="H26" i="62"/>
  <c r="G26" i="62"/>
  <c r="N26" i="62" s="1"/>
  <c r="F26" i="62"/>
  <c r="M26" i="62" s="1"/>
  <c r="E26" i="62"/>
  <c r="L26" i="62" s="1"/>
  <c r="D26" i="62"/>
  <c r="K26" i="62" s="1"/>
  <c r="H25" i="62"/>
  <c r="G25" i="62"/>
  <c r="N25" i="62" s="1"/>
  <c r="F25" i="62"/>
  <c r="M25" i="62" s="1"/>
  <c r="E25" i="62"/>
  <c r="L25" i="62" s="1"/>
  <c r="D25" i="62"/>
  <c r="K25" i="62" s="1"/>
  <c r="H24" i="62"/>
  <c r="G24" i="62"/>
  <c r="N24" i="62" s="1"/>
  <c r="F24" i="62"/>
  <c r="M24" i="62" s="1"/>
  <c r="E24" i="62"/>
  <c r="L24" i="62" s="1"/>
  <c r="D24" i="62"/>
  <c r="K24" i="62" s="1"/>
  <c r="H23" i="62"/>
  <c r="G23" i="62"/>
  <c r="N23" i="62" s="1"/>
  <c r="F23" i="62"/>
  <c r="M23" i="62" s="1"/>
  <c r="E23" i="62"/>
  <c r="L23" i="62" s="1"/>
  <c r="D23" i="62"/>
  <c r="K23" i="62" s="1"/>
  <c r="H22" i="62"/>
  <c r="G22" i="62"/>
  <c r="N22" i="62" s="1"/>
  <c r="F22" i="62"/>
  <c r="M22" i="62" s="1"/>
  <c r="E22" i="62"/>
  <c r="L22" i="62" s="1"/>
  <c r="D22" i="62"/>
  <c r="K22" i="62" s="1"/>
  <c r="H21" i="62"/>
  <c r="G21" i="62"/>
  <c r="N21" i="62" s="1"/>
  <c r="F21" i="62"/>
  <c r="M21" i="62" s="1"/>
  <c r="E21" i="62"/>
  <c r="L21" i="62" s="1"/>
  <c r="D21" i="62"/>
  <c r="K21" i="62" s="1"/>
  <c r="H20" i="62"/>
  <c r="O20" i="62" s="1"/>
  <c r="G20" i="62"/>
  <c r="N20" i="62" s="1"/>
  <c r="F20" i="62"/>
  <c r="M20" i="62" s="1"/>
  <c r="E20" i="62"/>
  <c r="D20" i="62"/>
  <c r="K20" i="62" s="1"/>
  <c r="H19" i="62"/>
  <c r="G19" i="62"/>
  <c r="N19" i="62" s="1"/>
  <c r="F19" i="62"/>
  <c r="M19" i="62" s="1"/>
  <c r="E19" i="62"/>
  <c r="L19" i="62" s="1"/>
  <c r="D19" i="62"/>
  <c r="K19" i="62" s="1"/>
  <c r="H18" i="62"/>
  <c r="G18" i="62"/>
  <c r="N18" i="62" s="1"/>
  <c r="F18" i="62"/>
  <c r="M18" i="62" s="1"/>
  <c r="E18" i="62"/>
  <c r="L18" i="62" s="1"/>
  <c r="D18" i="62"/>
  <c r="K18" i="62" s="1"/>
  <c r="H17" i="62"/>
  <c r="G17" i="62"/>
  <c r="N17" i="62" s="1"/>
  <c r="F17" i="62"/>
  <c r="M17" i="62" s="1"/>
  <c r="E17" i="62"/>
  <c r="L17" i="62" s="1"/>
  <c r="D17" i="62"/>
  <c r="K17" i="62" s="1"/>
  <c r="H16" i="62"/>
  <c r="G16" i="62"/>
  <c r="N16" i="62" s="1"/>
  <c r="F16" i="62"/>
  <c r="M16" i="62" s="1"/>
  <c r="E16" i="62"/>
  <c r="L16" i="62" s="1"/>
  <c r="D16" i="62"/>
  <c r="K16" i="62" s="1"/>
  <c r="H15" i="62"/>
  <c r="G15" i="62"/>
  <c r="N15" i="62" s="1"/>
  <c r="F15" i="62"/>
  <c r="M15" i="62" s="1"/>
  <c r="E15" i="62"/>
  <c r="L15" i="62" s="1"/>
  <c r="D15" i="62"/>
  <c r="K15" i="62" s="1"/>
  <c r="H14" i="62"/>
  <c r="G14" i="62"/>
  <c r="N14" i="62" s="1"/>
  <c r="F14" i="62"/>
  <c r="M14" i="62" s="1"/>
  <c r="E14" i="62"/>
  <c r="L14" i="62" s="1"/>
  <c r="D14" i="62"/>
  <c r="K14" i="62" s="1"/>
  <c r="H13" i="62"/>
  <c r="G13" i="62"/>
  <c r="N13" i="62" s="1"/>
  <c r="F13" i="62"/>
  <c r="M13" i="62" s="1"/>
  <c r="E13" i="62"/>
  <c r="L13" i="62" s="1"/>
  <c r="D13" i="62"/>
  <c r="K13" i="62" s="1"/>
  <c r="H12" i="62"/>
  <c r="G12" i="62"/>
  <c r="N12" i="62" s="1"/>
  <c r="F12" i="62"/>
  <c r="M12" i="62" s="1"/>
  <c r="E12" i="62"/>
  <c r="L12" i="62" s="1"/>
  <c r="D12" i="62"/>
  <c r="K12" i="62" s="1"/>
  <c r="H11" i="62"/>
  <c r="G11" i="62"/>
  <c r="N11" i="62" s="1"/>
  <c r="F11" i="62"/>
  <c r="M11" i="62" s="1"/>
  <c r="E11" i="62"/>
  <c r="L11" i="62" s="1"/>
  <c r="D11" i="62"/>
  <c r="K11" i="62" s="1"/>
  <c r="H10" i="62"/>
  <c r="G10" i="62"/>
  <c r="N10" i="62" s="1"/>
  <c r="F10" i="62"/>
  <c r="M10" i="62" s="1"/>
  <c r="E10" i="62"/>
  <c r="L10" i="62" s="1"/>
  <c r="D10" i="62"/>
  <c r="K10" i="62" s="1"/>
  <c r="H9" i="62"/>
  <c r="G9" i="62"/>
  <c r="N9" i="62" s="1"/>
  <c r="F9" i="62"/>
  <c r="M9" i="62" s="1"/>
  <c r="E9" i="62"/>
  <c r="L9" i="62" s="1"/>
  <c r="D9" i="62"/>
  <c r="K9" i="62" s="1"/>
  <c r="P25" i="69" l="1"/>
  <c r="P31" i="69"/>
  <c r="P22" i="69"/>
  <c r="P32" i="69"/>
  <c r="P26" i="69"/>
  <c r="AG9" i="69"/>
  <c r="P25" i="67"/>
  <c r="P32" i="67"/>
  <c r="P22" i="67"/>
  <c r="P31" i="67"/>
  <c r="P26" i="67"/>
  <c r="P32" i="63"/>
  <c r="P22" i="63"/>
  <c r="P25" i="63"/>
  <c r="P31" i="63"/>
  <c r="P26" i="63"/>
  <c r="F195" i="67"/>
  <c r="F199" i="67"/>
  <c r="F203" i="67"/>
  <c r="D197" i="67"/>
  <c r="D201" i="67"/>
  <c r="I23" i="63"/>
  <c r="E196" i="67"/>
  <c r="E200" i="67"/>
  <c r="G194" i="67"/>
  <c r="G198" i="67"/>
  <c r="AG20" i="64"/>
  <c r="O33" i="76"/>
  <c r="AG20" i="62"/>
  <c r="O26" i="76"/>
  <c r="AG20" i="65"/>
  <c r="O34" i="76"/>
  <c r="AG20" i="66"/>
  <c r="O39" i="76"/>
  <c r="AG20" i="67"/>
  <c r="O42" i="76"/>
  <c r="H197" i="67"/>
  <c r="H201" i="67"/>
  <c r="H168" i="69"/>
  <c r="H194" i="67"/>
  <c r="G195" i="67"/>
  <c r="F196" i="67"/>
  <c r="E197" i="67"/>
  <c r="D198" i="67"/>
  <c r="H198" i="67"/>
  <c r="G199" i="67"/>
  <c r="F200" i="67"/>
  <c r="E201" i="67"/>
  <c r="G203" i="67"/>
  <c r="H202" i="67"/>
  <c r="O11" i="62"/>
  <c r="I11" i="62"/>
  <c r="O15" i="62"/>
  <c r="I15" i="62"/>
  <c r="O23" i="62"/>
  <c r="I23" i="62"/>
  <c r="O27" i="62"/>
  <c r="I27" i="62"/>
  <c r="O32" i="62"/>
  <c r="I32" i="62"/>
  <c r="O19" i="63"/>
  <c r="AG19" i="63" s="1"/>
  <c r="I19" i="63"/>
  <c r="O27" i="63"/>
  <c r="AG24" i="63" s="1"/>
  <c r="I27" i="63"/>
  <c r="I16" i="64"/>
  <c r="O16" i="64"/>
  <c r="I32" i="64"/>
  <c r="O32" i="64"/>
  <c r="I11" i="65"/>
  <c r="O11" i="65"/>
  <c r="I15" i="65"/>
  <c r="O15" i="65"/>
  <c r="I27" i="65"/>
  <c r="O27" i="65"/>
  <c r="D110" i="67"/>
  <c r="H110" i="67"/>
  <c r="F112" i="67"/>
  <c r="D114" i="67"/>
  <c r="H114" i="67"/>
  <c r="F116" i="67"/>
  <c r="D118" i="67"/>
  <c r="H118" i="67"/>
  <c r="G119" i="67"/>
  <c r="D122" i="67"/>
  <c r="G123" i="67"/>
  <c r="F124" i="67"/>
  <c r="D126" i="67"/>
  <c r="H126" i="67"/>
  <c r="F128" i="67"/>
  <c r="D130" i="67"/>
  <c r="H130" i="67"/>
  <c r="E133" i="67"/>
  <c r="D145" i="67"/>
  <c r="G146" i="67"/>
  <c r="F147" i="67"/>
  <c r="D149" i="67"/>
  <c r="H149" i="67"/>
  <c r="F151" i="67"/>
  <c r="D153" i="67"/>
  <c r="H153" i="67"/>
  <c r="F155" i="67"/>
  <c r="D157" i="67"/>
  <c r="G158" i="67"/>
  <c r="F159" i="67"/>
  <c r="D161" i="67"/>
  <c r="H161" i="67"/>
  <c r="F163" i="67"/>
  <c r="D165" i="67"/>
  <c r="H165" i="67"/>
  <c r="E168" i="67"/>
  <c r="F181" i="67"/>
  <c r="D183" i="67"/>
  <c r="H183" i="67"/>
  <c r="F185" i="67"/>
  <c r="E186" i="67"/>
  <c r="H187" i="67"/>
  <c r="F189" i="67"/>
  <c r="E190" i="67"/>
  <c r="H191" i="67"/>
  <c r="F193" i="67"/>
  <c r="F111" i="69"/>
  <c r="D113" i="69"/>
  <c r="G114" i="69"/>
  <c r="F115" i="69"/>
  <c r="D117" i="69"/>
  <c r="G118" i="69"/>
  <c r="F119" i="69"/>
  <c r="D121" i="69"/>
  <c r="H121" i="69"/>
  <c r="F123" i="69"/>
  <c r="D125" i="69"/>
  <c r="H125" i="69"/>
  <c r="F127" i="69"/>
  <c r="E128" i="69"/>
  <c r="H129" i="69"/>
  <c r="G130" i="69"/>
  <c r="D133" i="69"/>
  <c r="H133" i="69"/>
  <c r="F146" i="69"/>
  <c r="D148" i="69"/>
  <c r="H148" i="69"/>
  <c r="F150" i="69"/>
  <c r="E151" i="69"/>
  <c r="H152" i="69"/>
  <c r="G153" i="69"/>
  <c r="E155" i="69"/>
  <c r="D156" i="69"/>
  <c r="G157" i="69"/>
  <c r="F158" i="69"/>
  <c r="D160" i="69"/>
  <c r="H160" i="69"/>
  <c r="G161" i="69"/>
  <c r="F162" i="69"/>
  <c r="E163" i="69"/>
  <c r="D164" i="69"/>
  <c r="H164" i="69"/>
  <c r="G165" i="69"/>
  <c r="D168" i="69"/>
  <c r="O12" i="62"/>
  <c r="I12" i="62"/>
  <c r="O16" i="62"/>
  <c r="I16" i="62"/>
  <c r="O32" i="63"/>
  <c r="I32" i="63"/>
  <c r="I9" i="64"/>
  <c r="O9" i="64"/>
  <c r="I13" i="64"/>
  <c r="O13" i="64"/>
  <c r="I17" i="64"/>
  <c r="O17" i="64"/>
  <c r="I21" i="64"/>
  <c r="O21" i="64"/>
  <c r="I25" i="64"/>
  <c r="O25" i="64"/>
  <c r="T33" i="76" s="1"/>
  <c r="I29" i="64"/>
  <c r="O29" i="64"/>
  <c r="I12" i="65"/>
  <c r="O12" i="65"/>
  <c r="I16" i="65"/>
  <c r="O16" i="65"/>
  <c r="I24" i="65"/>
  <c r="O24" i="65"/>
  <c r="I28" i="65"/>
  <c r="O28" i="65"/>
  <c r="I32" i="65"/>
  <c r="O32" i="65"/>
  <c r="I11" i="66"/>
  <c r="O11" i="66"/>
  <c r="I15" i="66"/>
  <c r="O15" i="66"/>
  <c r="I19" i="66"/>
  <c r="O19" i="66"/>
  <c r="I23" i="66"/>
  <c r="O23" i="66"/>
  <c r="I27" i="66"/>
  <c r="O27" i="66"/>
  <c r="I11" i="67"/>
  <c r="O11" i="67"/>
  <c r="I15" i="67"/>
  <c r="O15" i="67"/>
  <c r="I19" i="67"/>
  <c r="O19" i="67"/>
  <c r="I23" i="67"/>
  <c r="O23" i="67"/>
  <c r="I27" i="67"/>
  <c r="O27" i="67"/>
  <c r="E110" i="67"/>
  <c r="D111" i="67"/>
  <c r="H111" i="67"/>
  <c r="G112" i="67"/>
  <c r="F113" i="67"/>
  <c r="E114" i="67"/>
  <c r="D115" i="67"/>
  <c r="H115" i="67"/>
  <c r="G116" i="67"/>
  <c r="F117" i="67"/>
  <c r="E118" i="67"/>
  <c r="D119" i="67"/>
  <c r="H119" i="67"/>
  <c r="F121" i="67"/>
  <c r="E122" i="67"/>
  <c r="D123" i="67"/>
  <c r="H123" i="67"/>
  <c r="G124" i="67"/>
  <c r="F125" i="67"/>
  <c r="E126" i="67"/>
  <c r="D127" i="67"/>
  <c r="H127" i="67"/>
  <c r="G128" i="67"/>
  <c r="F129" i="67"/>
  <c r="E130" i="67"/>
  <c r="D131" i="67"/>
  <c r="H131" i="67"/>
  <c r="F133" i="67"/>
  <c r="E145" i="67"/>
  <c r="D146" i="67"/>
  <c r="H146" i="67"/>
  <c r="G147" i="67"/>
  <c r="F148" i="67"/>
  <c r="E149" i="67"/>
  <c r="D150" i="67"/>
  <c r="H150" i="67"/>
  <c r="G151" i="67"/>
  <c r="F152" i="67"/>
  <c r="E153" i="67"/>
  <c r="D154" i="67"/>
  <c r="H154" i="67"/>
  <c r="F156" i="67"/>
  <c r="E157" i="67"/>
  <c r="D158" i="67"/>
  <c r="H158" i="67"/>
  <c r="G159" i="67"/>
  <c r="F160" i="67"/>
  <c r="E161" i="67"/>
  <c r="D162" i="67"/>
  <c r="H162" i="67"/>
  <c r="G163" i="67"/>
  <c r="F164" i="67"/>
  <c r="E165" i="67"/>
  <c r="D166" i="67"/>
  <c r="H166" i="67"/>
  <c r="F168" i="67"/>
  <c r="D180" i="67"/>
  <c r="H180" i="67"/>
  <c r="G181" i="67"/>
  <c r="F182" i="67"/>
  <c r="E183" i="67"/>
  <c r="D184" i="67"/>
  <c r="H184" i="67"/>
  <c r="G185" i="67"/>
  <c r="F186" i="67"/>
  <c r="E187" i="67"/>
  <c r="D188" i="67"/>
  <c r="H188" i="67"/>
  <c r="G189" i="67"/>
  <c r="F190" i="67"/>
  <c r="D192" i="67"/>
  <c r="H192" i="67"/>
  <c r="G193" i="67"/>
  <c r="D110" i="69"/>
  <c r="H110" i="69"/>
  <c r="G111" i="69"/>
  <c r="F112" i="69"/>
  <c r="E113" i="69"/>
  <c r="D114" i="69"/>
  <c r="H114" i="69"/>
  <c r="G115" i="69"/>
  <c r="F116" i="69"/>
  <c r="E117" i="69"/>
  <c r="D118" i="69"/>
  <c r="H118" i="69"/>
  <c r="G119" i="69"/>
  <c r="F120" i="69"/>
  <c r="D122" i="69"/>
  <c r="H122" i="69"/>
  <c r="G123" i="69"/>
  <c r="F124" i="69"/>
  <c r="E125" i="69"/>
  <c r="D126" i="69"/>
  <c r="H126" i="69"/>
  <c r="G127" i="69"/>
  <c r="F128" i="69"/>
  <c r="E129" i="69"/>
  <c r="D130" i="69"/>
  <c r="H130" i="69"/>
  <c r="G131" i="69"/>
  <c r="E133" i="69"/>
  <c r="D145" i="69"/>
  <c r="H145" i="69"/>
  <c r="G146" i="69"/>
  <c r="F147" i="69"/>
  <c r="E148" i="69"/>
  <c r="D149" i="69"/>
  <c r="H149" i="69"/>
  <c r="G150" i="69"/>
  <c r="F151" i="69"/>
  <c r="E152" i="69"/>
  <c r="D153" i="69"/>
  <c r="H153" i="69"/>
  <c r="G154" i="69"/>
  <c r="F155" i="69"/>
  <c r="D157" i="69"/>
  <c r="H157" i="69"/>
  <c r="G158" i="69"/>
  <c r="F159" i="69"/>
  <c r="E160" i="69"/>
  <c r="D161" i="69"/>
  <c r="H161" i="69"/>
  <c r="G162" i="69"/>
  <c r="F163" i="69"/>
  <c r="E164" i="69"/>
  <c r="D165" i="69"/>
  <c r="H165" i="69"/>
  <c r="G166" i="69"/>
  <c r="E168" i="69"/>
  <c r="O9" i="62"/>
  <c r="I9" i="62"/>
  <c r="O13" i="62"/>
  <c r="I13" i="62"/>
  <c r="O17" i="62"/>
  <c r="I17" i="62"/>
  <c r="O21" i="62"/>
  <c r="I21" i="62"/>
  <c r="O25" i="62"/>
  <c r="T26" i="76" s="1"/>
  <c r="I25" i="62"/>
  <c r="O29" i="62"/>
  <c r="I29" i="62"/>
  <c r="O9" i="63"/>
  <c r="AG9" i="63" s="1"/>
  <c r="I9" i="63"/>
  <c r="O13" i="63"/>
  <c r="AG13" i="63" s="1"/>
  <c r="I13" i="63"/>
  <c r="O17" i="63"/>
  <c r="AG17" i="63" s="1"/>
  <c r="I17" i="63"/>
  <c r="O21" i="63"/>
  <c r="AG21" i="63" s="1"/>
  <c r="I21" i="63"/>
  <c r="O25" i="63"/>
  <c r="I25" i="63"/>
  <c r="O29" i="63"/>
  <c r="AG26" i="63" s="1"/>
  <c r="I29" i="63"/>
  <c r="I10" i="64"/>
  <c r="O10" i="64"/>
  <c r="I14" i="64"/>
  <c r="O14" i="64"/>
  <c r="I18" i="64"/>
  <c r="O18" i="64"/>
  <c r="I22" i="64"/>
  <c r="O22" i="64"/>
  <c r="Q33" i="76" s="1"/>
  <c r="I26" i="64"/>
  <c r="O26" i="64"/>
  <c r="U33" i="76" s="1"/>
  <c r="I30" i="64"/>
  <c r="O30" i="64"/>
  <c r="I9" i="65"/>
  <c r="O9" i="65"/>
  <c r="I13" i="65"/>
  <c r="O13" i="65"/>
  <c r="I17" i="65"/>
  <c r="O17" i="65"/>
  <c r="I21" i="65"/>
  <c r="O21" i="65"/>
  <c r="I25" i="65"/>
  <c r="O25" i="65"/>
  <c r="T34" i="76" s="1"/>
  <c r="I29" i="65"/>
  <c r="O29" i="65"/>
  <c r="I12" i="66"/>
  <c r="O12" i="66"/>
  <c r="I16" i="66"/>
  <c r="O16" i="66"/>
  <c r="I24" i="66"/>
  <c r="O24" i="66"/>
  <c r="I28" i="66"/>
  <c r="O28" i="66"/>
  <c r="I32" i="66"/>
  <c r="H168" i="66"/>
  <c r="AA41" i="76" s="1"/>
  <c r="O32" i="66"/>
  <c r="AA39" i="76" s="1"/>
  <c r="I12" i="67"/>
  <c r="O12" i="67"/>
  <c r="I16" i="67"/>
  <c r="O16" i="67"/>
  <c r="I24" i="67"/>
  <c r="O24" i="67"/>
  <c r="I28" i="67"/>
  <c r="O28" i="67"/>
  <c r="I32" i="67"/>
  <c r="O32" i="67"/>
  <c r="AA42" i="76" s="1"/>
  <c r="F110" i="67"/>
  <c r="E111" i="67"/>
  <c r="D112" i="67"/>
  <c r="H112" i="67"/>
  <c r="G113" i="67"/>
  <c r="F114" i="67"/>
  <c r="E115" i="67"/>
  <c r="D116" i="67"/>
  <c r="H116" i="67"/>
  <c r="G117" i="67"/>
  <c r="F118" i="67"/>
  <c r="E119" i="67"/>
  <c r="D120" i="67"/>
  <c r="H120" i="67"/>
  <c r="G121" i="67"/>
  <c r="F122" i="67"/>
  <c r="E123" i="67"/>
  <c r="D124" i="67"/>
  <c r="H124" i="67"/>
  <c r="G125" i="67"/>
  <c r="F126" i="67"/>
  <c r="E127" i="67"/>
  <c r="D128" i="67"/>
  <c r="H128" i="67"/>
  <c r="G129" i="67"/>
  <c r="F130" i="67"/>
  <c r="E131" i="67"/>
  <c r="H132" i="67"/>
  <c r="G133" i="67"/>
  <c r="F145" i="67"/>
  <c r="E146" i="67"/>
  <c r="D147" i="67"/>
  <c r="H147" i="67"/>
  <c r="G148" i="67"/>
  <c r="F149" i="67"/>
  <c r="E150" i="67"/>
  <c r="D151" i="67"/>
  <c r="H151" i="67"/>
  <c r="G152" i="67"/>
  <c r="F153" i="67"/>
  <c r="E154" i="67"/>
  <c r="D155" i="67"/>
  <c r="H155" i="67"/>
  <c r="G156" i="67"/>
  <c r="F157" i="67"/>
  <c r="E158" i="67"/>
  <c r="D159" i="67"/>
  <c r="H159" i="67"/>
  <c r="G160" i="67"/>
  <c r="F161" i="67"/>
  <c r="E162" i="67"/>
  <c r="D163" i="67"/>
  <c r="H163" i="67"/>
  <c r="G164" i="67"/>
  <c r="F165" i="67"/>
  <c r="E166" i="67"/>
  <c r="H167" i="67"/>
  <c r="G168" i="67"/>
  <c r="E180" i="67"/>
  <c r="D181" i="67"/>
  <c r="H181" i="67"/>
  <c r="G182" i="67"/>
  <c r="F183" i="67"/>
  <c r="E184" i="67"/>
  <c r="D185" i="67"/>
  <c r="H185" i="67"/>
  <c r="G186" i="67"/>
  <c r="F187" i="67"/>
  <c r="E188" i="67"/>
  <c r="D189" i="67"/>
  <c r="H189" i="67"/>
  <c r="F191" i="67"/>
  <c r="E192" i="67"/>
  <c r="D193" i="67"/>
  <c r="H193" i="67"/>
  <c r="D195" i="67"/>
  <c r="H195" i="67"/>
  <c r="G196" i="67"/>
  <c r="F197" i="67"/>
  <c r="E198" i="67"/>
  <c r="D199" i="67"/>
  <c r="H199" i="67"/>
  <c r="G200" i="67"/>
  <c r="F201" i="67"/>
  <c r="D203" i="67"/>
  <c r="H203" i="67"/>
  <c r="E110" i="69"/>
  <c r="D111" i="69"/>
  <c r="H111" i="69"/>
  <c r="G112" i="69"/>
  <c r="F113" i="69"/>
  <c r="E114" i="69"/>
  <c r="D115" i="69"/>
  <c r="H115" i="69"/>
  <c r="G116" i="69"/>
  <c r="F117" i="69"/>
  <c r="E118" i="69"/>
  <c r="D119" i="69"/>
  <c r="H119" i="69"/>
  <c r="F121" i="69"/>
  <c r="E122" i="69"/>
  <c r="D123" i="69"/>
  <c r="H123" i="69"/>
  <c r="G124" i="69"/>
  <c r="F125" i="69"/>
  <c r="E126" i="69"/>
  <c r="D127" i="69"/>
  <c r="H127" i="69"/>
  <c r="G128" i="69"/>
  <c r="F129" i="69"/>
  <c r="E130" i="69"/>
  <c r="D131" i="69"/>
  <c r="H131" i="69"/>
  <c r="F133" i="69"/>
  <c r="E145" i="69"/>
  <c r="D146" i="69"/>
  <c r="H146" i="69"/>
  <c r="G147" i="69"/>
  <c r="F148" i="69"/>
  <c r="E149" i="69"/>
  <c r="D150" i="69"/>
  <c r="H150" i="69"/>
  <c r="G151" i="69"/>
  <c r="F152" i="69"/>
  <c r="E153" i="69"/>
  <c r="D154" i="69"/>
  <c r="H154" i="69"/>
  <c r="F156" i="69"/>
  <c r="E157" i="69"/>
  <c r="D158" i="69"/>
  <c r="H158" i="69"/>
  <c r="G159" i="69"/>
  <c r="F160" i="69"/>
  <c r="E161" i="69"/>
  <c r="D162" i="69"/>
  <c r="H162" i="69"/>
  <c r="G163" i="69"/>
  <c r="F164" i="69"/>
  <c r="E165" i="69"/>
  <c r="D166" i="69"/>
  <c r="H166" i="69"/>
  <c r="F168" i="69"/>
  <c r="O19" i="62"/>
  <c r="I19" i="62"/>
  <c r="O11" i="63"/>
  <c r="AG11" i="63" s="1"/>
  <c r="I11" i="63"/>
  <c r="O15" i="63"/>
  <c r="AG15" i="63" s="1"/>
  <c r="I15" i="63"/>
  <c r="I12" i="64"/>
  <c r="O12" i="64"/>
  <c r="I24" i="64"/>
  <c r="O24" i="64"/>
  <c r="I28" i="64"/>
  <c r="O28" i="64"/>
  <c r="I19" i="65"/>
  <c r="O19" i="65"/>
  <c r="I23" i="65"/>
  <c r="O23" i="65"/>
  <c r="I10" i="66"/>
  <c r="O10" i="66"/>
  <c r="I14" i="66"/>
  <c r="O14" i="66"/>
  <c r="I18" i="66"/>
  <c r="O18" i="66"/>
  <c r="I22" i="66"/>
  <c r="O22" i="66"/>
  <c r="Q39" i="76" s="1"/>
  <c r="I26" i="66"/>
  <c r="O26" i="66"/>
  <c r="U39" i="76" s="1"/>
  <c r="I30" i="66"/>
  <c r="O30" i="66"/>
  <c r="I10" i="67"/>
  <c r="O10" i="67"/>
  <c r="I14" i="67"/>
  <c r="O14" i="67"/>
  <c r="I18" i="67"/>
  <c r="O18" i="67"/>
  <c r="I22" i="67"/>
  <c r="O22" i="67"/>
  <c r="Q42" i="76" s="1"/>
  <c r="I26" i="67"/>
  <c r="O26" i="67"/>
  <c r="U42" i="76" s="1"/>
  <c r="I30" i="67"/>
  <c r="O30" i="67"/>
  <c r="G111" i="67"/>
  <c r="E113" i="67"/>
  <c r="G115" i="67"/>
  <c r="E117" i="67"/>
  <c r="F120" i="67"/>
  <c r="H122" i="67"/>
  <c r="E125" i="67"/>
  <c r="G127" i="67"/>
  <c r="E129" i="67"/>
  <c r="G131" i="67"/>
  <c r="H145" i="67"/>
  <c r="E148" i="67"/>
  <c r="G150" i="67"/>
  <c r="E152" i="67"/>
  <c r="G154" i="67"/>
  <c r="H157" i="67"/>
  <c r="E160" i="67"/>
  <c r="G162" i="67"/>
  <c r="E164" i="67"/>
  <c r="G166" i="67"/>
  <c r="E182" i="67"/>
  <c r="G184" i="67"/>
  <c r="D187" i="67"/>
  <c r="G188" i="67"/>
  <c r="D191" i="67"/>
  <c r="G192" i="67"/>
  <c r="E112" i="69"/>
  <c r="H113" i="69"/>
  <c r="E116" i="69"/>
  <c r="H117" i="69"/>
  <c r="E120" i="69"/>
  <c r="G122" i="69"/>
  <c r="E124" i="69"/>
  <c r="G126" i="69"/>
  <c r="D129" i="69"/>
  <c r="F131" i="69"/>
  <c r="E147" i="69"/>
  <c r="G149" i="69"/>
  <c r="D152" i="69"/>
  <c r="F154" i="69"/>
  <c r="H156" i="69"/>
  <c r="E159" i="69"/>
  <c r="F166" i="69"/>
  <c r="O24" i="62"/>
  <c r="I24" i="62"/>
  <c r="O28" i="62"/>
  <c r="I28" i="62"/>
  <c r="O12" i="63"/>
  <c r="AG12" i="63" s="1"/>
  <c r="I12" i="63"/>
  <c r="O16" i="63"/>
  <c r="AG16" i="63" s="1"/>
  <c r="I16" i="63"/>
  <c r="O24" i="63"/>
  <c r="AG23" i="63" s="1"/>
  <c r="I24" i="63"/>
  <c r="O28" i="63"/>
  <c r="AG25" i="63" s="1"/>
  <c r="I28" i="63"/>
  <c r="O10" i="62"/>
  <c r="I10" i="62"/>
  <c r="O14" i="62"/>
  <c r="I14" i="62"/>
  <c r="O18" i="62"/>
  <c r="I18" i="62"/>
  <c r="O22" i="62"/>
  <c r="Q26" i="76" s="1"/>
  <c r="I22" i="62"/>
  <c r="O26" i="62"/>
  <c r="U26" i="76" s="1"/>
  <c r="I26" i="62"/>
  <c r="O30" i="62"/>
  <c r="I30" i="62"/>
  <c r="O10" i="63"/>
  <c r="AG10" i="63" s="1"/>
  <c r="I10" i="63"/>
  <c r="O14" i="63"/>
  <c r="AG14" i="63" s="1"/>
  <c r="I14" i="63"/>
  <c r="O18" i="63"/>
  <c r="AG18" i="63" s="1"/>
  <c r="I18" i="63"/>
  <c r="O22" i="63"/>
  <c r="I22" i="63"/>
  <c r="O26" i="63"/>
  <c r="I26" i="63"/>
  <c r="O30" i="63"/>
  <c r="AG27" i="63" s="1"/>
  <c r="I30" i="63"/>
  <c r="I11" i="64"/>
  <c r="O11" i="64"/>
  <c r="I15" i="64"/>
  <c r="O15" i="64"/>
  <c r="I19" i="64"/>
  <c r="O19" i="64"/>
  <c r="I23" i="64"/>
  <c r="O23" i="64"/>
  <c r="I27" i="64"/>
  <c r="O27" i="64"/>
  <c r="I10" i="65"/>
  <c r="O10" i="65"/>
  <c r="I14" i="65"/>
  <c r="O14" i="65"/>
  <c r="I18" i="65"/>
  <c r="O18" i="65"/>
  <c r="I22" i="65"/>
  <c r="O22" i="65"/>
  <c r="Q34" i="76" s="1"/>
  <c r="I26" i="65"/>
  <c r="O26" i="65"/>
  <c r="U34" i="76" s="1"/>
  <c r="I30" i="65"/>
  <c r="O30" i="65"/>
  <c r="I9" i="66"/>
  <c r="O9" i="66"/>
  <c r="I13" i="66"/>
  <c r="O13" i="66"/>
  <c r="I17" i="66"/>
  <c r="O17" i="66"/>
  <c r="I21" i="66"/>
  <c r="O21" i="66"/>
  <c r="I25" i="66"/>
  <c r="O25" i="66"/>
  <c r="T39" i="76" s="1"/>
  <c r="I29" i="66"/>
  <c r="O29" i="66"/>
  <c r="I9" i="67"/>
  <c r="O9" i="67"/>
  <c r="I13" i="67"/>
  <c r="O13" i="67"/>
  <c r="I17" i="67"/>
  <c r="O17" i="67"/>
  <c r="I21" i="67"/>
  <c r="O21" i="67"/>
  <c r="I25" i="67"/>
  <c r="O25" i="67"/>
  <c r="T42" i="76" s="1"/>
  <c r="I29" i="67"/>
  <c r="O29" i="67"/>
  <c r="F111" i="67"/>
  <c r="E112" i="67"/>
  <c r="D113" i="67"/>
  <c r="H113" i="67"/>
  <c r="G114" i="67"/>
  <c r="F115" i="67"/>
  <c r="E116" i="67"/>
  <c r="D117" i="67"/>
  <c r="H117" i="67"/>
  <c r="G118" i="67"/>
  <c r="F119" i="67"/>
  <c r="E120" i="67"/>
  <c r="D121" i="67"/>
  <c r="H121" i="67"/>
  <c r="G122" i="67"/>
  <c r="F123" i="67"/>
  <c r="E124" i="67"/>
  <c r="D125" i="67"/>
  <c r="H125" i="67"/>
  <c r="G126" i="67"/>
  <c r="F127" i="67"/>
  <c r="E128" i="67"/>
  <c r="D129" i="67"/>
  <c r="H129" i="67"/>
  <c r="G130" i="67"/>
  <c r="F131" i="67"/>
  <c r="D133" i="67"/>
  <c r="H133" i="67"/>
  <c r="F146" i="67"/>
  <c r="E147" i="67"/>
  <c r="D148" i="67"/>
  <c r="H148" i="67"/>
  <c r="G149" i="67"/>
  <c r="F150" i="67"/>
  <c r="E151" i="67"/>
  <c r="D152" i="67"/>
  <c r="H152" i="67"/>
  <c r="G153" i="67"/>
  <c r="F154" i="67"/>
  <c r="E155" i="67"/>
  <c r="D156" i="67"/>
  <c r="H156" i="67"/>
  <c r="G157" i="67"/>
  <c r="F158" i="67"/>
  <c r="E159" i="67"/>
  <c r="D160" i="67"/>
  <c r="H160" i="67"/>
  <c r="G161" i="67"/>
  <c r="F162" i="67"/>
  <c r="E163" i="67"/>
  <c r="D164" i="67"/>
  <c r="H164" i="67"/>
  <c r="G165" i="67"/>
  <c r="F166" i="67"/>
  <c r="D168" i="67"/>
  <c r="H168" i="67"/>
  <c r="F180" i="67"/>
  <c r="E181" i="67"/>
  <c r="D182" i="67"/>
  <c r="H182" i="67"/>
  <c r="G183" i="67"/>
  <c r="F184" i="67"/>
  <c r="E185" i="67"/>
  <c r="D186" i="67"/>
  <c r="H186" i="67"/>
  <c r="G187" i="67"/>
  <c r="F188" i="67"/>
  <c r="E189" i="67"/>
  <c r="D190" i="67"/>
  <c r="H190" i="67"/>
  <c r="G191" i="67"/>
  <c r="F192" i="67"/>
  <c r="E193" i="67"/>
  <c r="D194" i="67"/>
  <c r="E195" i="67"/>
  <c r="D196" i="67"/>
  <c r="H196" i="67"/>
  <c r="G197" i="67"/>
  <c r="F198" i="67"/>
  <c r="E199" i="67"/>
  <c r="D200" i="67"/>
  <c r="H200" i="67"/>
  <c r="G201" i="67"/>
  <c r="E203" i="67"/>
  <c r="F110" i="69"/>
  <c r="E111" i="69"/>
  <c r="D112" i="69"/>
  <c r="H112" i="69"/>
  <c r="G113" i="69"/>
  <c r="F114" i="69"/>
  <c r="E115" i="69"/>
  <c r="D116" i="69"/>
  <c r="H116" i="69"/>
  <c r="G117" i="69"/>
  <c r="F118" i="69"/>
  <c r="E119" i="69"/>
  <c r="D120" i="69"/>
  <c r="H120" i="69"/>
  <c r="G121" i="69"/>
  <c r="F122" i="69"/>
  <c r="E123" i="69"/>
  <c r="D124" i="69"/>
  <c r="H124" i="69"/>
  <c r="G125" i="69"/>
  <c r="F126" i="69"/>
  <c r="E127" i="69"/>
  <c r="D128" i="69"/>
  <c r="H128" i="69"/>
  <c r="G129" i="69"/>
  <c r="F130" i="69"/>
  <c r="E131" i="69"/>
  <c r="H132" i="69"/>
  <c r="G133" i="69"/>
  <c r="F145" i="69"/>
  <c r="E146" i="69"/>
  <c r="D147" i="69"/>
  <c r="H147" i="69"/>
  <c r="G148" i="69"/>
  <c r="F149" i="69"/>
  <c r="E150" i="69"/>
  <c r="D151" i="69"/>
  <c r="H151" i="69"/>
  <c r="G152" i="69"/>
  <c r="F153" i="69"/>
  <c r="E154" i="69"/>
  <c r="D155" i="69"/>
  <c r="H155" i="69"/>
  <c r="G156" i="69"/>
  <c r="F157" i="69"/>
  <c r="E158" i="69"/>
  <c r="D159" i="69"/>
  <c r="H159" i="69"/>
  <c r="G160" i="69"/>
  <c r="F161" i="69"/>
  <c r="E162" i="69"/>
  <c r="D163" i="69"/>
  <c r="H163" i="69"/>
  <c r="G164" i="69"/>
  <c r="F165" i="69"/>
  <c r="E166" i="69"/>
  <c r="H167" i="69"/>
  <c r="G168" i="69"/>
  <c r="I20" i="64"/>
  <c r="L20" i="64"/>
  <c r="E191" i="67"/>
  <c r="E121" i="69"/>
  <c r="E156" i="69"/>
  <c r="I20" i="62"/>
  <c r="L20" i="62"/>
  <c r="I20" i="63"/>
  <c r="L20" i="63"/>
  <c r="I20" i="65"/>
  <c r="L20" i="65"/>
  <c r="I20" i="66"/>
  <c r="L20" i="66"/>
  <c r="I20" i="67"/>
  <c r="L20" i="67"/>
  <c r="E121" i="67"/>
  <c r="E156" i="67"/>
  <c r="G120" i="67"/>
  <c r="G155" i="67"/>
  <c r="G190" i="67"/>
  <c r="G120" i="69"/>
  <c r="G155" i="69"/>
  <c r="G110" i="67"/>
  <c r="G145" i="67"/>
  <c r="G180" i="67"/>
  <c r="G110" i="69"/>
  <c r="G145" i="69"/>
  <c r="O23" i="63"/>
  <c r="AG22" i="63" s="1"/>
  <c r="AD167" i="63"/>
  <c r="H133" i="63"/>
  <c r="F133" i="63"/>
  <c r="G133" i="63"/>
  <c r="E133" i="63"/>
  <c r="D133" i="63"/>
  <c r="AH9" i="68"/>
  <c r="P9" i="68" s="1"/>
  <c r="AH26" i="68"/>
  <c r="P29" i="68" s="1"/>
  <c r="AH24" i="68"/>
  <c r="P27" i="68" s="1"/>
  <c r="AH22" i="68"/>
  <c r="P23" i="68" s="1"/>
  <c r="AH20" i="68"/>
  <c r="P20" i="68" s="1"/>
  <c r="AH18" i="68"/>
  <c r="P18" i="68" s="1"/>
  <c r="AH16" i="68"/>
  <c r="P16" i="68" s="1"/>
  <c r="AH14" i="68"/>
  <c r="P14" i="68" s="1"/>
  <c r="AH12" i="68"/>
  <c r="P12" i="68" s="1"/>
  <c r="AH10" i="68"/>
  <c r="P10" i="68" s="1"/>
  <c r="AH13" i="68"/>
  <c r="P13" i="68" s="1"/>
  <c r="AH17" i="68"/>
  <c r="P17" i="68" s="1"/>
  <c r="AH21" i="68"/>
  <c r="P21" i="68" s="1"/>
  <c r="AH25" i="68"/>
  <c r="P28" i="68" s="1"/>
  <c r="AH11" i="68"/>
  <c r="P11" i="68" s="1"/>
  <c r="AH15" i="68"/>
  <c r="P15" i="68" s="1"/>
  <c r="AH19" i="68"/>
  <c r="P19" i="68" s="1"/>
  <c r="AH23" i="68"/>
  <c r="P24" i="68" s="1"/>
  <c r="AH27" i="68"/>
  <c r="P30" i="68" s="1"/>
  <c r="AD145" i="63"/>
  <c r="AG18" i="62" l="1"/>
  <c r="M26" i="76"/>
  <c r="AG10" i="62"/>
  <c r="E26" i="76"/>
  <c r="AG23" i="67"/>
  <c r="S42" i="76"/>
  <c r="AG22" i="67"/>
  <c r="R42" i="76"/>
  <c r="AG24" i="66"/>
  <c r="V39" i="76"/>
  <c r="AG11" i="66"/>
  <c r="F39" i="76"/>
  <c r="AG16" i="65"/>
  <c r="K34" i="76"/>
  <c r="AG21" i="64"/>
  <c r="P33" i="76"/>
  <c r="AA26" i="76"/>
  <c r="AG22" i="62"/>
  <c r="R26" i="76"/>
  <c r="AG11" i="62"/>
  <c r="F26" i="76"/>
  <c r="AG17" i="67"/>
  <c r="L42" i="76"/>
  <c r="AG9" i="67"/>
  <c r="D42" i="76"/>
  <c r="AG10" i="65"/>
  <c r="E34" i="76"/>
  <c r="AG15" i="64"/>
  <c r="J33" i="76"/>
  <c r="AG18" i="67"/>
  <c r="M42" i="76"/>
  <c r="AG10" i="67"/>
  <c r="E42" i="76"/>
  <c r="AG18" i="66"/>
  <c r="M39" i="76"/>
  <c r="AG25" i="66"/>
  <c r="W39" i="76"/>
  <c r="AG26" i="65"/>
  <c r="X34" i="76"/>
  <c r="AG12" i="62"/>
  <c r="G26" i="76"/>
  <c r="AG24" i="65"/>
  <c r="V34" i="76"/>
  <c r="AG26" i="67"/>
  <c r="X42" i="76"/>
  <c r="AG21" i="67"/>
  <c r="P42" i="76"/>
  <c r="AG13" i="67"/>
  <c r="H42" i="76"/>
  <c r="AG26" i="66"/>
  <c r="X39" i="76"/>
  <c r="AG21" i="66"/>
  <c r="P39" i="76"/>
  <c r="AG13" i="66"/>
  <c r="H39" i="76"/>
  <c r="AG27" i="65"/>
  <c r="Y34" i="76"/>
  <c r="AG14" i="65"/>
  <c r="I34" i="76"/>
  <c r="AG24" i="64"/>
  <c r="V33" i="76"/>
  <c r="AG19" i="64"/>
  <c r="N33" i="76"/>
  <c r="AG11" i="64"/>
  <c r="F33" i="76"/>
  <c r="AG27" i="67"/>
  <c r="Y42" i="76"/>
  <c r="AG14" i="67"/>
  <c r="I42" i="76"/>
  <c r="AG27" i="66"/>
  <c r="Y39" i="76"/>
  <c r="AG14" i="66"/>
  <c r="I39" i="76"/>
  <c r="AG22" i="65"/>
  <c r="R34" i="76"/>
  <c r="AG25" i="64"/>
  <c r="W33" i="76"/>
  <c r="AG12" i="64"/>
  <c r="G33" i="76"/>
  <c r="AG23" i="66"/>
  <c r="S39" i="76"/>
  <c r="AG12" i="66"/>
  <c r="G39" i="76"/>
  <c r="AG17" i="65"/>
  <c r="L34" i="76"/>
  <c r="AG9" i="65"/>
  <c r="D34" i="76"/>
  <c r="AG18" i="64"/>
  <c r="M33" i="76"/>
  <c r="AG10" i="64"/>
  <c r="E33" i="76"/>
  <c r="AG16" i="62"/>
  <c r="K26" i="76"/>
  <c r="AG15" i="65"/>
  <c r="J34" i="76"/>
  <c r="AA33" i="76"/>
  <c r="AG23" i="62"/>
  <c r="S26" i="76"/>
  <c r="AG12" i="67"/>
  <c r="G42" i="76"/>
  <c r="AG17" i="62"/>
  <c r="L26" i="76"/>
  <c r="AG9" i="62"/>
  <c r="D26" i="76"/>
  <c r="AG15" i="67"/>
  <c r="J42" i="76"/>
  <c r="AG19" i="66"/>
  <c r="N39" i="76"/>
  <c r="AG25" i="65"/>
  <c r="W34" i="76"/>
  <c r="AG26" i="64"/>
  <c r="X33" i="76"/>
  <c r="AG13" i="64"/>
  <c r="H33" i="76"/>
  <c r="AG17" i="66"/>
  <c r="L39" i="76"/>
  <c r="AG9" i="66"/>
  <c r="D39" i="76"/>
  <c r="AG18" i="65"/>
  <c r="M34" i="76"/>
  <c r="AG22" i="64"/>
  <c r="R33" i="76"/>
  <c r="AG10" i="66"/>
  <c r="E39" i="76"/>
  <c r="AG19" i="65"/>
  <c r="N34" i="76"/>
  <c r="AG23" i="64"/>
  <c r="S33" i="76"/>
  <c r="AG16" i="66"/>
  <c r="K39" i="76"/>
  <c r="AG21" i="65"/>
  <c r="P34" i="76"/>
  <c r="AG13" i="65"/>
  <c r="H34" i="76"/>
  <c r="AG27" i="64"/>
  <c r="Y33" i="76"/>
  <c r="AG14" i="64"/>
  <c r="I33" i="76"/>
  <c r="AG11" i="65"/>
  <c r="F34" i="76"/>
  <c r="AG16" i="64"/>
  <c r="K33" i="76"/>
  <c r="AG27" i="62"/>
  <c r="Y26" i="76"/>
  <c r="AG14" i="62"/>
  <c r="I26" i="76"/>
  <c r="AG25" i="62"/>
  <c r="W26" i="76"/>
  <c r="AG19" i="62"/>
  <c r="N26" i="76"/>
  <c r="AG25" i="67"/>
  <c r="W42" i="76"/>
  <c r="AG16" i="67"/>
  <c r="K42" i="76"/>
  <c r="AG26" i="62"/>
  <c r="X26" i="76"/>
  <c r="AG21" i="62"/>
  <c r="P26" i="76"/>
  <c r="AG13" i="62"/>
  <c r="H26" i="76"/>
  <c r="AG24" i="67"/>
  <c r="V42" i="76"/>
  <c r="AG19" i="67"/>
  <c r="N42" i="76"/>
  <c r="AG11" i="67"/>
  <c r="F42" i="76"/>
  <c r="AG22" i="66"/>
  <c r="R39" i="76"/>
  <c r="AG15" i="66"/>
  <c r="J39" i="76"/>
  <c r="AA34" i="76"/>
  <c r="AG23" i="65"/>
  <c r="S34" i="76"/>
  <c r="AG12" i="65"/>
  <c r="G34" i="76"/>
  <c r="AG17" i="64"/>
  <c r="L33" i="76"/>
  <c r="AG9" i="64"/>
  <c r="D33" i="76"/>
  <c r="AG24" i="62"/>
  <c r="V26" i="76"/>
  <c r="AG15" i="62"/>
  <c r="J26" i="76"/>
  <c r="D32" i="49"/>
  <c r="K32" i="49" s="1"/>
  <c r="H32" i="49"/>
  <c r="G32" i="49"/>
  <c r="N32" i="49" s="1"/>
  <c r="F32" i="49"/>
  <c r="M32" i="49" s="1"/>
  <c r="E32" i="49"/>
  <c r="L32" i="49" s="1"/>
  <c r="AC131" i="49"/>
  <c r="AB131" i="49"/>
  <c r="AA131" i="49"/>
  <c r="Z131" i="49"/>
  <c r="Y131" i="49"/>
  <c r="AC125" i="49"/>
  <c r="AB125" i="49"/>
  <c r="AA125" i="49"/>
  <c r="Z125" i="49"/>
  <c r="Y125" i="49"/>
  <c r="H26" i="49"/>
  <c r="G26" i="49"/>
  <c r="N26" i="49" s="1"/>
  <c r="F26" i="49"/>
  <c r="M26" i="49" s="1"/>
  <c r="E26" i="49"/>
  <c r="L26" i="49" s="1"/>
  <c r="D26" i="49"/>
  <c r="K26" i="49" s="1"/>
  <c r="AC129" i="49"/>
  <c r="AB129" i="49"/>
  <c r="AA129" i="49"/>
  <c r="Z129" i="49"/>
  <c r="Y129" i="49"/>
  <c r="AC128" i="49"/>
  <c r="AB128" i="49"/>
  <c r="AA128" i="49"/>
  <c r="Z128" i="49"/>
  <c r="Y128" i="49"/>
  <c r="AC127" i="49"/>
  <c r="AB127" i="49"/>
  <c r="AA127" i="49"/>
  <c r="Z127" i="49"/>
  <c r="Y127" i="49"/>
  <c r="AC126" i="49"/>
  <c r="AB126" i="49"/>
  <c r="AA126" i="49"/>
  <c r="Z126" i="49"/>
  <c r="Y126" i="49"/>
  <c r="AC124" i="49"/>
  <c r="AB124" i="49"/>
  <c r="AA124" i="49"/>
  <c r="Z124" i="49"/>
  <c r="Y124" i="49"/>
  <c r="AC123" i="49"/>
  <c r="AB123" i="49"/>
  <c r="AA123" i="49"/>
  <c r="Z123" i="49"/>
  <c r="Y123" i="49"/>
  <c r="AC122" i="49"/>
  <c r="AB122" i="49"/>
  <c r="AA122" i="49"/>
  <c r="Z122" i="49"/>
  <c r="Y122" i="49"/>
  <c r="AC121" i="49"/>
  <c r="AB121" i="49"/>
  <c r="AA121" i="49"/>
  <c r="Z121" i="49"/>
  <c r="Y121" i="49"/>
  <c r="AC120" i="49"/>
  <c r="AB120" i="49"/>
  <c r="AA120" i="49"/>
  <c r="Z120" i="49"/>
  <c r="Y120" i="49"/>
  <c r="AC119" i="49"/>
  <c r="AB119" i="49"/>
  <c r="AA119" i="49"/>
  <c r="Z119" i="49"/>
  <c r="Y119" i="49"/>
  <c r="AC118" i="49"/>
  <c r="AB118" i="49"/>
  <c r="AA118" i="49"/>
  <c r="Z118" i="49"/>
  <c r="Y118" i="49"/>
  <c r="AC117" i="49"/>
  <c r="AB117" i="49"/>
  <c r="AA117" i="49"/>
  <c r="Z117" i="49"/>
  <c r="Y117" i="49"/>
  <c r="AC116" i="49"/>
  <c r="AB116" i="49"/>
  <c r="AA116" i="49"/>
  <c r="Z116" i="49"/>
  <c r="Y116" i="49"/>
  <c r="AC115" i="49"/>
  <c r="AB115" i="49"/>
  <c r="AA115" i="49"/>
  <c r="Z115" i="49"/>
  <c r="Y115" i="49"/>
  <c r="AC114" i="49"/>
  <c r="AB114" i="49"/>
  <c r="AA114" i="49"/>
  <c r="Z114" i="49"/>
  <c r="Y114" i="49"/>
  <c r="AC113" i="49"/>
  <c r="AB113" i="49"/>
  <c r="AA113" i="49"/>
  <c r="Z113" i="49"/>
  <c r="AC112" i="49"/>
  <c r="AB112" i="49"/>
  <c r="AA112" i="49"/>
  <c r="Z112" i="49"/>
  <c r="Y112" i="49"/>
  <c r="AC111" i="49"/>
  <c r="AB111" i="49"/>
  <c r="AA111" i="49"/>
  <c r="Z111" i="49"/>
  <c r="Y111" i="49"/>
  <c r="AC110" i="49"/>
  <c r="AB110" i="49"/>
  <c r="AA110" i="49"/>
  <c r="Z110" i="49"/>
  <c r="Y110" i="49"/>
  <c r="AC109" i="49"/>
  <c r="AB109" i="49"/>
  <c r="AA109" i="49"/>
  <c r="Z109" i="49"/>
  <c r="Y109" i="49"/>
  <c r="AC108" i="49"/>
  <c r="AB108" i="49"/>
  <c r="AA108" i="49"/>
  <c r="Z108" i="49"/>
  <c r="Y108" i="49"/>
  <c r="AF9" i="49"/>
  <c r="H30" i="49"/>
  <c r="G30" i="49"/>
  <c r="N30" i="49" s="1"/>
  <c r="F30" i="49"/>
  <c r="M30" i="49" s="1"/>
  <c r="E30" i="49"/>
  <c r="L30" i="49" s="1"/>
  <c r="D30" i="49"/>
  <c r="K30" i="49" s="1"/>
  <c r="H29" i="49"/>
  <c r="G29" i="49"/>
  <c r="N29" i="49" s="1"/>
  <c r="F29" i="49"/>
  <c r="M29" i="49" s="1"/>
  <c r="E29" i="49"/>
  <c r="L29" i="49" s="1"/>
  <c r="D29" i="49"/>
  <c r="K29" i="49" s="1"/>
  <c r="H28" i="49"/>
  <c r="G28" i="49"/>
  <c r="N28" i="49" s="1"/>
  <c r="F28" i="49"/>
  <c r="M28" i="49" s="1"/>
  <c r="E28" i="49"/>
  <c r="L28" i="49" s="1"/>
  <c r="D28" i="49"/>
  <c r="K28" i="49" s="1"/>
  <c r="H27" i="49"/>
  <c r="G27" i="49"/>
  <c r="N27" i="49" s="1"/>
  <c r="F27" i="49"/>
  <c r="M27" i="49" s="1"/>
  <c r="E27" i="49"/>
  <c r="L27" i="49" s="1"/>
  <c r="D27" i="49"/>
  <c r="K27" i="49" s="1"/>
  <c r="H25" i="49"/>
  <c r="G25" i="49"/>
  <c r="N25" i="49" s="1"/>
  <c r="F25" i="49"/>
  <c r="M25" i="49" s="1"/>
  <c r="E25" i="49"/>
  <c r="L25" i="49" s="1"/>
  <c r="D25" i="49"/>
  <c r="K25" i="49" s="1"/>
  <c r="H24" i="49"/>
  <c r="G24" i="49"/>
  <c r="N24" i="49" s="1"/>
  <c r="F24" i="49"/>
  <c r="M24" i="49" s="1"/>
  <c r="E24" i="49"/>
  <c r="L24" i="49" s="1"/>
  <c r="D24" i="49"/>
  <c r="K24" i="49" s="1"/>
  <c r="H23" i="49"/>
  <c r="G23" i="49"/>
  <c r="N23" i="49" s="1"/>
  <c r="F23" i="49"/>
  <c r="M23" i="49" s="1"/>
  <c r="E23" i="49"/>
  <c r="L23" i="49" s="1"/>
  <c r="D23" i="49"/>
  <c r="K23" i="49" s="1"/>
  <c r="H22" i="49"/>
  <c r="G22" i="49"/>
  <c r="N22" i="49" s="1"/>
  <c r="F22" i="49"/>
  <c r="M22" i="49" s="1"/>
  <c r="E22" i="49"/>
  <c r="L22" i="49" s="1"/>
  <c r="D22" i="49"/>
  <c r="K22" i="49" s="1"/>
  <c r="H21" i="49"/>
  <c r="G21" i="49"/>
  <c r="N21" i="49" s="1"/>
  <c r="F21" i="49"/>
  <c r="M21" i="49" s="1"/>
  <c r="E21" i="49"/>
  <c r="L21" i="49" s="1"/>
  <c r="D21" i="49"/>
  <c r="K21" i="49" s="1"/>
  <c r="H20" i="49"/>
  <c r="O20" i="49" s="1"/>
  <c r="O14" i="76" s="1"/>
  <c r="G20" i="49"/>
  <c r="N20" i="49" s="1"/>
  <c r="F20" i="49"/>
  <c r="M20" i="49" s="1"/>
  <c r="E20" i="49"/>
  <c r="D20" i="49"/>
  <c r="K20" i="49" s="1"/>
  <c r="H19" i="49"/>
  <c r="G19" i="49"/>
  <c r="N19" i="49" s="1"/>
  <c r="F19" i="49"/>
  <c r="M19" i="49" s="1"/>
  <c r="E19" i="49"/>
  <c r="L19" i="49" s="1"/>
  <c r="D19" i="49"/>
  <c r="K19" i="49" s="1"/>
  <c r="H18" i="49"/>
  <c r="G18" i="49"/>
  <c r="N18" i="49" s="1"/>
  <c r="F18" i="49"/>
  <c r="M18" i="49" s="1"/>
  <c r="E18" i="49"/>
  <c r="L18" i="49" s="1"/>
  <c r="D18" i="49"/>
  <c r="K18" i="49" s="1"/>
  <c r="H17" i="49"/>
  <c r="G17" i="49"/>
  <c r="N17" i="49" s="1"/>
  <c r="F17" i="49"/>
  <c r="M17" i="49" s="1"/>
  <c r="E17" i="49"/>
  <c r="L17" i="49" s="1"/>
  <c r="D17" i="49"/>
  <c r="K17" i="49" s="1"/>
  <c r="H16" i="49"/>
  <c r="G16" i="49"/>
  <c r="N16" i="49" s="1"/>
  <c r="F16" i="49"/>
  <c r="M16" i="49" s="1"/>
  <c r="E16" i="49"/>
  <c r="L16" i="49" s="1"/>
  <c r="D16" i="49"/>
  <c r="K16" i="49" s="1"/>
  <c r="H15" i="49"/>
  <c r="G15" i="49"/>
  <c r="N15" i="49" s="1"/>
  <c r="F15" i="49"/>
  <c r="M15" i="49" s="1"/>
  <c r="E15" i="49"/>
  <c r="L15" i="49" s="1"/>
  <c r="D15" i="49"/>
  <c r="K15" i="49" s="1"/>
  <c r="H14" i="49"/>
  <c r="G14" i="49"/>
  <c r="N14" i="49" s="1"/>
  <c r="F14" i="49"/>
  <c r="M14" i="49" s="1"/>
  <c r="E14" i="49"/>
  <c r="L14" i="49" s="1"/>
  <c r="D14" i="49"/>
  <c r="H13" i="49"/>
  <c r="G13" i="49"/>
  <c r="N13" i="49" s="1"/>
  <c r="F13" i="49"/>
  <c r="M13" i="49" s="1"/>
  <c r="E13" i="49"/>
  <c r="L13" i="49" s="1"/>
  <c r="D13" i="49"/>
  <c r="K13" i="49" s="1"/>
  <c r="H12" i="49"/>
  <c r="G12" i="49"/>
  <c r="N12" i="49" s="1"/>
  <c r="F12" i="49"/>
  <c r="M12" i="49" s="1"/>
  <c r="E12" i="49"/>
  <c r="L12" i="49" s="1"/>
  <c r="D12" i="49"/>
  <c r="K12" i="49" s="1"/>
  <c r="H11" i="49"/>
  <c r="G11" i="49"/>
  <c r="N11" i="49" s="1"/>
  <c r="F11" i="49"/>
  <c r="M11" i="49" s="1"/>
  <c r="E11" i="49"/>
  <c r="L11" i="49" s="1"/>
  <c r="D11" i="49"/>
  <c r="K11" i="49" s="1"/>
  <c r="H10" i="49"/>
  <c r="G10" i="49"/>
  <c r="N10" i="49" s="1"/>
  <c r="F10" i="49"/>
  <c r="M10" i="49" s="1"/>
  <c r="E10" i="49"/>
  <c r="L10" i="49" s="1"/>
  <c r="D10" i="49"/>
  <c r="K10" i="49" s="1"/>
  <c r="H9" i="49"/>
  <c r="G9" i="49"/>
  <c r="N9" i="49" s="1"/>
  <c r="F9" i="49"/>
  <c r="M9" i="49" s="1"/>
  <c r="E9" i="49"/>
  <c r="L9" i="49" s="1"/>
  <c r="D9" i="49"/>
  <c r="K9" i="49" s="1"/>
  <c r="G133" i="49" l="1"/>
  <c r="P31" i="49"/>
  <c r="P26" i="49"/>
  <c r="P22" i="49"/>
  <c r="P32" i="49"/>
  <c r="P25" i="49"/>
  <c r="AY64" i="49"/>
  <c r="AZ64" i="49"/>
  <c r="AW64" i="49"/>
  <c r="AX64" i="49"/>
  <c r="F110" i="49"/>
  <c r="E111" i="49"/>
  <c r="D112" i="49"/>
  <c r="H112" i="49"/>
  <c r="G113" i="49"/>
  <c r="F114" i="49"/>
  <c r="F115" i="49"/>
  <c r="E116" i="49"/>
  <c r="D117" i="49"/>
  <c r="G118" i="49"/>
  <c r="F119" i="49"/>
  <c r="E120" i="49"/>
  <c r="D121" i="49"/>
  <c r="G122" i="49"/>
  <c r="F123" i="49"/>
  <c r="E124" i="49"/>
  <c r="D125" i="49"/>
  <c r="G126" i="49"/>
  <c r="F128" i="49"/>
  <c r="E129" i="49"/>
  <c r="D130" i="49"/>
  <c r="G131" i="49"/>
  <c r="D127" i="49"/>
  <c r="E110" i="49"/>
  <c r="D111" i="49"/>
  <c r="G112" i="49"/>
  <c r="F113" i="49"/>
  <c r="E114" i="49"/>
  <c r="E115" i="49"/>
  <c r="D116" i="49"/>
  <c r="G117" i="49"/>
  <c r="F118" i="49"/>
  <c r="E119" i="49"/>
  <c r="D120" i="49"/>
  <c r="G121" i="49"/>
  <c r="F122" i="49"/>
  <c r="E123" i="49"/>
  <c r="D124" i="49"/>
  <c r="G125" i="49"/>
  <c r="F126" i="49"/>
  <c r="E128" i="49"/>
  <c r="D129" i="49"/>
  <c r="G130" i="49"/>
  <c r="F131" i="49"/>
  <c r="G127" i="49"/>
  <c r="O9" i="49"/>
  <c r="I9" i="49"/>
  <c r="O13" i="49"/>
  <c r="H14" i="76" s="1"/>
  <c r="I13" i="49"/>
  <c r="O25" i="49"/>
  <c r="T14" i="76" s="1"/>
  <c r="I25" i="49"/>
  <c r="O30" i="49"/>
  <c r="Y14" i="76" s="1"/>
  <c r="I30" i="49"/>
  <c r="O10" i="49"/>
  <c r="E14" i="76" s="1"/>
  <c r="I10" i="49"/>
  <c r="D115" i="49"/>
  <c r="K14" i="49"/>
  <c r="O14" i="49"/>
  <c r="I14" i="76" s="1"/>
  <c r="I14" i="49"/>
  <c r="O18" i="49"/>
  <c r="M14" i="76" s="1"/>
  <c r="I18" i="49"/>
  <c r="O22" i="49"/>
  <c r="Q14" i="76" s="1"/>
  <c r="I22" i="49"/>
  <c r="O27" i="49"/>
  <c r="V14" i="76" s="1"/>
  <c r="I27" i="49"/>
  <c r="O11" i="49"/>
  <c r="F14" i="76" s="1"/>
  <c r="I11" i="49"/>
  <c r="O15" i="49"/>
  <c r="J14" i="76" s="1"/>
  <c r="I15" i="49"/>
  <c r="O19" i="49"/>
  <c r="N14" i="76" s="1"/>
  <c r="I19" i="49"/>
  <c r="O23" i="49"/>
  <c r="R14" i="76" s="1"/>
  <c r="I23" i="49"/>
  <c r="O28" i="49"/>
  <c r="W14" i="76" s="1"/>
  <c r="I28" i="49"/>
  <c r="F111" i="49"/>
  <c r="E112" i="49"/>
  <c r="D113" i="49"/>
  <c r="G114" i="49"/>
  <c r="G115" i="49"/>
  <c r="F116" i="49"/>
  <c r="E117" i="49"/>
  <c r="D118" i="49"/>
  <c r="G119" i="49"/>
  <c r="F120" i="49"/>
  <c r="D122" i="49"/>
  <c r="G123" i="49"/>
  <c r="F124" i="49"/>
  <c r="E125" i="49"/>
  <c r="D126" i="49"/>
  <c r="G128" i="49"/>
  <c r="F129" i="49"/>
  <c r="E130" i="49"/>
  <c r="D131" i="49"/>
  <c r="E127" i="49"/>
  <c r="O17" i="49"/>
  <c r="L14" i="76" s="1"/>
  <c r="I17" i="49"/>
  <c r="O21" i="49"/>
  <c r="P14" i="76" s="1"/>
  <c r="I21" i="49"/>
  <c r="O12" i="49"/>
  <c r="G14" i="76" s="1"/>
  <c r="I12" i="49"/>
  <c r="O16" i="49"/>
  <c r="K14" i="76" s="1"/>
  <c r="I16" i="49"/>
  <c r="O24" i="49"/>
  <c r="S14" i="76" s="1"/>
  <c r="I24" i="49"/>
  <c r="O29" i="49"/>
  <c r="X14" i="76" s="1"/>
  <c r="I29" i="49"/>
  <c r="D110" i="49"/>
  <c r="H110" i="49"/>
  <c r="G111" i="49"/>
  <c r="F112" i="49"/>
  <c r="E113" i="49"/>
  <c r="D114" i="49"/>
  <c r="H114" i="49"/>
  <c r="G116" i="49"/>
  <c r="F117" i="49"/>
  <c r="E118" i="49"/>
  <c r="D119" i="49"/>
  <c r="F121" i="49"/>
  <c r="E122" i="49"/>
  <c r="D123" i="49"/>
  <c r="G124" i="49"/>
  <c r="F125" i="49"/>
  <c r="E126" i="49"/>
  <c r="D128" i="49"/>
  <c r="G129" i="49"/>
  <c r="F130" i="49"/>
  <c r="E131" i="49"/>
  <c r="O26" i="49"/>
  <c r="U14" i="76" s="1"/>
  <c r="I26" i="49"/>
  <c r="F127" i="49"/>
  <c r="E133" i="49"/>
  <c r="O32" i="49"/>
  <c r="I32" i="49"/>
  <c r="E121" i="49"/>
  <c r="I20" i="49"/>
  <c r="L20" i="49"/>
  <c r="G120" i="49"/>
  <c r="G110" i="49"/>
  <c r="D133" i="49"/>
  <c r="F133" i="49"/>
  <c r="H117" i="49"/>
  <c r="H121" i="49"/>
  <c r="H125" i="49"/>
  <c r="H130" i="49"/>
  <c r="H127" i="49"/>
  <c r="H113" i="49"/>
  <c r="H118" i="49"/>
  <c r="H122" i="49"/>
  <c r="H126" i="49"/>
  <c r="H131" i="49"/>
  <c r="H133" i="49"/>
  <c r="H115" i="49"/>
  <c r="H119" i="49"/>
  <c r="H123" i="49"/>
  <c r="H128" i="49"/>
  <c r="H111" i="49"/>
  <c r="H116" i="49"/>
  <c r="H120" i="49"/>
  <c r="H124" i="49"/>
  <c r="H129" i="49"/>
  <c r="BA64" i="49" l="1"/>
  <c r="AA14" i="76"/>
  <c r="AG9" i="49"/>
  <c r="D14" i="76"/>
  <c r="X103" i="81"/>
  <c r="W103" i="81"/>
  <c r="V103" i="81"/>
  <c r="U103" i="81"/>
  <c r="T103" i="81"/>
  <c r="S103" i="81"/>
  <c r="R103" i="81"/>
  <c r="Q103" i="81"/>
  <c r="P103" i="81"/>
  <c r="O103" i="81"/>
  <c r="N103" i="81"/>
  <c r="M103" i="81"/>
  <c r="L103" i="81"/>
  <c r="K103" i="81"/>
  <c r="J103" i="81"/>
  <c r="I103" i="81"/>
  <c r="H103" i="81"/>
  <c r="G103" i="81"/>
  <c r="F103" i="81"/>
  <c r="E103" i="81"/>
  <c r="D103" i="81"/>
  <c r="C103" i="81"/>
  <c r="X102" i="81"/>
  <c r="AC131" i="63" s="1"/>
  <c r="H131" i="63" s="1"/>
  <c r="W102" i="81"/>
  <c r="AC130" i="63" s="1"/>
  <c r="H130" i="63" s="1"/>
  <c r="V102" i="81"/>
  <c r="AC129" i="63" s="1"/>
  <c r="H129" i="63" s="1"/>
  <c r="U102" i="81"/>
  <c r="AC128" i="63" s="1"/>
  <c r="H128" i="63" s="1"/>
  <c r="T102" i="81"/>
  <c r="AC127" i="63" s="1"/>
  <c r="H127" i="63" s="1"/>
  <c r="S102" i="81"/>
  <c r="AC126" i="63" s="1"/>
  <c r="H126" i="63" s="1"/>
  <c r="R102" i="81"/>
  <c r="AC125" i="63" s="1"/>
  <c r="H125" i="63" s="1"/>
  <c r="Q102" i="81"/>
  <c r="AC124" i="63" s="1"/>
  <c r="H124" i="63" s="1"/>
  <c r="P102" i="81"/>
  <c r="AC123" i="63" s="1"/>
  <c r="H123" i="63" s="1"/>
  <c r="O102" i="81"/>
  <c r="AC122" i="63" s="1"/>
  <c r="H122" i="63" s="1"/>
  <c r="N102" i="81"/>
  <c r="AC121" i="63" s="1"/>
  <c r="H121" i="63" s="1"/>
  <c r="M102" i="81"/>
  <c r="AC120" i="63" s="1"/>
  <c r="H120" i="63" s="1"/>
  <c r="L102" i="81"/>
  <c r="AC119" i="63" s="1"/>
  <c r="H119" i="63" s="1"/>
  <c r="K102" i="81"/>
  <c r="AC118" i="63" s="1"/>
  <c r="H118" i="63" s="1"/>
  <c r="J102" i="81"/>
  <c r="AC117" i="63" s="1"/>
  <c r="H117" i="63" s="1"/>
  <c r="I102" i="81"/>
  <c r="AC116" i="63" s="1"/>
  <c r="H116" i="63" s="1"/>
  <c r="H102" i="81"/>
  <c r="AC115" i="63" s="1"/>
  <c r="H115" i="63" s="1"/>
  <c r="G102" i="81"/>
  <c r="AC114" i="63" s="1"/>
  <c r="H114" i="63" s="1"/>
  <c r="F102" i="81"/>
  <c r="AC113" i="63" s="1"/>
  <c r="H113" i="63" s="1"/>
  <c r="E102" i="81"/>
  <c r="AC112" i="63" s="1"/>
  <c r="H112" i="63" s="1"/>
  <c r="D102" i="81"/>
  <c r="AC111" i="63" s="1"/>
  <c r="H111" i="63" s="1"/>
  <c r="C102" i="81"/>
  <c r="H31" i="62"/>
  <c r="AC130" i="49"/>
  <c r="H31" i="49"/>
  <c r="X103" i="80"/>
  <c r="AG131" i="63" s="1"/>
  <c r="W103" i="80"/>
  <c r="AG130" i="63" s="1"/>
  <c r="V103" i="80"/>
  <c r="AG129" i="63" s="1"/>
  <c r="U103" i="80"/>
  <c r="AG128" i="63" s="1"/>
  <c r="T103" i="80"/>
  <c r="AG127" i="63" s="1"/>
  <c r="S103" i="80"/>
  <c r="AG126" i="63" s="1"/>
  <c r="R103" i="80"/>
  <c r="AG125" i="63" s="1"/>
  <c r="Q103" i="80"/>
  <c r="AG124" i="63" s="1"/>
  <c r="P103" i="80"/>
  <c r="AG123" i="63" s="1"/>
  <c r="O103" i="80"/>
  <c r="AG122" i="63" s="1"/>
  <c r="N103" i="80"/>
  <c r="AG121" i="63" s="1"/>
  <c r="M103" i="80"/>
  <c r="AG120" i="63" s="1"/>
  <c r="L103" i="80"/>
  <c r="AG119" i="63" s="1"/>
  <c r="K103" i="80"/>
  <c r="AG118" i="63" s="1"/>
  <c r="J103" i="80"/>
  <c r="AG117" i="63" s="1"/>
  <c r="I103" i="80"/>
  <c r="AG116" i="63" s="1"/>
  <c r="H103" i="80"/>
  <c r="AG115" i="63" s="1"/>
  <c r="G103" i="80"/>
  <c r="AG114" i="63" s="1"/>
  <c r="F103" i="80"/>
  <c r="AG113" i="63" s="1"/>
  <c r="E103" i="80"/>
  <c r="AG112" i="63" s="1"/>
  <c r="D103" i="80"/>
  <c r="AG111" i="63" s="1"/>
  <c r="C103" i="80"/>
  <c r="X102" i="80"/>
  <c r="AB131" i="63" s="1"/>
  <c r="W102" i="80"/>
  <c r="AB130" i="63" s="1"/>
  <c r="V102" i="80"/>
  <c r="AB129" i="63" s="1"/>
  <c r="U102" i="80"/>
  <c r="AB128" i="63" s="1"/>
  <c r="T102" i="80"/>
  <c r="AB127" i="63" s="1"/>
  <c r="S102" i="80"/>
  <c r="AB126" i="63" s="1"/>
  <c r="R102" i="80"/>
  <c r="AB125" i="63" s="1"/>
  <c r="Q102" i="80"/>
  <c r="AB124" i="63" s="1"/>
  <c r="P102" i="80"/>
  <c r="AB123" i="63" s="1"/>
  <c r="O102" i="80"/>
  <c r="AB122" i="63" s="1"/>
  <c r="N102" i="80"/>
  <c r="AB121" i="63" s="1"/>
  <c r="M102" i="80"/>
  <c r="AB120" i="63" s="1"/>
  <c r="L102" i="80"/>
  <c r="AB119" i="63" s="1"/>
  <c r="K102" i="80"/>
  <c r="AB118" i="63" s="1"/>
  <c r="J102" i="80"/>
  <c r="AB117" i="63" s="1"/>
  <c r="I102" i="80"/>
  <c r="AB116" i="63" s="1"/>
  <c r="H102" i="80"/>
  <c r="AB115" i="63" s="1"/>
  <c r="G102" i="80"/>
  <c r="AB114" i="63" s="1"/>
  <c r="F102" i="80"/>
  <c r="AB113" i="63" s="1"/>
  <c r="E102" i="80"/>
  <c r="AB112" i="63" s="1"/>
  <c r="D102" i="80"/>
  <c r="AB111" i="63" s="1"/>
  <c r="C102" i="80"/>
  <c r="AC98" i="70"/>
  <c r="AB237" i="69"/>
  <c r="G237" i="69" s="1"/>
  <c r="AB167" i="69"/>
  <c r="AH132" i="69"/>
  <c r="AB132" i="69"/>
  <c r="AH167" i="67"/>
  <c r="AH132" i="67"/>
  <c r="AB132" i="67"/>
  <c r="AH202" i="67"/>
  <c r="AB202" i="67"/>
  <c r="G31" i="67"/>
  <c r="AB165" i="66"/>
  <c r="G31" i="66"/>
  <c r="G31" i="65"/>
  <c r="G31" i="64"/>
  <c r="G31" i="63"/>
  <c r="G31" i="62"/>
  <c r="AB130" i="49"/>
  <c r="G31" i="49"/>
  <c r="X103" i="79"/>
  <c r="AF131" i="63" s="1"/>
  <c r="W103" i="79"/>
  <c r="AF130" i="63" s="1"/>
  <c r="V103" i="79"/>
  <c r="AF129" i="63" s="1"/>
  <c r="U103" i="79"/>
  <c r="AF128" i="63" s="1"/>
  <c r="T103" i="79"/>
  <c r="AF127" i="63" s="1"/>
  <c r="S103" i="79"/>
  <c r="AF126" i="63" s="1"/>
  <c r="R103" i="79"/>
  <c r="AF125" i="63" s="1"/>
  <c r="Q103" i="79"/>
  <c r="AF124" i="63" s="1"/>
  <c r="P103" i="79"/>
  <c r="AF123" i="63" s="1"/>
  <c r="O103" i="79"/>
  <c r="AF122" i="63" s="1"/>
  <c r="N103" i="79"/>
  <c r="AF121" i="63" s="1"/>
  <c r="M103" i="79"/>
  <c r="AF120" i="63" s="1"/>
  <c r="L103" i="79"/>
  <c r="AF119" i="63" s="1"/>
  <c r="K103" i="79"/>
  <c r="AF118" i="63" s="1"/>
  <c r="J103" i="79"/>
  <c r="AF117" i="63" s="1"/>
  <c r="I103" i="79"/>
  <c r="AF116" i="63" s="1"/>
  <c r="H103" i="79"/>
  <c r="AF115" i="63" s="1"/>
  <c r="G103" i="79"/>
  <c r="AF114" i="63" s="1"/>
  <c r="F103" i="79"/>
  <c r="AF113" i="63" s="1"/>
  <c r="E103" i="79"/>
  <c r="AF112" i="63" s="1"/>
  <c r="D103" i="79"/>
  <c r="AF111" i="63" s="1"/>
  <c r="X102" i="79"/>
  <c r="AA131" i="63" s="1"/>
  <c r="W102" i="79"/>
  <c r="AA130" i="63" s="1"/>
  <c r="V102" i="79"/>
  <c r="AA129" i="63" s="1"/>
  <c r="U102" i="79"/>
  <c r="AA128" i="63" s="1"/>
  <c r="T102" i="79"/>
  <c r="AA127" i="63" s="1"/>
  <c r="S102" i="79"/>
  <c r="AA126" i="63" s="1"/>
  <c r="R102" i="79"/>
  <c r="AA125" i="63" s="1"/>
  <c r="Q102" i="79"/>
  <c r="AA124" i="63" s="1"/>
  <c r="P102" i="79"/>
  <c r="AA123" i="63" s="1"/>
  <c r="O102" i="79"/>
  <c r="AA122" i="63" s="1"/>
  <c r="N102" i="79"/>
  <c r="AA121" i="63" s="1"/>
  <c r="M102" i="79"/>
  <c r="AA120" i="63" s="1"/>
  <c r="L102" i="79"/>
  <c r="AA119" i="63" s="1"/>
  <c r="K102" i="79"/>
  <c r="AA118" i="63" s="1"/>
  <c r="J102" i="79"/>
  <c r="AA117" i="63" s="1"/>
  <c r="I102" i="79"/>
  <c r="AA116" i="63" s="1"/>
  <c r="H102" i="79"/>
  <c r="AA115" i="63" s="1"/>
  <c r="G102" i="79"/>
  <c r="AA114" i="63" s="1"/>
  <c r="F102" i="79"/>
  <c r="AA113" i="63" s="1"/>
  <c r="E102" i="79"/>
  <c r="AA112" i="63" s="1"/>
  <c r="D102" i="79"/>
  <c r="AA111" i="63" s="1"/>
  <c r="AA167" i="69"/>
  <c r="AG132" i="69"/>
  <c r="AA132" i="69"/>
  <c r="AG167" i="67"/>
  <c r="AG132" i="67"/>
  <c r="AA132" i="67"/>
  <c r="AA202" i="67"/>
  <c r="F31" i="67"/>
  <c r="AA165" i="66"/>
  <c r="F31" i="66"/>
  <c r="F31" i="65"/>
  <c r="F31" i="64"/>
  <c r="F31" i="63"/>
  <c r="F31" i="62"/>
  <c r="AA130" i="49"/>
  <c r="F31" i="49"/>
  <c r="X103" i="78"/>
  <c r="AE131" i="63" s="1"/>
  <c r="W103" i="78"/>
  <c r="AE130" i="63" s="1"/>
  <c r="V103" i="78"/>
  <c r="AE129" i="63" s="1"/>
  <c r="U103" i="78"/>
  <c r="AE128" i="63" s="1"/>
  <c r="T103" i="78"/>
  <c r="AE127" i="63" s="1"/>
  <c r="S103" i="78"/>
  <c r="AE126" i="63" s="1"/>
  <c r="R103" i="78"/>
  <c r="AE125" i="63" s="1"/>
  <c r="Q103" i="78"/>
  <c r="AE124" i="63" s="1"/>
  <c r="P103" i="78"/>
  <c r="AE123" i="63" s="1"/>
  <c r="O103" i="78"/>
  <c r="AE122" i="63" s="1"/>
  <c r="N103" i="78"/>
  <c r="AE121" i="63" s="1"/>
  <c r="M103" i="78"/>
  <c r="AE120" i="63" s="1"/>
  <c r="L103" i="78"/>
  <c r="AE119" i="63" s="1"/>
  <c r="K103" i="78"/>
  <c r="AE118" i="63" s="1"/>
  <c r="J103" i="78"/>
  <c r="AE117" i="63" s="1"/>
  <c r="I103" i="78"/>
  <c r="AE116" i="63" s="1"/>
  <c r="H103" i="78"/>
  <c r="AE115" i="63" s="1"/>
  <c r="G103" i="78"/>
  <c r="AE114" i="63" s="1"/>
  <c r="F103" i="78"/>
  <c r="AE113" i="63" s="1"/>
  <c r="E103" i="78"/>
  <c r="AE112" i="63" s="1"/>
  <c r="D103" i="78"/>
  <c r="C103" i="78"/>
  <c r="X102" i="78"/>
  <c r="Z131" i="63" s="1"/>
  <c r="W102" i="78"/>
  <c r="Z130" i="63" s="1"/>
  <c r="V102" i="78"/>
  <c r="Z129" i="63" s="1"/>
  <c r="U102" i="78"/>
  <c r="Z128" i="63" s="1"/>
  <c r="T102" i="78"/>
  <c r="Z127" i="63" s="1"/>
  <c r="S102" i="78"/>
  <c r="Z126" i="63" s="1"/>
  <c r="R102" i="78"/>
  <c r="Z125" i="63" s="1"/>
  <c r="Q102" i="78"/>
  <c r="Z124" i="63" s="1"/>
  <c r="P102" i="78"/>
  <c r="Z123" i="63" s="1"/>
  <c r="O102" i="78"/>
  <c r="Z122" i="63" s="1"/>
  <c r="N102" i="78"/>
  <c r="Z121" i="63" s="1"/>
  <c r="M102" i="78"/>
  <c r="Z120" i="63" s="1"/>
  <c r="L102" i="78"/>
  <c r="Z119" i="63" s="1"/>
  <c r="K102" i="78"/>
  <c r="Z118" i="63" s="1"/>
  <c r="J102" i="78"/>
  <c r="Z117" i="63" s="1"/>
  <c r="I102" i="78"/>
  <c r="Z116" i="63" s="1"/>
  <c r="H102" i="78"/>
  <c r="Z115" i="63" s="1"/>
  <c r="G102" i="78"/>
  <c r="Z114" i="63" s="1"/>
  <c r="F102" i="78"/>
  <c r="Z113" i="63" s="1"/>
  <c r="E102" i="78"/>
  <c r="Z112" i="63" s="1"/>
  <c r="D102" i="78"/>
  <c r="Z111" i="63" s="1"/>
  <c r="C102" i="78"/>
  <c r="Z167" i="69"/>
  <c r="AF132" i="69"/>
  <c r="Z132" i="69"/>
  <c r="AF167" i="67"/>
  <c r="AF132" i="67"/>
  <c r="Z132" i="67"/>
  <c r="AF194" i="67"/>
  <c r="E194" i="67" s="1"/>
  <c r="Z202" i="67"/>
  <c r="E31" i="67"/>
  <c r="Z165" i="66"/>
  <c r="E31" i="66"/>
  <c r="E31" i="65"/>
  <c r="E31" i="64"/>
  <c r="E31" i="63"/>
  <c r="I31" i="63" s="1"/>
  <c r="E31" i="62"/>
  <c r="Z130" i="49"/>
  <c r="E31" i="49"/>
  <c r="AD131" i="63"/>
  <c r="D131" i="63" s="1"/>
  <c r="AD130" i="63"/>
  <c r="AD129" i="63"/>
  <c r="D129" i="63" s="1"/>
  <c r="AD128" i="63"/>
  <c r="AD127" i="63"/>
  <c r="AD126" i="63"/>
  <c r="AD125" i="63"/>
  <c r="AD124" i="63"/>
  <c r="AD123" i="63"/>
  <c r="AD122" i="63"/>
  <c r="D122" i="63" s="1"/>
  <c r="AD121" i="63"/>
  <c r="AD120" i="63"/>
  <c r="AD119" i="63"/>
  <c r="AD118" i="63"/>
  <c r="AD117" i="63"/>
  <c r="AD116" i="63"/>
  <c r="AD115" i="63"/>
  <c r="AD114" i="63"/>
  <c r="AD113" i="63"/>
  <c r="AD111" i="63"/>
  <c r="AD110" i="63"/>
  <c r="X102" i="77"/>
  <c r="Y131" i="63" s="1"/>
  <c r="W102" i="77"/>
  <c r="Y130" i="63" s="1"/>
  <c r="V102" i="77"/>
  <c r="Y129" i="63" s="1"/>
  <c r="U102" i="77"/>
  <c r="Y128" i="63" s="1"/>
  <c r="T102" i="77"/>
  <c r="Y127" i="63" s="1"/>
  <c r="S102" i="77"/>
  <c r="Y126" i="63" s="1"/>
  <c r="R102" i="77"/>
  <c r="Y125" i="63" s="1"/>
  <c r="Q102" i="77"/>
  <c r="Y124" i="63" s="1"/>
  <c r="P102" i="77"/>
  <c r="Y123" i="63" s="1"/>
  <c r="O102" i="77"/>
  <c r="Y122" i="63" s="1"/>
  <c r="N102" i="77"/>
  <c r="Y121" i="63" s="1"/>
  <c r="M102" i="77"/>
  <c r="Y120" i="63" s="1"/>
  <c r="L102" i="77"/>
  <c r="Y119" i="63" s="1"/>
  <c r="K102" i="77"/>
  <c r="Y118" i="63" s="1"/>
  <c r="J102" i="77"/>
  <c r="Y117" i="63" s="1"/>
  <c r="I102" i="77"/>
  <c r="Y116" i="63" s="1"/>
  <c r="H102" i="77"/>
  <c r="Y115" i="63" s="1"/>
  <c r="G102" i="77"/>
  <c r="Y114" i="63" s="1"/>
  <c r="F102" i="77"/>
  <c r="Y113" i="63" s="1"/>
  <c r="E102" i="77"/>
  <c r="Y112" i="63" s="1"/>
  <c r="D102" i="77"/>
  <c r="Y111" i="63" s="1"/>
  <c r="C102" i="77"/>
  <c r="Y110" i="63" s="1"/>
  <c r="Y167" i="69"/>
  <c r="AE132" i="69"/>
  <c r="Y132" i="69"/>
  <c r="AE167" i="67"/>
  <c r="AE132" i="67"/>
  <c r="Y132" i="67"/>
  <c r="AE202" i="67"/>
  <c r="Y202" i="67"/>
  <c r="D31" i="67"/>
  <c r="Y165" i="66"/>
  <c r="D31" i="66"/>
  <c r="D31" i="65"/>
  <c r="D31" i="64"/>
  <c r="D31" i="63"/>
  <c r="D31" i="62"/>
  <c r="Y130" i="49"/>
  <c r="D31" i="49"/>
  <c r="G168" i="70" l="1"/>
  <c r="BP63" i="70" s="1"/>
  <c r="G133" i="70"/>
  <c r="BK63" i="70" s="1"/>
  <c r="G122" i="63"/>
  <c r="G126" i="63"/>
  <c r="G131" i="63"/>
  <c r="D167" i="69"/>
  <c r="F167" i="69"/>
  <c r="I31" i="49"/>
  <c r="D202" i="67"/>
  <c r="D132" i="49"/>
  <c r="G167" i="69"/>
  <c r="D132" i="67"/>
  <c r="D132" i="69"/>
  <c r="I31" i="62"/>
  <c r="E132" i="67"/>
  <c r="E132" i="69"/>
  <c r="F132" i="67"/>
  <c r="F132" i="69"/>
  <c r="I31" i="66"/>
  <c r="I31" i="64"/>
  <c r="I31" i="67"/>
  <c r="I31" i="65"/>
  <c r="E167" i="69"/>
  <c r="G202" i="67"/>
  <c r="G132" i="49"/>
  <c r="G132" i="67"/>
  <c r="G132" i="69"/>
  <c r="E132" i="49"/>
  <c r="F132" i="49"/>
  <c r="H132" i="49"/>
  <c r="E122" i="63"/>
  <c r="E131" i="63"/>
  <c r="AE110" i="63"/>
  <c r="AE132" i="63"/>
  <c r="Z132" i="63"/>
  <c r="F122" i="63"/>
  <c r="F131" i="63"/>
  <c r="AF132" i="63"/>
  <c r="AA132" i="63"/>
  <c r="G130" i="63"/>
  <c r="G31" i="70"/>
  <c r="AI98" i="70"/>
  <c r="AF202" i="67"/>
  <c r="E202" i="67" s="1"/>
  <c r="AC132" i="63"/>
  <c r="H132" i="63" s="1"/>
  <c r="AC110" i="63"/>
  <c r="H110" i="63" s="1"/>
  <c r="G113" i="63"/>
  <c r="G117" i="63"/>
  <c r="G121" i="63"/>
  <c r="G125" i="63"/>
  <c r="G129" i="63"/>
  <c r="AB167" i="67"/>
  <c r="G167" i="67" s="1"/>
  <c r="G111" i="63"/>
  <c r="G115" i="63"/>
  <c r="G119" i="63"/>
  <c r="G123" i="63"/>
  <c r="G127" i="63"/>
  <c r="AG132" i="63"/>
  <c r="AG110" i="63"/>
  <c r="AB132" i="63"/>
  <c r="AB110" i="63"/>
  <c r="G114" i="63"/>
  <c r="G118" i="63"/>
  <c r="G112" i="63"/>
  <c r="G116" i="63"/>
  <c r="G120" i="63"/>
  <c r="G124" i="63"/>
  <c r="G128" i="63"/>
  <c r="F111" i="63"/>
  <c r="F115" i="63"/>
  <c r="F119" i="63"/>
  <c r="F123" i="63"/>
  <c r="F127" i="63"/>
  <c r="F114" i="63"/>
  <c r="F118" i="63"/>
  <c r="F126" i="63"/>
  <c r="F130" i="63"/>
  <c r="AA167" i="67"/>
  <c r="F167" i="67" s="1"/>
  <c r="AG202" i="67"/>
  <c r="F202" i="67" s="1"/>
  <c r="AG194" i="67"/>
  <c r="F194" i="67" s="1"/>
  <c r="AA110" i="63"/>
  <c r="F112" i="63"/>
  <c r="F116" i="63"/>
  <c r="F120" i="63"/>
  <c r="F124" i="63"/>
  <c r="F128" i="63"/>
  <c r="AF110" i="63"/>
  <c r="F113" i="63"/>
  <c r="F117" i="63"/>
  <c r="F121" i="63"/>
  <c r="F125" i="63"/>
  <c r="F129" i="63"/>
  <c r="E112" i="63"/>
  <c r="E116" i="63"/>
  <c r="E120" i="63"/>
  <c r="E124" i="63"/>
  <c r="E128" i="63"/>
  <c r="E113" i="63"/>
  <c r="E117" i="63"/>
  <c r="E121" i="63"/>
  <c r="E125" i="63"/>
  <c r="E129" i="63"/>
  <c r="Z110" i="63"/>
  <c r="E114" i="63"/>
  <c r="E118" i="63"/>
  <c r="E126" i="63"/>
  <c r="E130" i="63"/>
  <c r="Z167" i="67"/>
  <c r="E167" i="67" s="1"/>
  <c r="AE111" i="63"/>
  <c r="E111" i="63" s="1"/>
  <c r="E115" i="63"/>
  <c r="E119" i="63"/>
  <c r="E123" i="63"/>
  <c r="E127" i="63"/>
  <c r="D111" i="63"/>
  <c r="D115" i="63"/>
  <c r="D119" i="63"/>
  <c r="D123" i="63"/>
  <c r="D127" i="63"/>
  <c r="D116" i="63"/>
  <c r="D120" i="63"/>
  <c r="D124" i="63"/>
  <c r="D128" i="63"/>
  <c r="AD132" i="63"/>
  <c r="AD112" i="63"/>
  <c r="D112" i="63" s="1"/>
  <c r="D113" i="63"/>
  <c r="D117" i="63"/>
  <c r="D121" i="63"/>
  <c r="D125" i="63"/>
  <c r="D110" i="63"/>
  <c r="D114" i="63"/>
  <c r="D118" i="63"/>
  <c r="D126" i="63"/>
  <c r="D130" i="63"/>
  <c r="Y167" i="67"/>
  <c r="D167" i="67" s="1"/>
  <c r="Y132" i="63"/>
  <c r="K8" i="70"/>
  <c r="X308" i="69"/>
  <c r="G31" i="68"/>
  <c r="F31" i="68"/>
  <c r="E31" i="68"/>
  <c r="D31" i="68"/>
  <c r="AX39" i="63"/>
  <c r="BC39" i="63" s="1"/>
  <c r="BH39" i="63" s="1"/>
  <c r="AY39" i="63"/>
  <c r="BD39" i="63" s="1"/>
  <c r="BI39" i="63" s="1"/>
  <c r="AZ39" i="63"/>
  <c r="BE39" i="63" s="1"/>
  <c r="BJ39" i="63" s="1"/>
  <c r="BA39" i="63"/>
  <c r="BF39" i="63" s="1"/>
  <c r="BK39" i="63" s="1"/>
  <c r="BB39" i="63"/>
  <c r="BG39" i="63" s="1"/>
  <c r="BL39" i="63" s="1"/>
  <c r="X168" i="63"/>
  <c r="G98" i="70" l="1"/>
  <c r="E110" i="63"/>
  <c r="G132" i="63"/>
  <c r="G110" i="63"/>
  <c r="F132" i="63"/>
  <c r="F110" i="63"/>
  <c r="E132" i="63"/>
  <c r="D132" i="63"/>
  <c r="AD32" i="65" l="1"/>
  <c r="D109" i="63" l="1"/>
  <c r="Y109" i="63" s="1"/>
  <c r="AD109" i="63" s="1"/>
  <c r="E109" i="63"/>
  <c r="Z109" i="63" s="1"/>
  <c r="AE109" i="63" s="1"/>
  <c r="F109" i="63"/>
  <c r="AA109" i="63" s="1"/>
  <c r="AF109" i="63" s="1"/>
  <c r="B111" i="63"/>
  <c r="B112" i="63"/>
  <c r="X112" i="63" s="1"/>
  <c r="B113" i="63"/>
  <c r="X113" i="63" s="1"/>
  <c r="B114" i="63"/>
  <c r="B115" i="63"/>
  <c r="X115" i="63" s="1"/>
  <c r="B116" i="63"/>
  <c r="X116" i="63" s="1"/>
  <c r="B117" i="63"/>
  <c r="X117" i="63" s="1"/>
  <c r="B118" i="63"/>
  <c r="X118" i="63" s="1"/>
  <c r="B119" i="63"/>
  <c r="B120" i="63"/>
  <c r="X120" i="63" s="1"/>
  <c r="B121" i="63"/>
  <c r="X121" i="63" s="1"/>
  <c r="B122" i="63"/>
  <c r="B123" i="63"/>
  <c r="X123" i="63" s="1"/>
  <c r="B124" i="63"/>
  <c r="B125" i="63"/>
  <c r="X125" i="63" s="1"/>
  <c r="B126" i="63"/>
  <c r="B127" i="63"/>
  <c r="X127" i="63" s="1"/>
  <c r="B128" i="63"/>
  <c r="X128" i="63" s="1"/>
  <c r="B129" i="63"/>
  <c r="B130" i="63"/>
  <c r="X130" i="63" s="1"/>
  <c r="B131" i="63"/>
  <c r="X131" i="63" s="1"/>
  <c r="B132" i="63"/>
  <c r="X132" i="63" s="1"/>
  <c r="B110" i="63"/>
  <c r="X122" i="63" l="1"/>
  <c r="X114" i="63"/>
  <c r="X110" i="63"/>
  <c r="X119" i="63"/>
  <c r="X111" i="63"/>
  <c r="X126" i="63"/>
  <c r="X129" i="63"/>
  <c r="X124" i="63"/>
  <c r="D285" i="69" l="1"/>
  <c r="H31" i="68" l="1"/>
  <c r="A29" i="50" l="1"/>
  <c r="A130" i="63"/>
  <c r="A29" i="49"/>
  <c r="A29" i="63"/>
  <c r="A29" i="64"/>
  <c r="A29" i="68"/>
  <c r="A29" i="70"/>
  <c r="A29" i="69"/>
  <c r="A29" i="66"/>
  <c r="A29" i="67"/>
  <c r="A29" i="65"/>
  <c r="A29" i="62"/>
  <c r="A29" i="44"/>
  <c r="A28" i="22"/>
  <c r="A24" i="50" l="1"/>
  <c r="A11" i="50"/>
  <c r="A13" i="50"/>
  <c r="A16" i="50"/>
  <c r="A19" i="50"/>
  <c r="A26" i="50"/>
  <c r="A10" i="50"/>
  <c r="A25" i="50"/>
  <c r="A28" i="50"/>
  <c r="A12" i="50"/>
  <c r="A15" i="50"/>
  <c r="A22" i="50"/>
  <c r="A21" i="50"/>
  <c r="A27" i="50"/>
  <c r="A18" i="50"/>
  <c r="A9" i="50"/>
  <c r="A17" i="50"/>
  <c r="A20" i="50"/>
  <c r="A23" i="50"/>
  <c r="A30" i="50"/>
  <c r="A14" i="50"/>
  <c r="A114" i="63"/>
  <c r="A117" i="63"/>
  <c r="A120" i="63"/>
  <c r="A127" i="63"/>
  <c r="A111" i="63"/>
  <c r="A126" i="63"/>
  <c r="A129" i="63"/>
  <c r="A113" i="63"/>
  <c r="A116" i="63"/>
  <c r="A123" i="63"/>
  <c r="A9" i="67"/>
  <c r="A122" i="63"/>
  <c r="A125" i="63"/>
  <c r="A128" i="63"/>
  <c r="A112" i="63"/>
  <c r="A119" i="63"/>
  <c r="A118" i="63"/>
  <c r="A121" i="63"/>
  <c r="A124" i="63"/>
  <c r="A131" i="63"/>
  <c r="A115" i="63"/>
  <c r="A110" i="63"/>
  <c r="A9" i="64"/>
  <c r="A8" i="22"/>
  <c r="A9" i="66"/>
  <c r="A9" i="63"/>
  <c r="A9" i="44"/>
  <c r="A9" i="62"/>
  <c r="A9" i="69"/>
  <c r="A9" i="70"/>
  <c r="A9" i="49"/>
  <c r="A9" i="65"/>
  <c r="A9" i="68"/>
  <c r="A11" i="67"/>
  <c r="A11" i="70"/>
  <c r="A11" i="66"/>
  <c r="A11" i="64"/>
  <c r="A11" i="63"/>
  <c r="A11" i="69"/>
  <c r="A11" i="49"/>
  <c r="A11" i="68"/>
  <c r="A11" i="62"/>
  <c r="A11" i="65"/>
  <c r="A10" i="22"/>
  <c r="A11" i="44"/>
  <c r="A27" i="68"/>
  <c r="A27" i="67"/>
  <c r="A27" i="70"/>
  <c r="A27" i="69"/>
  <c r="A27" i="64"/>
  <c r="A27" i="63"/>
  <c r="A27" i="49"/>
  <c r="A27" i="66"/>
  <c r="A27" i="65"/>
  <c r="A26" i="22"/>
  <c r="A27" i="44"/>
  <c r="A27" i="62"/>
  <c r="A17" i="70"/>
  <c r="A17" i="69"/>
  <c r="A17" i="68"/>
  <c r="A17" i="65"/>
  <c r="A17" i="62"/>
  <c r="A16" i="22"/>
  <c r="A17" i="44"/>
  <c r="A17" i="63"/>
  <c r="A17" i="66"/>
  <c r="A17" i="67"/>
  <c r="A17" i="64"/>
  <c r="A17" i="49"/>
  <c r="A23" i="68"/>
  <c r="A23" i="67"/>
  <c r="A23" i="70"/>
  <c r="A23" i="69"/>
  <c r="A23" i="66"/>
  <c r="A23" i="64"/>
  <c r="A23" i="63"/>
  <c r="A23" i="62"/>
  <c r="A23" i="49"/>
  <c r="A22" i="22"/>
  <c r="A23" i="44"/>
  <c r="A23" i="65"/>
  <c r="A30" i="70"/>
  <c r="A30" i="69"/>
  <c r="A30" i="68"/>
  <c r="A30" i="67"/>
  <c r="A30" i="65"/>
  <c r="A30" i="62"/>
  <c r="A30" i="66"/>
  <c r="A30" i="64"/>
  <c r="A30" i="63"/>
  <c r="A30" i="49"/>
  <c r="A30" i="44"/>
  <c r="A29" i="22"/>
  <c r="A14" i="70"/>
  <c r="A14" i="69"/>
  <c r="A14" i="67"/>
  <c r="A14" i="65"/>
  <c r="A14" i="62"/>
  <c r="A14" i="68"/>
  <c r="A14" i="66"/>
  <c r="A14" i="64"/>
  <c r="A14" i="63"/>
  <c r="A14" i="49"/>
  <c r="A14" i="44"/>
  <c r="A13" i="22"/>
  <c r="A24" i="70"/>
  <c r="A24" i="69"/>
  <c r="A24" i="66"/>
  <c r="A24" i="67"/>
  <c r="A24" i="64"/>
  <c r="A24" i="63"/>
  <c r="A24" i="68"/>
  <c r="A24" i="65"/>
  <c r="A24" i="62"/>
  <c r="A23" i="22"/>
  <c r="A24" i="49"/>
  <c r="A24" i="44"/>
  <c r="A20" i="69"/>
  <c r="A20" i="68"/>
  <c r="A20" i="66"/>
  <c r="A20" i="64"/>
  <c r="A20" i="63"/>
  <c r="A20" i="70"/>
  <c r="A20" i="67"/>
  <c r="A20" i="65"/>
  <c r="A20" i="62"/>
  <c r="A19" i="22"/>
  <c r="A20" i="49"/>
  <c r="A20" i="44"/>
  <c r="A13" i="70"/>
  <c r="A13" i="69"/>
  <c r="A13" i="68"/>
  <c r="A13" i="67"/>
  <c r="A13" i="65"/>
  <c r="A13" i="62"/>
  <c r="A13" i="66"/>
  <c r="A12" i="22"/>
  <c r="A13" i="44"/>
  <c r="A13" i="63"/>
  <c r="A13" i="49"/>
  <c r="A13" i="64"/>
  <c r="A16" i="70"/>
  <c r="A16" i="68"/>
  <c r="A16" i="69"/>
  <c r="A16" i="67"/>
  <c r="A16" i="66"/>
  <c r="A16" i="64"/>
  <c r="A16" i="63"/>
  <c r="A16" i="65"/>
  <c r="A16" i="62"/>
  <c r="A15" i="22"/>
  <c r="A16" i="49"/>
  <c r="A16" i="44"/>
  <c r="A19" i="67"/>
  <c r="A19" i="69"/>
  <c r="A19" i="66"/>
  <c r="A19" i="64"/>
  <c r="A19" i="63"/>
  <c r="A19" i="70"/>
  <c r="A19" i="68"/>
  <c r="A19" i="65"/>
  <c r="A19" i="49"/>
  <c r="A19" i="62"/>
  <c r="A18" i="22"/>
  <c r="A19" i="44"/>
  <c r="A26" i="70"/>
  <c r="A26" i="69"/>
  <c r="A26" i="68"/>
  <c r="A26" i="67"/>
  <c r="A26" i="66"/>
  <c r="A26" i="65"/>
  <c r="A26" i="62"/>
  <c r="A26" i="64"/>
  <c r="A26" i="63"/>
  <c r="A26" i="49"/>
  <c r="A26" i="44"/>
  <c r="A25" i="22"/>
  <c r="A10" i="70"/>
  <c r="A10" i="69"/>
  <c r="A10" i="67"/>
  <c r="A10" i="68"/>
  <c r="A10" i="65"/>
  <c r="A10" i="62"/>
  <c r="A10" i="66"/>
  <c r="A10" i="64"/>
  <c r="A10" i="63"/>
  <c r="A10" i="49"/>
  <c r="A10" i="44"/>
  <c r="A9" i="22"/>
  <c r="A21" i="70"/>
  <c r="A21" i="69"/>
  <c r="A21" i="68"/>
  <c r="A21" i="67"/>
  <c r="A21" i="65"/>
  <c r="A21" i="62"/>
  <c r="A21" i="63"/>
  <c r="A20" i="22"/>
  <c r="A21" i="44"/>
  <c r="A21" i="64"/>
  <c r="A21" i="66"/>
  <c r="A21" i="49"/>
  <c r="A18" i="70"/>
  <c r="A18" i="67"/>
  <c r="A18" i="68"/>
  <c r="A18" i="65"/>
  <c r="A18" i="62"/>
  <c r="A18" i="66"/>
  <c r="A18" i="64"/>
  <c r="A18" i="63"/>
  <c r="A18" i="49"/>
  <c r="A18" i="44"/>
  <c r="A18" i="69"/>
  <c r="A17" i="22"/>
  <c r="A25" i="70"/>
  <c r="A25" i="69"/>
  <c r="A25" i="66"/>
  <c r="A25" i="68"/>
  <c r="A25" i="65"/>
  <c r="A25" i="62"/>
  <c r="A25" i="64"/>
  <c r="A24" i="22"/>
  <c r="A25" i="44"/>
  <c r="A25" i="67"/>
  <c r="A25" i="49"/>
  <c r="A25" i="63"/>
  <c r="A28" i="66"/>
  <c r="A28" i="68"/>
  <c r="A28" i="64"/>
  <c r="A28" i="63"/>
  <c r="A28" i="67"/>
  <c r="A28" i="65"/>
  <c r="A28" i="62"/>
  <c r="A28" i="69"/>
  <c r="A27" i="22"/>
  <c r="A28" i="44"/>
  <c r="A28" i="70"/>
  <c r="A28" i="49"/>
  <c r="A12" i="68"/>
  <c r="A12" i="66"/>
  <c r="A12" i="64"/>
  <c r="A12" i="63"/>
  <c r="A12" i="69"/>
  <c r="A12" i="67"/>
  <c r="A12" i="65"/>
  <c r="A12" i="62"/>
  <c r="A11" i="22"/>
  <c r="A12" i="70"/>
  <c r="A12" i="49"/>
  <c r="A12" i="44"/>
  <c r="A15" i="69"/>
  <c r="A15" i="67"/>
  <c r="A15" i="70"/>
  <c r="A15" i="68"/>
  <c r="A15" i="66"/>
  <c r="A15" i="64"/>
  <c r="A15" i="63"/>
  <c r="A15" i="49"/>
  <c r="A15" i="65"/>
  <c r="A15" i="62"/>
  <c r="A14" i="22"/>
  <c r="A15" i="44"/>
  <c r="A22" i="70"/>
  <c r="A22" i="67"/>
  <c r="A22" i="65"/>
  <c r="A22" i="62"/>
  <c r="A22" i="69"/>
  <c r="A22" i="68"/>
  <c r="A22" i="66"/>
  <c r="A22" i="64"/>
  <c r="A22" i="63"/>
  <c r="A22" i="49"/>
  <c r="A22" i="44"/>
  <c r="A21" i="22"/>
  <c r="AD146" i="63" l="1"/>
  <c r="AD147" i="63"/>
  <c r="AD148" i="63"/>
  <c r="AD149" i="63"/>
  <c r="AD150" i="63"/>
  <c r="AD151" i="63"/>
  <c r="AD152" i="63"/>
  <c r="AD153" i="63"/>
  <c r="AD154" i="63"/>
  <c r="AD155" i="63"/>
  <c r="AD156" i="63"/>
  <c r="AD157" i="63"/>
  <c r="AD159" i="63"/>
  <c r="AD160" i="63"/>
  <c r="AD161" i="63"/>
  <c r="AD162" i="63"/>
  <c r="AD163" i="63"/>
  <c r="AD164" i="63"/>
  <c r="AD165" i="63"/>
  <c r="AD166" i="63"/>
  <c r="AL39" i="67" l="1"/>
  <c r="AD158" i="63" l="1"/>
  <c r="H75" i="70" l="1"/>
  <c r="AD75" i="70" s="1"/>
  <c r="AJ75" i="70" s="1"/>
  <c r="G75" i="70"/>
  <c r="F75" i="70"/>
  <c r="E75" i="70"/>
  <c r="D75" i="70"/>
  <c r="Z75" i="70" s="1"/>
  <c r="I7" i="70"/>
  <c r="O8" i="70"/>
  <c r="P7" i="70" s="1"/>
  <c r="N8" i="70"/>
  <c r="M8" i="70"/>
  <c r="L8" i="70"/>
  <c r="F144" i="69"/>
  <c r="F179" i="69" s="1"/>
  <c r="H109" i="69"/>
  <c r="H144" i="69" s="1"/>
  <c r="H179" i="69" s="1"/>
  <c r="G109" i="69"/>
  <c r="G144" i="69" s="1"/>
  <c r="G179" i="69" s="1"/>
  <c r="F109" i="69"/>
  <c r="E109" i="69"/>
  <c r="E144" i="69" s="1"/>
  <c r="E179" i="69" s="1"/>
  <c r="D109" i="69"/>
  <c r="D144" i="69" s="1"/>
  <c r="D179" i="69" s="1"/>
  <c r="O8" i="69"/>
  <c r="P7" i="69" s="1"/>
  <c r="N8" i="69"/>
  <c r="M8" i="69"/>
  <c r="L8" i="69"/>
  <c r="K8" i="69"/>
  <c r="O8" i="68"/>
  <c r="P7" i="68" s="1"/>
  <c r="N8" i="68"/>
  <c r="M8" i="68"/>
  <c r="L8" i="68"/>
  <c r="K8" i="68"/>
  <c r="H179" i="67"/>
  <c r="G179" i="67"/>
  <c r="F179" i="67"/>
  <c r="E179" i="67"/>
  <c r="D179" i="67"/>
  <c r="Y179" i="67" s="1"/>
  <c r="AE179" i="67" s="1"/>
  <c r="H144" i="67"/>
  <c r="G144" i="67"/>
  <c r="F144" i="67"/>
  <c r="E144" i="67"/>
  <c r="D144" i="67"/>
  <c r="H109" i="67"/>
  <c r="G109" i="67"/>
  <c r="F109" i="67"/>
  <c r="E109" i="67"/>
  <c r="D109" i="67"/>
  <c r="O8" i="67"/>
  <c r="P7" i="67" s="1"/>
  <c r="N8" i="67"/>
  <c r="M8" i="67"/>
  <c r="L8" i="67"/>
  <c r="K8" i="67"/>
  <c r="I7" i="68"/>
  <c r="I7" i="67"/>
  <c r="H144" i="66"/>
  <c r="G144" i="66"/>
  <c r="F144" i="66"/>
  <c r="E144" i="66"/>
  <c r="D144" i="66"/>
  <c r="H109" i="66"/>
  <c r="G109" i="66"/>
  <c r="F109" i="66"/>
  <c r="E109" i="66"/>
  <c r="D109" i="66"/>
  <c r="D110" i="66"/>
  <c r="O8" i="66"/>
  <c r="P7" i="66" s="1"/>
  <c r="N8" i="66"/>
  <c r="M8" i="66"/>
  <c r="L8" i="66"/>
  <c r="K8" i="66"/>
  <c r="H109" i="63"/>
  <c r="AC109" i="63" s="1"/>
  <c r="AH109" i="63" s="1"/>
  <c r="G109" i="63"/>
  <c r="AB109" i="63" s="1"/>
  <c r="AG109" i="63" s="1"/>
  <c r="D110" i="62"/>
  <c r="E109" i="62"/>
  <c r="F109" i="62"/>
  <c r="G109" i="62"/>
  <c r="H109" i="62"/>
  <c r="D109" i="62"/>
  <c r="AC145" i="70" l="1"/>
  <c r="AA145" i="70"/>
  <c r="AB145" i="70"/>
  <c r="Z145" i="70"/>
  <c r="AD145" i="70"/>
  <c r="AF75" i="70"/>
  <c r="Y144" i="67"/>
  <c r="AE144" i="67" s="1"/>
  <c r="D132" i="62"/>
  <c r="H109" i="49" l="1"/>
  <c r="G109" i="49"/>
  <c r="AB107" i="49" s="1"/>
  <c r="F109" i="49"/>
  <c r="AA107" i="49" s="1"/>
  <c r="E109" i="49"/>
  <c r="Z107" i="49" s="1"/>
  <c r="D109" i="49"/>
  <c r="Y107" i="49" s="1"/>
  <c r="L8" i="65"/>
  <c r="M8" i="65"/>
  <c r="N8" i="65"/>
  <c r="O8" i="65"/>
  <c r="P7" i="65" s="1"/>
  <c r="K8" i="65"/>
  <c r="L8" i="64"/>
  <c r="M8" i="64"/>
  <c r="N8" i="64"/>
  <c r="O8" i="64"/>
  <c r="P7" i="64" s="1"/>
  <c r="K8" i="64"/>
  <c r="P7" i="62"/>
  <c r="R9" i="49"/>
  <c r="S9" i="49" s="1"/>
  <c r="L8" i="63"/>
  <c r="M8" i="63"/>
  <c r="N8" i="63"/>
  <c r="O8" i="63"/>
  <c r="P7" i="63" s="1"/>
  <c r="K8" i="63"/>
  <c r="I7" i="49"/>
  <c r="I7" i="62"/>
  <c r="I7" i="63"/>
  <c r="I7" i="64"/>
  <c r="I7" i="65"/>
  <c r="I7" i="66"/>
  <c r="I7" i="69"/>
  <c r="L8" i="62"/>
  <c r="M8" i="62"/>
  <c r="N8" i="62"/>
  <c r="O8" i="62"/>
  <c r="K8" i="62"/>
  <c r="L8" i="49"/>
  <c r="M8" i="49"/>
  <c r="N8" i="49"/>
  <c r="O8" i="49"/>
  <c r="P7" i="49" s="1"/>
  <c r="K8" i="49"/>
  <c r="D287" i="69" l="1"/>
  <c r="E287" i="69"/>
  <c r="F287" i="69"/>
  <c r="G287" i="69"/>
  <c r="H287" i="69"/>
  <c r="D288" i="69"/>
  <c r="E288" i="69"/>
  <c r="F288" i="69"/>
  <c r="G288" i="69"/>
  <c r="H288" i="69"/>
  <c r="D289" i="69"/>
  <c r="E289" i="69"/>
  <c r="F289" i="69"/>
  <c r="G289" i="69"/>
  <c r="H289" i="69"/>
  <c r="D290" i="69"/>
  <c r="E290" i="69"/>
  <c r="F290" i="69"/>
  <c r="G290" i="69"/>
  <c r="H290" i="69"/>
  <c r="D291" i="69"/>
  <c r="E291" i="69"/>
  <c r="F291" i="69"/>
  <c r="G291" i="69"/>
  <c r="H291" i="69"/>
  <c r="D292" i="69"/>
  <c r="E292" i="69"/>
  <c r="F292" i="69"/>
  <c r="G292" i="69"/>
  <c r="H292" i="69"/>
  <c r="D293" i="69"/>
  <c r="E293" i="69"/>
  <c r="F293" i="69"/>
  <c r="G293" i="69"/>
  <c r="H293" i="69"/>
  <c r="D294" i="69"/>
  <c r="E294" i="69"/>
  <c r="F294" i="69"/>
  <c r="G294" i="69"/>
  <c r="H294" i="69"/>
  <c r="D295" i="69"/>
  <c r="E295" i="69"/>
  <c r="F295" i="69"/>
  <c r="G295" i="69"/>
  <c r="H295" i="69"/>
  <c r="D296" i="69"/>
  <c r="E296" i="69"/>
  <c r="F296" i="69"/>
  <c r="G296" i="69"/>
  <c r="H296" i="69"/>
  <c r="D297" i="69"/>
  <c r="E297" i="69"/>
  <c r="F297" i="69"/>
  <c r="G297" i="69"/>
  <c r="H297" i="69"/>
  <c r="D298" i="69"/>
  <c r="E298" i="69"/>
  <c r="F298" i="69"/>
  <c r="G298" i="69"/>
  <c r="H298" i="69"/>
  <c r="D299" i="69"/>
  <c r="E299" i="69"/>
  <c r="F299" i="69"/>
  <c r="G299" i="69"/>
  <c r="H299" i="69"/>
  <c r="D300" i="69"/>
  <c r="E300" i="69"/>
  <c r="F300" i="69"/>
  <c r="G300" i="69"/>
  <c r="H300" i="69"/>
  <c r="D301" i="69"/>
  <c r="E301" i="69"/>
  <c r="F301" i="69"/>
  <c r="G301" i="69"/>
  <c r="H301" i="69"/>
  <c r="D302" i="69"/>
  <c r="E302" i="69"/>
  <c r="F302" i="69"/>
  <c r="G302" i="69"/>
  <c r="H302" i="69"/>
  <c r="D303" i="69"/>
  <c r="E303" i="69"/>
  <c r="F303" i="69"/>
  <c r="G303" i="69"/>
  <c r="H303" i="69"/>
  <c r="D304" i="69"/>
  <c r="E304" i="69"/>
  <c r="F304" i="69"/>
  <c r="G304" i="69"/>
  <c r="H304" i="69"/>
  <c r="D305" i="69"/>
  <c r="E305" i="69"/>
  <c r="F305" i="69"/>
  <c r="G305" i="69"/>
  <c r="H305" i="69"/>
  <c r="D306" i="69"/>
  <c r="E306" i="69"/>
  <c r="F306" i="69"/>
  <c r="G306" i="69"/>
  <c r="H306" i="69"/>
  <c r="D307" i="69"/>
  <c r="E307" i="69"/>
  <c r="F307" i="69"/>
  <c r="G307" i="69"/>
  <c r="H307" i="69"/>
  <c r="D308" i="69"/>
  <c r="E308" i="69"/>
  <c r="F308" i="69"/>
  <c r="G308" i="69"/>
  <c r="H308" i="69"/>
  <c r="D286" i="69"/>
  <c r="E286" i="69"/>
  <c r="F286" i="69"/>
  <c r="G286" i="69"/>
  <c r="H286" i="69"/>
  <c r="E285" i="69"/>
  <c r="F285" i="69"/>
  <c r="G285" i="69"/>
  <c r="H285" i="69"/>
  <c r="AE251" i="69"/>
  <c r="J251" i="69" s="1"/>
  <c r="AE252" i="69"/>
  <c r="L252" i="69" s="1"/>
  <c r="AE253" i="69"/>
  <c r="M253" i="69" s="1"/>
  <c r="AE254" i="69"/>
  <c r="N254" i="69" s="1"/>
  <c r="AE255" i="69"/>
  <c r="J255" i="69" s="1"/>
  <c r="AE256" i="69"/>
  <c r="L256" i="69" s="1"/>
  <c r="AE257" i="69"/>
  <c r="M257" i="69" s="1"/>
  <c r="AE258" i="69"/>
  <c r="N258" i="69" s="1"/>
  <c r="AE259" i="69"/>
  <c r="J259" i="69" s="1"/>
  <c r="AE260" i="69"/>
  <c r="L260" i="69" s="1"/>
  <c r="AE261" i="69"/>
  <c r="M261" i="69" s="1"/>
  <c r="AE262" i="69"/>
  <c r="N262" i="69" s="1"/>
  <c r="AE263" i="69"/>
  <c r="J263" i="69" s="1"/>
  <c r="AE264" i="69"/>
  <c r="L264" i="69" s="1"/>
  <c r="AE265" i="69"/>
  <c r="M265" i="69" s="1"/>
  <c r="AE266" i="69"/>
  <c r="N266" i="69" s="1"/>
  <c r="AE267" i="69"/>
  <c r="J267" i="69" s="1"/>
  <c r="AE268" i="69"/>
  <c r="L268" i="69" s="1"/>
  <c r="AE269" i="69"/>
  <c r="M269" i="69" s="1"/>
  <c r="AE270" i="69"/>
  <c r="N270" i="69" s="1"/>
  <c r="AE271" i="69"/>
  <c r="J271" i="69" s="1"/>
  <c r="AE273" i="69"/>
  <c r="M273" i="69" s="1"/>
  <c r="L250" i="69"/>
  <c r="I273" i="69" l="1"/>
  <c r="I269" i="69"/>
  <c r="I265" i="69"/>
  <c r="I261" i="69"/>
  <c r="I257" i="69"/>
  <c r="I253" i="69"/>
  <c r="J252" i="69"/>
  <c r="J256" i="69"/>
  <c r="J260" i="69"/>
  <c r="J264" i="69"/>
  <c r="J268" i="69"/>
  <c r="N250" i="69"/>
  <c r="L273" i="69"/>
  <c r="N271" i="69"/>
  <c r="M270" i="69"/>
  <c r="L269" i="69"/>
  <c r="N267" i="69"/>
  <c r="M266" i="69"/>
  <c r="L265" i="69"/>
  <c r="N263" i="69"/>
  <c r="M262" i="69"/>
  <c r="L261" i="69"/>
  <c r="N259" i="69"/>
  <c r="M258" i="69"/>
  <c r="L257" i="69"/>
  <c r="N255" i="69"/>
  <c r="M254" i="69"/>
  <c r="L253" i="69"/>
  <c r="N251" i="69"/>
  <c r="I268" i="69"/>
  <c r="I264" i="69"/>
  <c r="I260" i="69"/>
  <c r="I256" i="69"/>
  <c r="I252" i="69"/>
  <c r="J253" i="69"/>
  <c r="J257" i="69"/>
  <c r="J261" i="69"/>
  <c r="J265" i="69"/>
  <c r="J269" i="69"/>
  <c r="J273" i="69"/>
  <c r="M250" i="69"/>
  <c r="M271" i="69"/>
  <c r="L270" i="69"/>
  <c r="N268" i="69"/>
  <c r="M267" i="69"/>
  <c r="L266" i="69"/>
  <c r="N264" i="69"/>
  <c r="M263" i="69"/>
  <c r="L262" i="69"/>
  <c r="N260" i="69"/>
  <c r="M259" i="69"/>
  <c r="L258" i="69"/>
  <c r="N256" i="69"/>
  <c r="M255" i="69"/>
  <c r="L254" i="69"/>
  <c r="N252" i="69"/>
  <c r="M251" i="69"/>
  <c r="I271" i="69"/>
  <c r="I267" i="69"/>
  <c r="I263" i="69"/>
  <c r="I259" i="69"/>
  <c r="I255" i="69"/>
  <c r="I251" i="69"/>
  <c r="J254" i="69"/>
  <c r="J258" i="69"/>
  <c r="J262" i="69"/>
  <c r="J266" i="69"/>
  <c r="J270" i="69"/>
  <c r="J250" i="69"/>
  <c r="N273" i="69"/>
  <c r="L271" i="69"/>
  <c r="N269" i="69"/>
  <c r="M268" i="69"/>
  <c r="L267" i="69"/>
  <c r="N265" i="69"/>
  <c r="M264" i="69"/>
  <c r="L263" i="69"/>
  <c r="N261" i="69"/>
  <c r="M260" i="69"/>
  <c r="L259" i="69"/>
  <c r="N257" i="69"/>
  <c r="M256" i="69"/>
  <c r="L255" i="69"/>
  <c r="N253" i="69"/>
  <c r="M252" i="69"/>
  <c r="L251" i="69"/>
  <c r="I250" i="69"/>
  <c r="I270" i="69"/>
  <c r="I266" i="69"/>
  <c r="I262" i="69"/>
  <c r="I258" i="69"/>
  <c r="I254" i="69"/>
  <c r="AC214" i="69" l="1"/>
  <c r="AB214" i="69"/>
  <c r="AA214" i="69"/>
  <c r="Z214" i="69"/>
  <c r="Y214" i="69"/>
  <c r="AC179" i="69" l="1"/>
  <c r="B99" i="70" l="1"/>
  <c r="B134" i="70" s="1"/>
  <c r="B98" i="70"/>
  <c r="B133" i="70" s="1"/>
  <c r="B97" i="70"/>
  <c r="B132" i="70" s="1"/>
  <c r="B167" i="70" s="1"/>
  <c r="A167" i="70" s="1"/>
  <c r="B96" i="70"/>
  <c r="B131" i="70" s="1"/>
  <c r="B166" i="70" s="1"/>
  <c r="A166" i="70" s="1"/>
  <c r="B95" i="70"/>
  <c r="B130" i="70" s="1"/>
  <c r="B165" i="70" s="1"/>
  <c r="A165" i="70" s="1"/>
  <c r="B94" i="70"/>
  <c r="B129" i="70" s="1"/>
  <c r="B164" i="70" s="1"/>
  <c r="A164" i="70" s="1"/>
  <c r="B93" i="70"/>
  <c r="B128" i="70" s="1"/>
  <c r="B163" i="70" s="1"/>
  <c r="A163" i="70" s="1"/>
  <c r="B92" i="70"/>
  <c r="B127" i="70" s="1"/>
  <c r="B162" i="70" s="1"/>
  <c r="A162" i="70" s="1"/>
  <c r="B91" i="70"/>
  <c r="B126" i="70" s="1"/>
  <c r="B161" i="70" s="1"/>
  <c r="A161" i="70" s="1"/>
  <c r="B90" i="70"/>
  <c r="B125" i="70" s="1"/>
  <c r="B160" i="70" s="1"/>
  <c r="A160" i="70" s="1"/>
  <c r="B89" i="70"/>
  <c r="B124" i="70" s="1"/>
  <c r="B159" i="70" s="1"/>
  <c r="A159" i="70" s="1"/>
  <c r="B88" i="70"/>
  <c r="B123" i="70" s="1"/>
  <c r="B158" i="70" s="1"/>
  <c r="A158" i="70" s="1"/>
  <c r="B87" i="70"/>
  <c r="B122" i="70" s="1"/>
  <c r="B157" i="70" s="1"/>
  <c r="A157" i="70" s="1"/>
  <c r="B86" i="70"/>
  <c r="B121" i="70" s="1"/>
  <c r="B156" i="70" s="1"/>
  <c r="A156" i="70" s="1"/>
  <c r="B85" i="70"/>
  <c r="B120" i="70" s="1"/>
  <c r="B155" i="70" s="1"/>
  <c r="A155" i="70" s="1"/>
  <c r="B84" i="70"/>
  <c r="B119" i="70" s="1"/>
  <c r="B154" i="70" s="1"/>
  <c r="A154" i="70" s="1"/>
  <c r="B83" i="70"/>
  <c r="B118" i="70" s="1"/>
  <c r="B153" i="70" s="1"/>
  <c r="A153" i="70" s="1"/>
  <c r="B82" i="70"/>
  <c r="B117" i="70" s="1"/>
  <c r="B152" i="70" s="1"/>
  <c r="A152" i="70" s="1"/>
  <c r="B81" i="70"/>
  <c r="B116" i="70" s="1"/>
  <c r="B151" i="70" s="1"/>
  <c r="A151" i="70" s="1"/>
  <c r="B80" i="70"/>
  <c r="B115" i="70" s="1"/>
  <c r="B150" i="70" s="1"/>
  <c r="A150" i="70" s="1"/>
  <c r="B79" i="70"/>
  <c r="B114" i="70" s="1"/>
  <c r="B149" i="70" s="1"/>
  <c r="A149" i="70" s="1"/>
  <c r="B78" i="70"/>
  <c r="B113" i="70" s="1"/>
  <c r="B148" i="70" s="1"/>
  <c r="A148" i="70" s="1"/>
  <c r="B77" i="70"/>
  <c r="B112" i="70" s="1"/>
  <c r="B147" i="70" s="1"/>
  <c r="A147" i="70" s="1"/>
  <c r="B76" i="70"/>
  <c r="B111" i="70" s="1"/>
  <c r="AC75" i="70"/>
  <c r="AB75" i="70"/>
  <c r="AA75" i="70"/>
  <c r="AC70" i="70"/>
  <c r="AB70" i="70"/>
  <c r="AA70" i="70"/>
  <c r="Z70" i="70"/>
  <c r="Y70" i="70"/>
  <c r="AC67" i="70"/>
  <c r="AC66" i="70"/>
  <c r="AC65" i="70"/>
  <c r="AB65" i="70"/>
  <c r="Z65" i="70"/>
  <c r="AL64" i="70"/>
  <c r="Z64" i="70"/>
  <c r="AL63" i="70"/>
  <c r="AB63" i="70"/>
  <c r="Z63" i="70"/>
  <c r="AL62" i="70"/>
  <c r="AB62" i="70"/>
  <c r="Z62" i="70"/>
  <c r="AL61" i="70"/>
  <c r="AB61" i="70"/>
  <c r="Z61" i="70"/>
  <c r="AL60" i="70"/>
  <c r="AB60" i="70"/>
  <c r="Z60" i="70"/>
  <c r="AL59" i="70"/>
  <c r="AB59" i="70"/>
  <c r="Z59" i="70"/>
  <c r="AL58" i="70"/>
  <c r="AB58" i="70"/>
  <c r="Z58" i="70"/>
  <c r="AL57" i="70"/>
  <c r="AB57" i="70"/>
  <c r="Z57" i="70"/>
  <c r="AL56" i="70"/>
  <c r="AB56" i="70"/>
  <c r="Z56" i="70"/>
  <c r="AL55" i="70"/>
  <c r="AB55" i="70"/>
  <c r="Z55" i="70"/>
  <c r="AL54" i="70"/>
  <c r="AB54" i="70"/>
  <c r="Z54" i="70"/>
  <c r="AL53" i="70"/>
  <c r="AB53" i="70"/>
  <c r="Z53" i="70"/>
  <c r="AL52" i="70"/>
  <c r="AB52" i="70"/>
  <c r="Z52" i="70"/>
  <c r="AL51" i="70"/>
  <c r="AB51" i="70"/>
  <c r="Z51" i="70"/>
  <c r="AL50" i="70"/>
  <c r="AB50" i="70"/>
  <c r="Z50" i="70"/>
  <c r="AL49" i="70"/>
  <c r="AB49" i="70"/>
  <c r="Z49" i="70"/>
  <c r="AL48" i="70"/>
  <c r="AB48" i="70"/>
  <c r="Z48" i="70"/>
  <c r="AL47" i="70"/>
  <c r="AB47" i="70"/>
  <c r="Z47" i="70"/>
  <c r="AL46" i="70"/>
  <c r="AB46" i="70"/>
  <c r="Z46" i="70"/>
  <c r="AL45" i="70"/>
  <c r="AB45" i="70"/>
  <c r="Z45" i="70"/>
  <c r="AL44" i="70"/>
  <c r="AB44" i="70"/>
  <c r="Z44" i="70"/>
  <c r="AL43" i="70"/>
  <c r="AB43" i="70"/>
  <c r="Z43" i="70"/>
  <c r="AL42" i="70"/>
  <c r="AB42" i="70"/>
  <c r="Z42" i="70"/>
  <c r="AL41" i="70"/>
  <c r="AW40" i="70"/>
  <c r="BB40" i="70" s="1"/>
  <c r="BG40" i="70" s="1"/>
  <c r="AV40" i="70"/>
  <c r="BA40" i="70" s="1"/>
  <c r="BF40" i="70" s="1"/>
  <c r="AU40" i="70"/>
  <c r="AZ40" i="70" s="1"/>
  <c r="BE40" i="70" s="1"/>
  <c r="AT40" i="70"/>
  <c r="AY40" i="70" s="1"/>
  <c r="BD40" i="70" s="1"/>
  <c r="AS40" i="70"/>
  <c r="AX40" i="70" s="1"/>
  <c r="BC40" i="70" s="1"/>
  <c r="AQ40" i="70"/>
  <c r="AP40" i="70"/>
  <c r="AO40" i="70"/>
  <c r="AN40" i="70"/>
  <c r="AM40" i="70"/>
  <c r="AE32" i="70"/>
  <c r="AD32" i="70"/>
  <c r="AC32" i="70"/>
  <c r="AB32" i="70"/>
  <c r="AA32" i="70"/>
  <c r="Y32" i="70"/>
  <c r="Y31" i="70"/>
  <c r="AB31" i="70"/>
  <c r="L31" i="70" s="1"/>
  <c r="AA31" i="70"/>
  <c r="K31" i="70" s="1"/>
  <c r="AE30" i="70"/>
  <c r="AD30" i="70"/>
  <c r="AC30" i="70"/>
  <c r="AB30" i="70"/>
  <c r="AA30" i="70"/>
  <c r="Y30" i="70"/>
  <c r="R30" i="70"/>
  <c r="AI27" i="70"/>
  <c r="P30" i="70" s="1"/>
  <c r="AE29" i="70"/>
  <c r="AD29" i="70"/>
  <c r="AC29" i="70"/>
  <c r="AB29" i="70"/>
  <c r="AA29" i="70"/>
  <c r="Y29" i="70"/>
  <c r="R29" i="70"/>
  <c r="AE28" i="70"/>
  <c r="AD28" i="70"/>
  <c r="AC28" i="70"/>
  <c r="AB28" i="70"/>
  <c r="AA28" i="70"/>
  <c r="Y28" i="70"/>
  <c r="R28" i="70"/>
  <c r="AE27" i="70"/>
  <c r="AD27" i="70"/>
  <c r="AC27" i="70"/>
  <c r="AB27" i="70"/>
  <c r="AA27" i="70"/>
  <c r="Y27" i="70"/>
  <c r="R27" i="70"/>
  <c r="AE26" i="70"/>
  <c r="AD26" i="70"/>
  <c r="AC26" i="70"/>
  <c r="AB26" i="70"/>
  <c r="AA26" i="70"/>
  <c r="Y26" i="70"/>
  <c r="R26" i="70"/>
  <c r="AE25" i="70"/>
  <c r="AD25" i="70"/>
  <c r="AC25" i="70"/>
  <c r="AB25" i="70"/>
  <c r="AA25" i="70"/>
  <c r="Y25" i="70"/>
  <c r="R25" i="70"/>
  <c r="AE24" i="70"/>
  <c r="AD24" i="70"/>
  <c r="AC24" i="70"/>
  <c r="AB24" i="70"/>
  <c r="AA24" i="70"/>
  <c r="Y24" i="70"/>
  <c r="R24" i="70"/>
  <c r="AE23" i="70"/>
  <c r="AD23" i="70"/>
  <c r="AC23" i="70"/>
  <c r="AB23" i="70"/>
  <c r="AA23" i="70"/>
  <c r="Y23" i="70"/>
  <c r="R23" i="70"/>
  <c r="AE22" i="70"/>
  <c r="AD22" i="70"/>
  <c r="AC22" i="70"/>
  <c r="AB22" i="70"/>
  <c r="AA22" i="70"/>
  <c r="Y22" i="70"/>
  <c r="R22" i="70"/>
  <c r="AE21" i="70"/>
  <c r="AD21" i="70"/>
  <c r="AC21" i="70"/>
  <c r="AB21" i="70"/>
  <c r="AA21" i="70"/>
  <c r="Y21" i="70"/>
  <c r="R21" i="70"/>
  <c r="AE20" i="70"/>
  <c r="AD20" i="70"/>
  <c r="AC20" i="70"/>
  <c r="AB20" i="70"/>
  <c r="AA20" i="70"/>
  <c r="Y20" i="70"/>
  <c r="R20" i="70"/>
  <c r="AE19" i="70"/>
  <c r="AD19" i="70"/>
  <c r="AC19" i="70"/>
  <c r="AB19" i="70"/>
  <c r="AA19" i="70"/>
  <c r="Y19" i="70"/>
  <c r="R19" i="70"/>
  <c r="AE18" i="70"/>
  <c r="AD18" i="70"/>
  <c r="AC18" i="70"/>
  <c r="AB18" i="70"/>
  <c r="AA18" i="70"/>
  <c r="Y18" i="70"/>
  <c r="R18" i="70"/>
  <c r="AE17" i="70"/>
  <c r="AD17" i="70"/>
  <c r="AC17" i="70"/>
  <c r="AB17" i="70"/>
  <c r="AA17" i="70"/>
  <c r="Y17" i="70"/>
  <c r="R17" i="70"/>
  <c r="AE16" i="70"/>
  <c r="AD16" i="70"/>
  <c r="AC16" i="70"/>
  <c r="AB16" i="70"/>
  <c r="AA16" i="70"/>
  <c r="Y16" i="70"/>
  <c r="R16" i="70"/>
  <c r="AE15" i="70"/>
  <c r="AD15" i="70"/>
  <c r="AC15" i="70"/>
  <c r="AB15" i="70"/>
  <c r="AA15" i="70"/>
  <c r="Y15" i="70"/>
  <c r="R15" i="70"/>
  <c r="AE14" i="70"/>
  <c r="AD14" i="70"/>
  <c r="AC14" i="70"/>
  <c r="AB14" i="70"/>
  <c r="AA14" i="70"/>
  <c r="Y14" i="70"/>
  <c r="R14" i="70"/>
  <c r="AI14" i="70"/>
  <c r="P14" i="70" s="1"/>
  <c r="AE13" i="70"/>
  <c r="AD13" i="70"/>
  <c r="AC13" i="70"/>
  <c r="AB13" i="70"/>
  <c r="AA13" i="70"/>
  <c r="Y13" i="70"/>
  <c r="R13" i="70"/>
  <c r="AE12" i="70"/>
  <c r="AD12" i="70"/>
  <c r="AC12" i="70"/>
  <c r="AB12" i="70"/>
  <c r="AA12" i="70"/>
  <c r="Y12" i="70"/>
  <c r="R12" i="70"/>
  <c r="AE11" i="70"/>
  <c r="AD11" i="70"/>
  <c r="AC11" i="70"/>
  <c r="AB11" i="70"/>
  <c r="AA11" i="70"/>
  <c r="Y11" i="70"/>
  <c r="R11" i="70"/>
  <c r="AE10" i="70"/>
  <c r="AD10" i="70"/>
  <c r="AC10" i="70"/>
  <c r="AB10" i="70"/>
  <c r="AA10" i="70"/>
  <c r="Y10" i="70"/>
  <c r="R10" i="70"/>
  <c r="AE9" i="70"/>
  <c r="AD9" i="70"/>
  <c r="AC9" i="70"/>
  <c r="AB9" i="70"/>
  <c r="AA9" i="70"/>
  <c r="Y9" i="70"/>
  <c r="R9" i="70"/>
  <c r="AI9" i="70"/>
  <c r="P9" i="70" s="1"/>
  <c r="AE8" i="70"/>
  <c r="AD8" i="70"/>
  <c r="AC8" i="70"/>
  <c r="AB8" i="70"/>
  <c r="AA8" i="70"/>
  <c r="B146" i="70" l="1"/>
  <c r="Y133" i="70"/>
  <c r="Y168" i="70" s="1"/>
  <c r="B168" i="70"/>
  <c r="Y134" i="70"/>
  <c r="Y169" i="70" s="1"/>
  <c r="B169" i="70"/>
  <c r="Y111" i="70"/>
  <c r="Y146" i="70" s="1"/>
  <c r="A111" i="70"/>
  <c r="Y119" i="70"/>
  <c r="Y154" i="70" s="1"/>
  <c r="A119" i="70"/>
  <c r="Y131" i="70"/>
  <c r="Y166" i="70" s="1"/>
  <c r="A131" i="70"/>
  <c r="A112" i="70"/>
  <c r="Y112" i="70"/>
  <c r="Y147" i="70" s="1"/>
  <c r="Y120" i="70"/>
  <c r="Y155" i="70" s="1"/>
  <c r="A120" i="70"/>
  <c r="Y128" i="70"/>
  <c r="Y163" i="70" s="1"/>
  <c r="A128" i="70"/>
  <c r="A113" i="70"/>
  <c r="Y113" i="70"/>
  <c r="Y148" i="70" s="1"/>
  <c r="Y117" i="70"/>
  <c r="Y152" i="70" s="1"/>
  <c r="A117" i="70"/>
  <c r="Y121" i="70"/>
  <c r="Y156" i="70" s="1"/>
  <c r="A121" i="70"/>
  <c r="Y125" i="70"/>
  <c r="Y160" i="70" s="1"/>
  <c r="A125" i="70"/>
  <c r="Y129" i="70"/>
  <c r="Y164" i="70" s="1"/>
  <c r="A129" i="70"/>
  <c r="Y115" i="70"/>
  <c r="Y150" i="70" s="1"/>
  <c r="A115" i="70"/>
  <c r="Y123" i="70"/>
  <c r="Y158" i="70" s="1"/>
  <c r="A123" i="70"/>
  <c r="Y127" i="70"/>
  <c r="Y162" i="70" s="1"/>
  <c r="A127" i="70"/>
  <c r="Y116" i="70"/>
  <c r="Y151" i="70" s="1"/>
  <c r="A116" i="70"/>
  <c r="Y124" i="70"/>
  <c r="Y159" i="70" s="1"/>
  <c r="A124" i="70"/>
  <c r="Y132" i="70"/>
  <c r="Y167" i="70" s="1"/>
  <c r="A132" i="70"/>
  <c r="Y114" i="70"/>
  <c r="Y149" i="70" s="1"/>
  <c r="A114" i="70"/>
  <c r="A118" i="70"/>
  <c r="Y118" i="70"/>
  <c r="Y153" i="70" s="1"/>
  <c r="A122" i="70"/>
  <c r="Y122" i="70"/>
  <c r="Y157" i="70" s="1"/>
  <c r="A126" i="70"/>
  <c r="Y126" i="70"/>
  <c r="Y161" i="70" s="1"/>
  <c r="A130" i="70"/>
  <c r="Y130" i="70"/>
  <c r="Y165" i="70" s="1"/>
  <c r="D54" i="76"/>
  <c r="L53" i="76"/>
  <c r="M53" i="76"/>
  <c r="J53" i="76"/>
  <c r="K53" i="76"/>
  <c r="F53" i="76"/>
  <c r="P53" i="76"/>
  <c r="Q53" i="76"/>
  <c r="O53" i="76"/>
  <c r="U53" i="76"/>
  <c r="R53" i="76"/>
  <c r="V53" i="76"/>
  <c r="H53" i="76"/>
  <c r="X53" i="76"/>
  <c r="G53" i="76"/>
  <c r="Y53" i="76"/>
  <c r="D53" i="76"/>
  <c r="E53" i="76"/>
  <c r="W53" i="76"/>
  <c r="S53" i="76"/>
  <c r="N53" i="76"/>
  <c r="AA53" i="76"/>
  <c r="T53" i="76"/>
  <c r="I53" i="76"/>
  <c r="Z53" i="76"/>
  <c r="AI23" i="70"/>
  <c r="P24" i="70" s="1"/>
  <c r="AI21" i="70"/>
  <c r="P21" i="70" s="1"/>
  <c r="AI26" i="70"/>
  <c r="P29" i="70" s="1"/>
  <c r="AI25" i="70"/>
  <c r="P28" i="70" s="1"/>
  <c r="AI24" i="70"/>
  <c r="P27" i="70" s="1"/>
  <c r="AI22" i="70"/>
  <c r="P23" i="70" s="1"/>
  <c r="AI20" i="70"/>
  <c r="P20" i="70" s="1"/>
  <c r="AI19" i="70"/>
  <c r="P19" i="70" s="1"/>
  <c r="AI18" i="70"/>
  <c r="P18" i="70" s="1"/>
  <c r="AI17" i="70"/>
  <c r="P17" i="70" s="1"/>
  <c r="AI16" i="70"/>
  <c r="P16" i="70" s="1"/>
  <c r="AI15" i="70"/>
  <c r="P15" i="70" s="1"/>
  <c r="AI13" i="70"/>
  <c r="P13" i="70" s="1"/>
  <c r="AI12" i="70"/>
  <c r="P12" i="70" s="1"/>
  <c r="AI11" i="70"/>
  <c r="P11" i="70" s="1"/>
  <c r="AI10" i="70"/>
  <c r="P10" i="70" s="1"/>
  <c r="AG75" i="70"/>
  <c r="AH75" i="70"/>
  <c r="AI75" i="70"/>
  <c r="A77" i="70"/>
  <c r="A93" i="70"/>
  <c r="A83" i="70"/>
  <c r="A87" i="70"/>
  <c r="A89" i="70"/>
  <c r="Y98" i="70"/>
  <c r="AE98" i="70" s="1"/>
  <c r="Y76" i="70"/>
  <c r="AE76" i="70" s="1"/>
  <c r="A76" i="70"/>
  <c r="Y84" i="70"/>
  <c r="AE84" i="70" s="1"/>
  <c r="A84" i="70"/>
  <c r="Y92" i="70"/>
  <c r="AE92" i="70" s="1"/>
  <c r="A92" i="70"/>
  <c r="A85" i="70"/>
  <c r="A97" i="70"/>
  <c r="A78" i="70"/>
  <c r="A82" i="70"/>
  <c r="Y86" i="70"/>
  <c r="AE86" i="70" s="1"/>
  <c r="A86" i="70"/>
  <c r="Y90" i="70"/>
  <c r="AE90" i="70" s="1"/>
  <c r="A90" i="70"/>
  <c r="A94" i="70"/>
  <c r="Y80" i="70"/>
  <c r="AE80" i="70" s="1"/>
  <c r="A80" i="70"/>
  <c r="Y88" i="70"/>
  <c r="AE88" i="70" s="1"/>
  <c r="A88" i="70"/>
  <c r="Y96" i="70"/>
  <c r="AE96" i="70" s="1"/>
  <c r="A96" i="70"/>
  <c r="BB56" i="70"/>
  <c r="A81" i="70"/>
  <c r="AE31" i="70"/>
  <c r="O31" i="70" s="1"/>
  <c r="Z52" i="76" s="1"/>
  <c r="A79" i="70"/>
  <c r="A91" i="70"/>
  <c r="A95" i="70"/>
  <c r="AU42" i="70"/>
  <c r="AV50" i="70"/>
  <c r="Y85" i="70"/>
  <c r="AE85" i="70" s="1"/>
  <c r="BG65" i="70"/>
  <c r="BD65" i="70"/>
  <c r="BC65" i="70"/>
  <c r="BE65" i="70"/>
  <c r="AX65" i="70"/>
  <c r="BF65" i="70"/>
  <c r="AZ43" i="70"/>
  <c r="BC43" i="70"/>
  <c r="BG43" i="70"/>
  <c r="BD43" i="70"/>
  <c r="BE43" i="70"/>
  <c r="BF43" i="70"/>
  <c r="AY51" i="70"/>
  <c r="BC51" i="70"/>
  <c r="BG51" i="70"/>
  <c r="BD51" i="70"/>
  <c r="BE51" i="70"/>
  <c r="BF51" i="70"/>
  <c r="AU52" i="70"/>
  <c r="BF52" i="70"/>
  <c r="BC52" i="70"/>
  <c r="BG52" i="70"/>
  <c r="BD52" i="70"/>
  <c r="BE52" i="70"/>
  <c r="BA53" i="70"/>
  <c r="BE53" i="70"/>
  <c r="BF53" i="70"/>
  <c r="BC53" i="70"/>
  <c r="BG53" i="70"/>
  <c r="BD53" i="70"/>
  <c r="BA54" i="70"/>
  <c r="BD54" i="70"/>
  <c r="BE54" i="70"/>
  <c r="BF54" i="70"/>
  <c r="BC54" i="70"/>
  <c r="BG54" i="70"/>
  <c r="AP64" i="70"/>
  <c r="BC64" i="70"/>
  <c r="BD64" i="70"/>
  <c r="BE64" i="70"/>
  <c r="BF64" i="70"/>
  <c r="BG64" i="70"/>
  <c r="AU43" i="70"/>
  <c r="BF44" i="70"/>
  <c r="BC44" i="70"/>
  <c r="BG44" i="70"/>
  <c r="BD44" i="70"/>
  <c r="BE44" i="70"/>
  <c r="BE45" i="70"/>
  <c r="BF45" i="70"/>
  <c r="BC45" i="70"/>
  <c r="BG45" i="70"/>
  <c r="BD45" i="70"/>
  <c r="BD46" i="70"/>
  <c r="BE46" i="70"/>
  <c r="BF46" i="70"/>
  <c r="BC46" i="70"/>
  <c r="BG46" i="70"/>
  <c r="AR54" i="70"/>
  <c r="BA55" i="70"/>
  <c r="BC55" i="70"/>
  <c r="BG55" i="70"/>
  <c r="BD55" i="70"/>
  <c r="BE55" i="70"/>
  <c r="BF55" i="70"/>
  <c r="BF56" i="70"/>
  <c r="BC56" i="70"/>
  <c r="BG56" i="70"/>
  <c r="BD56" i="70"/>
  <c r="BE56" i="70"/>
  <c r="Y82" i="70"/>
  <c r="AE82" i="70" s="1"/>
  <c r="BC47" i="70"/>
  <c r="BG47" i="70"/>
  <c r="BD47" i="70"/>
  <c r="BE47" i="70"/>
  <c r="BF47" i="70"/>
  <c r="BB57" i="70"/>
  <c r="BE57" i="70"/>
  <c r="BF57" i="70"/>
  <c r="BC57" i="70"/>
  <c r="BG57" i="70"/>
  <c r="BD57" i="70"/>
  <c r="BD58" i="70"/>
  <c r="BE58" i="70"/>
  <c r="BF58" i="70"/>
  <c r="BC58" i="70"/>
  <c r="BG58" i="70"/>
  <c r="BC59" i="70"/>
  <c r="BG59" i="70"/>
  <c r="BD59" i="70"/>
  <c r="BE59" i="70"/>
  <c r="BF59" i="70"/>
  <c r="BF60" i="70"/>
  <c r="BC60" i="70"/>
  <c r="BG60" i="70"/>
  <c r="BD60" i="70"/>
  <c r="BE60" i="70"/>
  <c r="BE61" i="70"/>
  <c r="BF61" i="70"/>
  <c r="BC61" i="70"/>
  <c r="BG61" i="70"/>
  <c r="BD61" i="70"/>
  <c r="BD62" i="70"/>
  <c r="BE62" i="70"/>
  <c r="BF62" i="70"/>
  <c r="BC62" i="70"/>
  <c r="BG62" i="70"/>
  <c r="BC63" i="70"/>
  <c r="BG63" i="70"/>
  <c r="BD63" i="70"/>
  <c r="BE63" i="70"/>
  <c r="BF63" i="70"/>
  <c r="Y79" i="70"/>
  <c r="AE79" i="70" s="1"/>
  <c r="Y95" i="70"/>
  <c r="AE95" i="70" s="1"/>
  <c r="BD41" i="70"/>
  <c r="BC41" i="70"/>
  <c r="BE41" i="70"/>
  <c r="AM41" i="70"/>
  <c r="BF41" i="70"/>
  <c r="BG41" i="70"/>
  <c r="AY42" i="70"/>
  <c r="BD42" i="70"/>
  <c r="BE42" i="70"/>
  <c r="BF42" i="70"/>
  <c r="BC42" i="70"/>
  <c r="BG42" i="70"/>
  <c r="AU47" i="70"/>
  <c r="BF48" i="70"/>
  <c r="BC48" i="70"/>
  <c r="BG48" i="70"/>
  <c r="BD48" i="70"/>
  <c r="BE48" i="70"/>
  <c r="AY49" i="70"/>
  <c r="BE49" i="70"/>
  <c r="BF49" i="70"/>
  <c r="BC49" i="70"/>
  <c r="BG49" i="70"/>
  <c r="BD49" i="70"/>
  <c r="AZ50" i="70"/>
  <c r="BD50" i="70"/>
  <c r="BE50" i="70"/>
  <c r="BF50" i="70"/>
  <c r="BC50" i="70"/>
  <c r="BG50" i="70"/>
  <c r="AV54" i="70"/>
  <c r="AY44" i="70"/>
  <c r="AY46" i="70"/>
  <c r="AZ47" i="70"/>
  <c r="AN42" i="70"/>
  <c r="AP50" i="70"/>
  <c r="AM51" i="70"/>
  <c r="AP54" i="70"/>
  <c r="AM55" i="70"/>
  <c r="AQ55" i="70"/>
  <c r="AM59" i="70"/>
  <c r="AQ59" i="70"/>
  <c r="AN60" i="70"/>
  <c r="AN62" i="70"/>
  <c r="AZ51" i="70"/>
  <c r="AP41" i="70"/>
  <c r="AM42" i="70"/>
  <c r="AQ42" i="70"/>
  <c r="AP45" i="70"/>
  <c r="AM46" i="70"/>
  <c r="AQ46" i="70"/>
  <c r="AN47" i="70"/>
  <c r="AN51" i="70"/>
  <c r="AN55" i="70"/>
  <c r="AN59" i="70"/>
  <c r="AM61" i="70"/>
  <c r="AO62" i="70"/>
  <c r="AP44" i="70"/>
  <c r="AZ52" i="70"/>
  <c r="AN46" i="70"/>
  <c r="AR47" i="70"/>
  <c r="AP48" i="70"/>
  <c r="AN50" i="70"/>
  <c r="AO51" i="70"/>
  <c r="AR51" i="70"/>
  <c r="AP52" i="70"/>
  <c r="AO55" i="70"/>
  <c r="AR55" i="70"/>
  <c r="AO59" i="70"/>
  <c r="AR59" i="70"/>
  <c r="AM44" i="70"/>
  <c r="AQ44" i="70"/>
  <c r="AO50" i="70"/>
  <c r="AQ56" i="70"/>
  <c r="AM60" i="70"/>
  <c r="AO61" i="70"/>
  <c r="AZ42" i="70"/>
  <c r="AZ46" i="70"/>
  <c r="AQ51" i="70"/>
  <c r="AV55" i="70"/>
  <c r="AV42" i="70"/>
  <c r="AU44" i="70"/>
  <c r="AT49" i="70"/>
  <c r="BA51" i="70"/>
  <c r="AW55" i="70"/>
  <c r="AO42" i="70"/>
  <c r="AR42" i="70"/>
  <c r="AW42" i="70"/>
  <c r="AM43" i="70"/>
  <c r="AY43" i="70"/>
  <c r="AO46" i="70"/>
  <c r="AW46" i="70"/>
  <c r="AM47" i="70"/>
  <c r="AY47" i="70"/>
  <c r="AV51" i="70"/>
  <c r="AQ52" i="70"/>
  <c r="AU53" i="70"/>
  <c r="AR58" i="70"/>
  <c r="Y78" i="70"/>
  <c r="AE78" i="70" s="1"/>
  <c r="Y81" i="70"/>
  <c r="AE81" i="70" s="1"/>
  <c r="Y94" i="70"/>
  <c r="AE94" i="70" s="1"/>
  <c r="Y97" i="70"/>
  <c r="AE97" i="70" s="1"/>
  <c r="BA42" i="70"/>
  <c r="AV43" i="70"/>
  <c r="AV46" i="70"/>
  <c r="BA46" i="70"/>
  <c r="AV47" i="70"/>
  <c r="AU51" i="70"/>
  <c r="AP53" i="70"/>
  <c r="AQ43" i="70"/>
  <c r="AO49" i="70"/>
  <c r="BA41" i="70"/>
  <c r="AN43" i="70"/>
  <c r="BA45" i="70"/>
  <c r="AR46" i="70"/>
  <c r="AQ47" i="70"/>
  <c r="AT50" i="70"/>
  <c r="BA50" i="70"/>
  <c r="Y91" i="70"/>
  <c r="AE91" i="70" s="1"/>
  <c r="AB64" i="70"/>
  <c r="AY65" i="70"/>
  <c r="AU65" i="70"/>
  <c r="AQ65" i="70"/>
  <c r="AM65" i="70"/>
  <c r="AS65" i="70"/>
  <c r="AN65" i="70"/>
  <c r="Y4" i="70"/>
  <c r="BA65" i="70"/>
  <c r="AP65" i="70"/>
  <c r="BB65" i="70"/>
  <c r="AW65" i="70"/>
  <c r="AR65" i="70"/>
  <c r="AV65" i="70"/>
  <c r="AR43" i="70"/>
  <c r="AQ57" i="70"/>
  <c r="AT65" i="70"/>
  <c r="Y87" i="70"/>
  <c r="AE87" i="70" s="1"/>
  <c r="BA59" i="70"/>
  <c r="AZ55" i="70"/>
  <c r="AZ62" i="70"/>
  <c r="AY60" i="70"/>
  <c r="BA63" i="70"/>
  <c r="AZ59" i="70"/>
  <c r="AY55" i="70"/>
  <c r="AZ63" i="70"/>
  <c r="AY61" i="70"/>
  <c r="AY59" i="70"/>
  <c r="Y89" i="70"/>
  <c r="AE89" i="70" s="1"/>
  <c r="Y99" i="70"/>
  <c r="AE99" i="70" s="1"/>
  <c r="AA4" i="70"/>
  <c r="AC31" i="70"/>
  <c r="M31" i="70" s="1"/>
  <c r="AQ48" i="70"/>
  <c r="AY48" i="70"/>
  <c r="AZ49" i="70"/>
  <c r="AV49" i="70"/>
  <c r="AR49" i="70"/>
  <c r="AN49" i="70"/>
  <c r="BB49" i="70"/>
  <c r="AW49" i="70"/>
  <c r="AQ49" i="70"/>
  <c r="AM49" i="70"/>
  <c r="AU49" i="70"/>
  <c r="BB52" i="70"/>
  <c r="AQ53" i="70"/>
  <c r="BB53" i="70"/>
  <c r="BB54" i="70"/>
  <c r="AR56" i="70"/>
  <c r="AU64" i="70"/>
  <c r="AZ65" i="70"/>
  <c r="AU63" i="70"/>
  <c r="AT61" i="70"/>
  <c r="AT62" i="70"/>
  <c r="AT60" i="70"/>
  <c r="AZ41" i="70"/>
  <c r="AV41" i="70"/>
  <c r="AR41" i="70"/>
  <c r="AN41" i="70"/>
  <c r="AY41" i="70"/>
  <c r="AU41" i="70"/>
  <c r="AQ41" i="70"/>
  <c r="AT41" i="70"/>
  <c r="BB41" i="70"/>
  <c r="AZ45" i="70"/>
  <c r="AV45" i="70"/>
  <c r="AR45" i="70"/>
  <c r="AN45" i="70"/>
  <c r="AY45" i="70"/>
  <c r="AU45" i="70"/>
  <c r="AQ45" i="70"/>
  <c r="AM45" i="70"/>
  <c r="AT45" i="70"/>
  <c r="BB45" i="70"/>
  <c r="BA48" i="70"/>
  <c r="AW48" i="70"/>
  <c r="AO48" i="70"/>
  <c r="AZ48" i="70"/>
  <c r="AV48" i="70"/>
  <c r="AR48" i="70"/>
  <c r="AN48" i="70"/>
  <c r="AT48" i="70"/>
  <c r="BB48" i="70"/>
  <c r="BA56" i="70"/>
  <c r="AW56" i="70"/>
  <c r="AO56" i="70"/>
  <c r="AZ56" i="70"/>
  <c r="AU56" i="70"/>
  <c r="AP56" i="70"/>
  <c r="AY56" i="70"/>
  <c r="AT56" i="70"/>
  <c r="AN56" i="70"/>
  <c r="AV56" i="70"/>
  <c r="AZ57" i="70"/>
  <c r="AV57" i="70"/>
  <c r="AR57" i="70"/>
  <c r="AN57" i="70"/>
  <c r="BA57" i="70"/>
  <c r="AU57" i="70"/>
  <c r="AP57" i="70"/>
  <c r="AY57" i="70"/>
  <c r="AT57" i="70"/>
  <c r="AO57" i="70"/>
  <c r="AW57" i="70"/>
  <c r="AY58" i="70"/>
  <c r="AU58" i="70"/>
  <c r="AQ58" i="70"/>
  <c r="AM58" i="70"/>
  <c r="BA58" i="70"/>
  <c r="AV58" i="70"/>
  <c r="AP58" i="70"/>
  <c r="AZ58" i="70"/>
  <c r="AT58" i="70"/>
  <c r="AO58" i="70"/>
  <c r="AW58" i="70"/>
  <c r="AR60" i="70"/>
  <c r="AZ64" i="70"/>
  <c r="AD31" i="70"/>
  <c r="N31" i="70" s="1"/>
  <c r="AP63" i="70" s="1"/>
  <c r="AO41" i="70"/>
  <c r="AW41" i="70"/>
  <c r="BA44" i="70"/>
  <c r="AW44" i="70"/>
  <c r="AO44" i="70"/>
  <c r="AZ44" i="70"/>
  <c r="AV44" i="70"/>
  <c r="AR44" i="70"/>
  <c r="AN44" i="70"/>
  <c r="AT44" i="70"/>
  <c r="BB44" i="70"/>
  <c r="AO45" i="70"/>
  <c r="AW45" i="70"/>
  <c r="AM48" i="70"/>
  <c r="AU48" i="70"/>
  <c r="AP49" i="70"/>
  <c r="BA49" i="70"/>
  <c r="BA52" i="70"/>
  <c r="AW52" i="70"/>
  <c r="AO52" i="70"/>
  <c r="AY52" i="70"/>
  <c r="AT52" i="70"/>
  <c r="AN52" i="70"/>
  <c r="AR52" i="70"/>
  <c r="AM52" i="70"/>
  <c r="AV52" i="70"/>
  <c r="AZ53" i="70"/>
  <c r="AV53" i="70"/>
  <c r="AR53" i="70"/>
  <c r="AN53" i="70"/>
  <c r="AY53" i="70"/>
  <c r="AT53" i="70"/>
  <c r="AO53" i="70"/>
  <c r="AM53" i="70"/>
  <c r="AW53" i="70"/>
  <c r="AY54" i="70"/>
  <c r="AU54" i="70"/>
  <c r="AQ54" i="70"/>
  <c r="AM54" i="70"/>
  <c r="AZ54" i="70"/>
  <c r="AT54" i="70"/>
  <c r="AO54" i="70"/>
  <c r="AN54" i="70"/>
  <c r="AW54" i="70"/>
  <c r="AM56" i="70"/>
  <c r="AM57" i="70"/>
  <c r="AN58" i="70"/>
  <c r="BB58" i="70"/>
  <c r="AW59" i="70"/>
  <c r="AY63" i="70"/>
  <c r="AO65" i="70"/>
  <c r="AQ64" i="70"/>
  <c r="BB64" i="70"/>
  <c r="AP42" i="70"/>
  <c r="AT42" i="70"/>
  <c r="BB42" i="70"/>
  <c r="AO43" i="70"/>
  <c r="AW43" i="70"/>
  <c r="BA43" i="70"/>
  <c r="AP46" i="70"/>
  <c r="AT46" i="70"/>
  <c r="BB46" i="70"/>
  <c r="AO47" i="70"/>
  <c r="AW47" i="70"/>
  <c r="BA47" i="70"/>
  <c r="AY50" i="70"/>
  <c r="AU50" i="70"/>
  <c r="AQ50" i="70"/>
  <c r="AM50" i="70"/>
  <c r="AR50" i="70"/>
  <c r="AW50" i="70"/>
  <c r="BB50" i="70"/>
  <c r="AW51" i="70"/>
  <c r="AU59" i="70"/>
  <c r="AP60" i="70"/>
  <c r="AU60" i="70"/>
  <c r="AZ60" i="70"/>
  <c r="AP61" i="70"/>
  <c r="AU61" i="70"/>
  <c r="BA61" i="70"/>
  <c r="AP62" i="70"/>
  <c r="AV62" i="70"/>
  <c r="BA62" i="70"/>
  <c r="AM64" i="70"/>
  <c r="AR64" i="70"/>
  <c r="Y77" i="70"/>
  <c r="AE77" i="70" s="1"/>
  <c r="Y83" i="70"/>
  <c r="AE83" i="70" s="1"/>
  <c r="Y93" i="70"/>
  <c r="AE93" i="70" s="1"/>
  <c r="BA64" i="70"/>
  <c r="AW64" i="70"/>
  <c r="AO64" i="70"/>
  <c r="AV64" i="70"/>
  <c r="AP43" i="70"/>
  <c r="AT43" i="70"/>
  <c r="BB43" i="70"/>
  <c r="AU46" i="70"/>
  <c r="AP47" i="70"/>
  <c r="AT47" i="70"/>
  <c r="BB47" i="70"/>
  <c r="AU55" i="70"/>
  <c r="AV59" i="70"/>
  <c r="BA60" i="70"/>
  <c r="AW60" i="70"/>
  <c r="AO60" i="70"/>
  <c r="AQ60" i="70"/>
  <c r="AV60" i="70"/>
  <c r="BB60" i="70"/>
  <c r="AZ61" i="70"/>
  <c r="AV61" i="70"/>
  <c r="AR61" i="70"/>
  <c r="AN61" i="70"/>
  <c r="AQ61" i="70"/>
  <c r="AW61" i="70"/>
  <c r="BB61" i="70"/>
  <c r="AY62" i="70"/>
  <c r="AU62" i="70"/>
  <c r="AQ62" i="70"/>
  <c r="AM62" i="70"/>
  <c r="AR62" i="70"/>
  <c r="AW62" i="70"/>
  <c r="BB62" i="70"/>
  <c r="AW63" i="70"/>
  <c r="AN64" i="70"/>
  <c r="AT64" i="70"/>
  <c r="AY64" i="70"/>
  <c r="AP51" i="70"/>
  <c r="AT51" i="70"/>
  <c r="BB51" i="70"/>
  <c r="AP55" i="70"/>
  <c r="AT55" i="70"/>
  <c r="BB55" i="70"/>
  <c r="AP59" i="70"/>
  <c r="AT59" i="70"/>
  <c r="BB59" i="70"/>
  <c r="AT63" i="70"/>
  <c r="BB63" i="70"/>
  <c r="A146" i="70" l="1"/>
  <c r="W54" i="76"/>
  <c r="S54" i="76"/>
  <c r="E54" i="76"/>
  <c r="K54" i="76"/>
  <c r="D55" i="76"/>
  <c r="T55" i="76"/>
  <c r="N55" i="76"/>
  <c r="X55" i="76"/>
  <c r="I55" i="76"/>
  <c r="S55" i="76"/>
  <c r="P55" i="76"/>
  <c r="W55" i="76"/>
  <c r="M55" i="76"/>
  <c r="Y55" i="76"/>
  <c r="AA55" i="76"/>
  <c r="R55" i="76"/>
  <c r="H55" i="76"/>
  <c r="V55" i="76"/>
  <c r="L55" i="76"/>
  <c r="Q55" i="76"/>
  <c r="J55" i="76"/>
  <c r="U55" i="76"/>
  <c r="K55" i="76"/>
  <c r="F55" i="76"/>
  <c r="G55" i="76"/>
  <c r="O55" i="76"/>
  <c r="E55" i="76"/>
  <c r="Z55" i="76"/>
  <c r="T54" i="76"/>
  <c r="N54" i="76"/>
  <c r="Z54" i="76"/>
  <c r="O54" i="76"/>
  <c r="M54" i="76"/>
  <c r="X54" i="76"/>
  <c r="AA54" i="76"/>
  <c r="U54" i="76"/>
  <c r="L54" i="76"/>
  <c r="F54" i="76"/>
  <c r="P54" i="76"/>
  <c r="I54" i="76"/>
  <c r="H54" i="76"/>
  <c r="Q54" i="76"/>
  <c r="R54" i="76"/>
  <c r="G54" i="76"/>
  <c r="J54" i="76"/>
  <c r="Y54" i="76"/>
  <c r="V54" i="76"/>
  <c r="AS64" i="70"/>
  <c r="AX64" i="70"/>
  <c r="AS52" i="70"/>
  <c r="AX52" i="70"/>
  <c r="AS56" i="70"/>
  <c r="AX56" i="70"/>
  <c r="AS59" i="70"/>
  <c r="AX59" i="70"/>
  <c r="AS44" i="70"/>
  <c r="AX44" i="70"/>
  <c r="AS53" i="70"/>
  <c r="AX53" i="70"/>
  <c r="AS42" i="70"/>
  <c r="AX42" i="70"/>
  <c r="AS54" i="70"/>
  <c r="AX54" i="70"/>
  <c r="AS46" i="70"/>
  <c r="AX46" i="70"/>
  <c r="AS51" i="70"/>
  <c r="AX51" i="70"/>
  <c r="AS57" i="70"/>
  <c r="AX57" i="70"/>
  <c r="AS41" i="70"/>
  <c r="AX41" i="70"/>
  <c r="AS63" i="70"/>
  <c r="AX63" i="70"/>
  <c r="AS43" i="70"/>
  <c r="AX43" i="70"/>
  <c r="AS61" i="70"/>
  <c r="AX61" i="70"/>
  <c r="AS45" i="70"/>
  <c r="AX45" i="70"/>
  <c r="AS58" i="70"/>
  <c r="AX58" i="70"/>
  <c r="AS62" i="70"/>
  <c r="AX62" i="70"/>
  <c r="AS60" i="70"/>
  <c r="AX60" i="70"/>
  <c r="AS47" i="70"/>
  <c r="AX47" i="70"/>
  <c r="AS50" i="70"/>
  <c r="AX50" i="70"/>
  <c r="AS55" i="70"/>
  <c r="AX55" i="70"/>
  <c r="AS49" i="70"/>
  <c r="AX49" i="70"/>
  <c r="AS48" i="70"/>
  <c r="AX48" i="70"/>
  <c r="AV63" i="70"/>
  <c r="AN63" i="70"/>
  <c r="AO63" i="70"/>
  <c r="AM63" i="70"/>
  <c r="AQ63" i="70"/>
  <c r="AL65" i="70"/>
  <c r="M65" i="70"/>
  <c r="AB71" i="70"/>
  <c r="Z71" i="70"/>
  <c r="AC71" i="70"/>
  <c r="Y71" i="70"/>
  <c r="Y41" i="70"/>
  <c r="Z41" i="70" s="1"/>
  <c r="AA71" i="70"/>
  <c r="AC284" i="69"/>
  <c r="AB284" i="69"/>
  <c r="AA284" i="69"/>
  <c r="Z284" i="69"/>
  <c r="Y284" i="69"/>
  <c r="AA41" i="70" l="1"/>
  <c r="AC249" i="69"/>
  <c r="AB249" i="69"/>
  <c r="AA249" i="69"/>
  <c r="Z249" i="69"/>
  <c r="Y249" i="69"/>
  <c r="AE272" i="69" l="1"/>
  <c r="L272" i="69" l="1"/>
  <c r="M272" i="69"/>
  <c r="N272" i="69"/>
  <c r="I272" i="69"/>
  <c r="J272" i="69"/>
  <c r="AB179" i="69"/>
  <c r="AA179" i="69"/>
  <c r="Z179" i="69"/>
  <c r="Y179" i="69"/>
  <c r="B168" i="69"/>
  <c r="B167" i="69"/>
  <c r="B166" i="69"/>
  <c r="A166" i="69" s="1"/>
  <c r="B165" i="69"/>
  <c r="A165" i="69" s="1"/>
  <c r="B164" i="69"/>
  <c r="A164" i="69" s="1"/>
  <c r="B163" i="69"/>
  <c r="A163" i="69" s="1"/>
  <c r="B162" i="69"/>
  <c r="A162" i="69" s="1"/>
  <c r="B161" i="69"/>
  <c r="A161" i="69" s="1"/>
  <c r="B160" i="69"/>
  <c r="A160" i="69" s="1"/>
  <c r="B159" i="69"/>
  <c r="A159" i="69" s="1"/>
  <c r="B158" i="69"/>
  <c r="A158" i="69" s="1"/>
  <c r="B157" i="69"/>
  <c r="A157" i="69" s="1"/>
  <c r="B156" i="69"/>
  <c r="A156" i="69" s="1"/>
  <c r="B155" i="69"/>
  <c r="A155" i="69" s="1"/>
  <c r="B154" i="69"/>
  <c r="A154" i="69" s="1"/>
  <c r="B153" i="69"/>
  <c r="A153" i="69" s="1"/>
  <c r="B152" i="69"/>
  <c r="A152" i="69" s="1"/>
  <c r="B151" i="69"/>
  <c r="A151" i="69" s="1"/>
  <c r="B150" i="69"/>
  <c r="A150" i="69" s="1"/>
  <c r="B149" i="69"/>
  <c r="A149" i="69" s="1"/>
  <c r="B148" i="69"/>
  <c r="A148" i="69" s="1"/>
  <c r="B147" i="69"/>
  <c r="A147" i="69" s="1"/>
  <c r="B146" i="69"/>
  <c r="A146" i="69" s="1"/>
  <c r="B145" i="69"/>
  <c r="AC144" i="69"/>
  <c r="AB144" i="69"/>
  <c r="AA144" i="69"/>
  <c r="Z144" i="69"/>
  <c r="Y144" i="69"/>
  <c r="B133" i="69"/>
  <c r="X133" i="69" s="1"/>
  <c r="AD133" i="69" s="1"/>
  <c r="B132" i="69"/>
  <c r="X132" i="69" s="1"/>
  <c r="AD132" i="69" s="1"/>
  <c r="B131" i="69"/>
  <c r="B130" i="69"/>
  <c r="B129" i="69"/>
  <c r="B128" i="69"/>
  <c r="B127" i="69"/>
  <c r="B126" i="69"/>
  <c r="B125" i="69"/>
  <c r="B124" i="69"/>
  <c r="B123" i="69"/>
  <c r="B122" i="69"/>
  <c r="B121" i="69"/>
  <c r="B120" i="69"/>
  <c r="B119" i="69"/>
  <c r="B118" i="69"/>
  <c r="B117" i="69"/>
  <c r="B116" i="69"/>
  <c r="B115" i="69"/>
  <c r="B114" i="69"/>
  <c r="B113" i="69"/>
  <c r="B112" i="69"/>
  <c r="B111" i="69"/>
  <c r="B110" i="69"/>
  <c r="AC109" i="69"/>
  <c r="AI109" i="69" s="1"/>
  <c r="AB109" i="69"/>
  <c r="AH109" i="69" s="1"/>
  <c r="AA109" i="69"/>
  <c r="AG109" i="69" s="1"/>
  <c r="Z109" i="69"/>
  <c r="AF109" i="69" s="1"/>
  <c r="Y109" i="69"/>
  <c r="AE109" i="69" s="1"/>
  <c r="X99" i="69"/>
  <c r="X98" i="69"/>
  <c r="X97" i="69"/>
  <c r="X96" i="69"/>
  <c r="X95" i="69"/>
  <c r="X94" i="69"/>
  <c r="X93" i="69"/>
  <c r="X92" i="69"/>
  <c r="X91" i="69"/>
  <c r="X90" i="69"/>
  <c r="X89" i="69"/>
  <c r="X88" i="69"/>
  <c r="X87" i="69"/>
  <c r="X86" i="69"/>
  <c r="X85" i="69"/>
  <c r="X84" i="69"/>
  <c r="X83" i="69"/>
  <c r="X82" i="69"/>
  <c r="X81" i="69"/>
  <c r="X80" i="69"/>
  <c r="X79" i="69"/>
  <c r="X78" i="69"/>
  <c r="X77" i="69"/>
  <c r="X76" i="69"/>
  <c r="Y76" i="69" s="1"/>
  <c r="AB69" i="69"/>
  <c r="AA69" i="69"/>
  <c r="Z69" i="69"/>
  <c r="Y69" i="69"/>
  <c r="X69" i="69"/>
  <c r="AB68" i="69"/>
  <c r="X68" i="69"/>
  <c r="AB67" i="69"/>
  <c r="AB66" i="69"/>
  <c r="X66" i="69"/>
  <c r="AB65" i="69"/>
  <c r="AB64" i="69"/>
  <c r="AA64" i="69"/>
  <c r="Y64" i="69"/>
  <c r="AK63" i="69"/>
  <c r="Y63" i="69"/>
  <c r="AK62" i="69"/>
  <c r="AA62" i="69"/>
  <c r="Y62" i="69"/>
  <c r="AK61" i="69"/>
  <c r="AA61" i="69"/>
  <c r="Y61" i="69"/>
  <c r="AK60" i="69"/>
  <c r="AA60" i="69"/>
  <c r="Y60" i="69"/>
  <c r="AK59" i="69"/>
  <c r="AA59" i="69"/>
  <c r="Y59" i="69"/>
  <c r="AK58" i="69"/>
  <c r="AA58" i="69"/>
  <c r="Y58" i="69"/>
  <c r="AK57" i="69"/>
  <c r="AA57" i="69"/>
  <c r="Y57" i="69"/>
  <c r="AK56" i="69"/>
  <c r="AA56" i="69"/>
  <c r="Y56" i="69"/>
  <c r="AK55" i="69"/>
  <c r="AA55" i="69"/>
  <c r="Y55" i="69"/>
  <c r="AK54" i="69"/>
  <c r="AA54" i="69"/>
  <c r="Y54" i="69"/>
  <c r="AK53" i="69"/>
  <c r="AA53" i="69"/>
  <c r="Y53" i="69"/>
  <c r="AK52" i="69"/>
  <c r="AA52" i="69"/>
  <c r="Y52" i="69"/>
  <c r="AK51" i="69"/>
  <c r="AA51" i="69"/>
  <c r="Y51" i="69"/>
  <c r="AK50" i="69"/>
  <c r="AA50" i="69"/>
  <c r="Y50" i="69"/>
  <c r="AK49" i="69"/>
  <c r="AA49" i="69"/>
  <c r="Y49" i="69"/>
  <c r="AK48" i="69"/>
  <c r="AA48" i="69"/>
  <c r="Y48" i="69"/>
  <c r="AK47" i="69"/>
  <c r="AA47" i="69"/>
  <c r="Y47" i="69"/>
  <c r="AK46" i="69"/>
  <c r="AA46" i="69"/>
  <c r="Y46" i="69"/>
  <c r="AK45" i="69"/>
  <c r="AA45" i="69"/>
  <c r="Y45" i="69"/>
  <c r="AK44" i="69"/>
  <c r="AA44" i="69"/>
  <c r="Y44" i="69"/>
  <c r="AK43" i="69"/>
  <c r="AP43" i="69" s="1"/>
  <c r="AA43" i="69"/>
  <c r="Y43" i="69"/>
  <c r="AK42" i="69"/>
  <c r="AA42" i="69"/>
  <c r="Y42" i="69"/>
  <c r="AK41" i="69"/>
  <c r="AA41" i="69"/>
  <c r="Y41" i="69"/>
  <c r="AK40" i="69"/>
  <c r="AV39" i="69"/>
  <c r="BA39" i="69" s="1"/>
  <c r="BF39" i="69" s="1"/>
  <c r="BK39" i="69" s="1"/>
  <c r="BP39" i="69" s="1"/>
  <c r="AU39" i="69"/>
  <c r="AZ39" i="69" s="1"/>
  <c r="BE39" i="69" s="1"/>
  <c r="BJ39" i="69" s="1"/>
  <c r="BO39" i="69" s="1"/>
  <c r="AT39" i="69"/>
  <c r="AY39" i="69" s="1"/>
  <c r="BD39" i="69" s="1"/>
  <c r="BI39" i="69" s="1"/>
  <c r="BN39" i="69" s="1"/>
  <c r="AS39" i="69"/>
  <c r="AX39" i="69" s="1"/>
  <c r="BC39" i="69" s="1"/>
  <c r="BH39" i="69" s="1"/>
  <c r="BM39" i="69" s="1"/>
  <c r="AR39" i="69"/>
  <c r="AW39" i="69" s="1"/>
  <c r="BB39" i="69" s="1"/>
  <c r="BG39" i="69" s="1"/>
  <c r="BL39" i="69" s="1"/>
  <c r="AP39" i="69"/>
  <c r="AO39" i="69"/>
  <c r="AN39" i="69"/>
  <c r="AM39" i="69"/>
  <c r="AL39" i="69"/>
  <c r="AD32" i="69"/>
  <c r="AC32" i="69"/>
  <c r="AB32" i="69"/>
  <c r="AA32" i="69"/>
  <c r="Z32" i="69"/>
  <c r="X32" i="69"/>
  <c r="X31" i="69"/>
  <c r="AC31" i="69"/>
  <c r="N31" i="69" s="1"/>
  <c r="AD30" i="69"/>
  <c r="AC30" i="69"/>
  <c r="AB30" i="69"/>
  <c r="AA30" i="69"/>
  <c r="Z30" i="69"/>
  <c r="X30" i="69"/>
  <c r="R30" i="69"/>
  <c r="AH27" i="69"/>
  <c r="P30" i="69" s="1"/>
  <c r="AD29" i="69"/>
  <c r="AC29" i="69"/>
  <c r="AB29" i="69"/>
  <c r="AA29" i="69"/>
  <c r="Z29" i="69"/>
  <c r="X29" i="69"/>
  <c r="R29" i="69"/>
  <c r="S29" i="69" s="1"/>
  <c r="AD28" i="69"/>
  <c r="AC28" i="69"/>
  <c r="AB28" i="69"/>
  <c r="AA28" i="69"/>
  <c r="Z28" i="69"/>
  <c r="X28" i="69"/>
  <c r="R28" i="69"/>
  <c r="S28" i="69" s="1"/>
  <c r="AD27" i="69"/>
  <c r="AC27" i="69"/>
  <c r="AB27" i="69"/>
  <c r="AA27" i="69"/>
  <c r="Z27" i="69"/>
  <c r="X27" i="69"/>
  <c r="R27" i="69"/>
  <c r="S27" i="69" s="1"/>
  <c r="AD26" i="69"/>
  <c r="AC26" i="69"/>
  <c r="AB26" i="69"/>
  <c r="AA26" i="69"/>
  <c r="Z26" i="69"/>
  <c r="X26" i="69"/>
  <c r="R26" i="69"/>
  <c r="S26" i="69" s="1"/>
  <c r="AD25" i="69"/>
  <c r="AC25" i="69"/>
  <c r="AB25" i="69"/>
  <c r="AA25" i="69"/>
  <c r="Z25" i="69"/>
  <c r="X25" i="69"/>
  <c r="R25" i="69"/>
  <c r="S25" i="69" s="1"/>
  <c r="AD24" i="69"/>
  <c r="AC24" i="69"/>
  <c r="AB24" i="69"/>
  <c r="AA24" i="69"/>
  <c r="Z24" i="69"/>
  <c r="X24" i="69"/>
  <c r="R24" i="69"/>
  <c r="S24" i="69" s="1"/>
  <c r="AD23" i="69"/>
  <c r="AC23" i="69"/>
  <c r="AB23" i="69"/>
  <c r="AA23" i="69"/>
  <c r="Z23" i="69"/>
  <c r="X23" i="69"/>
  <c r="R23" i="69"/>
  <c r="S23" i="69" s="1"/>
  <c r="AD22" i="69"/>
  <c r="AC22" i="69"/>
  <c r="AB22" i="69"/>
  <c r="AA22" i="69"/>
  <c r="Z22" i="69"/>
  <c r="X22" i="69"/>
  <c r="R22" i="69"/>
  <c r="S22" i="69" s="1"/>
  <c r="AD21" i="69"/>
  <c r="AC21" i="69"/>
  <c r="AB21" i="69"/>
  <c r="AA21" i="69"/>
  <c r="Z21" i="69"/>
  <c r="X21" i="69"/>
  <c r="R21" i="69"/>
  <c r="S21" i="69" s="1"/>
  <c r="AD20" i="69"/>
  <c r="AC20" i="69"/>
  <c r="AB20" i="69"/>
  <c r="AA20" i="69"/>
  <c r="Z20" i="69"/>
  <c r="X20" i="69"/>
  <c r="R20" i="69"/>
  <c r="AD19" i="69"/>
  <c r="AC19" i="69"/>
  <c r="AB19" i="69"/>
  <c r="AA19" i="69"/>
  <c r="Z19" i="69"/>
  <c r="X19" i="69"/>
  <c r="R19" i="69"/>
  <c r="S19" i="69" s="1"/>
  <c r="AD18" i="69"/>
  <c r="AC18" i="69"/>
  <c r="AB18" i="69"/>
  <c r="AA18" i="69"/>
  <c r="Z18" i="69"/>
  <c r="X18" i="69"/>
  <c r="R18" i="69"/>
  <c r="S18" i="69" s="1"/>
  <c r="AD17" i="69"/>
  <c r="AC17" i="69"/>
  <c r="AB17" i="69"/>
  <c r="AA17" i="69"/>
  <c r="Z17" i="69"/>
  <c r="X17" i="69"/>
  <c r="R17" i="69"/>
  <c r="S17" i="69" s="1"/>
  <c r="AD16" i="69"/>
  <c r="AC16" i="69"/>
  <c r="AB16" i="69"/>
  <c r="AA16" i="69"/>
  <c r="Z16" i="69"/>
  <c r="X16" i="69"/>
  <c r="R16" i="69"/>
  <c r="AD15" i="69"/>
  <c r="AC15" i="69"/>
  <c r="AB15" i="69"/>
  <c r="AA15" i="69"/>
  <c r="Z15" i="69"/>
  <c r="X15" i="69"/>
  <c r="R15" i="69"/>
  <c r="S15" i="69" s="1"/>
  <c r="AD14" i="69"/>
  <c r="AC14" i="69"/>
  <c r="AB14" i="69"/>
  <c r="AA14" i="69"/>
  <c r="Z14" i="69"/>
  <c r="X14" i="69"/>
  <c r="R14" i="69"/>
  <c r="S14" i="69" s="1"/>
  <c r="AD13" i="69"/>
  <c r="AC13" i="69"/>
  <c r="AB13" i="69"/>
  <c r="AA13" i="69"/>
  <c r="Z13" i="69"/>
  <c r="X13" i="69"/>
  <c r="R13" i="69"/>
  <c r="S13" i="69" s="1"/>
  <c r="AD12" i="69"/>
  <c r="AC12" i="69"/>
  <c r="AB12" i="69"/>
  <c r="AA12" i="69"/>
  <c r="Z12" i="69"/>
  <c r="X12" i="69"/>
  <c r="R12" i="69"/>
  <c r="AD11" i="69"/>
  <c r="AC11" i="69"/>
  <c r="AB11" i="69"/>
  <c r="AA11" i="69"/>
  <c r="Z11" i="69"/>
  <c r="X11" i="69"/>
  <c r="R11" i="69"/>
  <c r="S11" i="69" s="1"/>
  <c r="AD10" i="69"/>
  <c r="AC10" i="69"/>
  <c r="AB10" i="69"/>
  <c r="AA10" i="69"/>
  <c r="Z10" i="69"/>
  <c r="X10" i="69"/>
  <c r="R10" i="69"/>
  <c r="S10" i="69" s="1"/>
  <c r="AD9" i="69"/>
  <c r="AC9" i="69"/>
  <c r="AB9" i="69"/>
  <c r="AA9" i="69"/>
  <c r="Z9" i="69"/>
  <c r="X9" i="69"/>
  <c r="R9" i="69"/>
  <c r="S9" i="69" s="1"/>
  <c r="AM40" i="69"/>
  <c r="AD8" i="69"/>
  <c r="AC8" i="69"/>
  <c r="AB8" i="69"/>
  <c r="AA8" i="69"/>
  <c r="Z8" i="69"/>
  <c r="AL43" i="69" l="1"/>
  <c r="V48" i="76"/>
  <c r="Q48" i="76"/>
  <c r="AA48" i="76"/>
  <c r="J48" i="76"/>
  <c r="S48" i="76"/>
  <c r="M48" i="76"/>
  <c r="Y48" i="76"/>
  <c r="X48" i="76"/>
  <c r="L48" i="76"/>
  <c r="I48" i="76"/>
  <c r="Z48" i="76"/>
  <c r="H48" i="76"/>
  <c r="F48" i="76"/>
  <c r="R48" i="76"/>
  <c r="K48" i="76"/>
  <c r="T48" i="76"/>
  <c r="G48" i="76"/>
  <c r="N48" i="76"/>
  <c r="E48" i="76"/>
  <c r="D48" i="76"/>
  <c r="P48" i="76"/>
  <c r="W48" i="76"/>
  <c r="U48" i="76"/>
  <c r="O48" i="76"/>
  <c r="A145" i="69"/>
  <c r="AA49" i="76"/>
  <c r="T49" i="76"/>
  <c r="N49" i="76"/>
  <c r="J49" i="76"/>
  <c r="U49" i="76"/>
  <c r="I49" i="76"/>
  <c r="X49" i="76"/>
  <c r="M49" i="76"/>
  <c r="F49" i="76"/>
  <c r="K49" i="76"/>
  <c r="D49" i="76"/>
  <c r="P49" i="76"/>
  <c r="Z49" i="76"/>
  <c r="R49" i="76"/>
  <c r="L49" i="76"/>
  <c r="O49" i="76"/>
  <c r="V49" i="76"/>
  <c r="W49" i="76"/>
  <c r="Y49" i="76"/>
  <c r="G49" i="76"/>
  <c r="H49" i="76"/>
  <c r="Q49" i="76"/>
  <c r="S49" i="76"/>
  <c r="E49" i="76"/>
  <c r="AH21" i="69"/>
  <c r="P21" i="69" s="1"/>
  <c r="AH26" i="69"/>
  <c r="P29" i="69" s="1"/>
  <c r="AH9" i="69"/>
  <c r="P9" i="69" s="1"/>
  <c r="AH11" i="69"/>
  <c r="P11" i="69" s="1"/>
  <c r="AH24" i="69"/>
  <c r="P27" i="69" s="1"/>
  <c r="AH10" i="69"/>
  <c r="P10" i="69" s="1"/>
  <c r="AH12" i="69"/>
  <c r="P12" i="69" s="1"/>
  <c r="AH14" i="69"/>
  <c r="P14" i="69" s="1"/>
  <c r="AH16" i="69"/>
  <c r="P16" i="69" s="1"/>
  <c r="AH18" i="69"/>
  <c r="P18" i="69" s="1"/>
  <c r="AH25" i="69"/>
  <c r="P28" i="69" s="1"/>
  <c r="AH13" i="69"/>
  <c r="P13" i="69" s="1"/>
  <c r="AH15" i="69"/>
  <c r="P15" i="69" s="1"/>
  <c r="AH17" i="69"/>
  <c r="P17" i="69" s="1"/>
  <c r="AH19" i="69"/>
  <c r="P19" i="69" s="1"/>
  <c r="AH22" i="69"/>
  <c r="P23" i="69" s="1"/>
  <c r="AH20" i="69"/>
  <c r="P20" i="69" s="1"/>
  <c r="AH23" i="69"/>
  <c r="P24" i="69" s="1"/>
  <c r="X112" i="69"/>
  <c r="AD112" i="69" s="1"/>
  <c r="A112" i="69"/>
  <c r="X114" i="69"/>
  <c r="AD114" i="69" s="1"/>
  <c r="A114" i="69"/>
  <c r="X116" i="69"/>
  <c r="AD116" i="69" s="1"/>
  <c r="A116" i="69"/>
  <c r="X120" i="69"/>
  <c r="AD120" i="69" s="1"/>
  <c r="A120" i="69"/>
  <c r="X124" i="69"/>
  <c r="AD124" i="69" s="1"/>
  <c r="A124" i="69"/>
  <c r="X128" i="69"/>
  <c r="AD128" i="69" s="1"/>
  <c r="A128" i="69"/>
  <c r="AN41" i="69"/>
  <c r="X111" i="69"/>
  <c r="AD111" i="69" s="1"/>
  <c r="A111" i="69"/>
  <c r="X113" i="69"/>
  <c r="AD113" i="69" s="1"/>
  <c r="A113" i="69"/>
  <c r="X115" i="69"/>
  <c r="AD115" i="69" s="1"/>
  <c r="A115" i="69"/>
  <c r="X117" i="69"/>
  <c r="AD117" i="69" s="1"/>
  <c r="A117" i="69"/>
  <c r="X119" i="69"/>
  <c r="AD119" i="69" s="1"/>
  <c r="A119" i="69"/>
  <c r="X121" i="69"/>
  <c r="AD121" i="69" s="1"/>
  <c r="A121" i="69"/>
  <c r="X123" i="69"/>
  <c r="AD123" i="69" s="1"/>
  <c r="A123" i="69"/>
  <c r="X125" i="69"/>
  <c r="AD125" i="69" s="1"/>
  <c r="A125" i="69"/>
  <c r="X127" i="69"/>
  <c r="AD127" i="69" s="1"/>
  <c r="A127" i="69"/>
  <c r="X129" i="69"/>
  <c r="AD129" i="69" s="1"/>
  <c r="A129" i="69"/>
  <c r="X110" i="69"/>
  <c r="AD110" i="69" s="1"/>
  <c r="A110" i="69"/>
  <c r="X118" i="69"/>
  <c r="AD118" i="69" s="1"/>
  <c r="A118" i="69"/>
  <c r="X122" i="69"/>
  <c r="AD122" i="69" s="1"/>
  <c r="A122" i="69"/>
  <c r="X126" i="69"/>
  <c r="AD126" i="69" s="1"/>
  <c r="A126" i="69"/>
  <c r="X131" i="69"/>
  <c r="AD131" i="69" s="1"/>
  <c r="A131" i="69"/>
  <c r="X130" i="69"/>
  <c r="AD130" i="69" s="1"/>
  <c r="A130" i="69"/>
  <c r="AN43" i="69"/>
  <c r="AQ43" i="69"/>
  <c r="AO44" i="69"/>
  <c r="AL45" i="69"/>
  <c r="AN47" i="69"/>
  <c r="AQ47" i="69"/>
  <c r="AO48" i="69"/>
  <c r="AL49" i="69"/>
  <c r="AN51" i="69"/>
  <c r="AQ51" i="69"/>
  <c r="AO52" i="69"/>
  <c r="AL53" i="69"/>
  <c r="AL57" i="69"/>
  <c r="AP57" i="69"/>
  <c r="AN61" i="69"/>
  <c r="AQ61" i="69"/>
  <c r="AM60" i="69"/>
  <c r="AW40" i="69"/>
  <c r="AR40" i="69"/>
  <c r="AT43" i="69"/>
  <c r="AN42" i="69"/>
  <c r="AZ63" i="69"/>
  <c r="AM43" i="69"/>
  <c r="AZ49" i="69"/>
  <c r="AZ51" i="69"/>
  <c r="AW52" i="69"/>
  <c r="AZ59" i="69"/>
  <c r="AU60" i="69"/>
  <c r="AL47" i="69"/>
  <c r="AP47" i="69"/>
  <c r="AM48" i="69"/>
  <c r="AN49" i="69"/>
  <c r="AL51" i="69"/>
  <c r="AM52" i="69"/>
  <c r="AN53" i="69"/>
  <c r="AB31" i="69"/>
  <c r="M31" i="69" s="1"/>
  <c r="AN62" i="69" s="1"/>
  <c r="AN63" i="69"/>
  <c r="AV61" i="69"/>
  <c r="AU53" i="69"/>
  <c r="AO60" i="69"/>
  <c r="AX40" i="69"/>
  <c r="AU43" i="69"/>
  <c r="BA55" i="69"/>
  <c r="AR43" i="69"/>
  <c r="AV43" i="69"/>
  <c r="AR53" i="69"/>
  <c r="AZ43" i="69"/>
  <c r="AW44" i="69"/>
  <c r="AT45" i="69"/>
  <c r="AM63" i="69"/>
  <c r="AU52" i="69"/>
  <c r="AZ53" i="69"/>
  <c r="AP54" i="69"/>
  <c r="AZ45" i="69"/>
  <c r="AV47" i="69"/>
  <c r="AW48" i="69"/>
  <c r="AT49" i="69"/>
  <c r="AV57" i="69"/>
  <c r="AT62" i="69"/>
  <c r="AZ47" i="69"/>
  <c r="AZ57" i="69"/>
  <c r="AY61" i="69"/>
  <c r="AR45" i="69"/>
  <c r="AR47" i="69"/>
  <c r="AR49" i="69"/>
  <c r="AV49" i="69"/>
  <c r="AR51" i="69"/>
  <c r="AV51" i="69"/>
  <c r="AT58" i="69"/>
  <c r="AR60" i="69"/>
  <c r="AX41" i="69"/>
  <c r="AX43" i="69"/>
  <c r="AX47" i="69"/>
  <c r="AX49" i="69"/>
  <c r="AX51" i="69"/>
  <c r="AX53" i="69"/>
  <c r="AX57" i="69"/>
  <c r="AZ60" i="69"/>
  <c r="AX61" i="69"/>
  <c r="AL44" i="69"/>
  <c r="AM57" i="69"/>
  <c r="AO59" i="69"/>
  <c r="AT44" i="69"/>
  <c r="AT47" i="69"/>
  <c r="AU48" i="69"/>
  <c r="AT51" i="69"/>
  <c r="AR57" i="69"/>
  <c r="AT59" i="69"/>
  <c r="AR61" i="69"/>
  <c r="AZ61" i="69"/>
  <c r="AS40" i="69"/>
  <c r="AS41" i="69"/>
  <c r="AS42" i="69"/>
  <c r="AT57" i="69"/>
  <c r="AR59" i="69"/>
  <c r="AT61" i="69"/>
  <c r="AR63" i="69"/>
  <c r="AV63" i="69"/>
  <c r="AY43" i="69"/>
  <c r="AY47" i="69"/>
  <c r="AY51" i="69"/>
  <c r="BA54" i="69"/>
  <c r="BA56" i="69"/>
  <c r="AY57" i="69"/>
  <c r="AW58" i="69"/>
  <c r="AW60" i="69"/>
  <c r="AP51" i="69"/>
  <c r="AN57" i="69"/>
  <c r="AO58" i="69"/>
  <c r="AL59" i="69"/>
  <c r="AL61" i="69"/>
  <c r="AP61" i="69"/>
  <c r="AU47" i="69"/>
  <c r="AU51" i="69"/>
  <c r="AU57" i="69"/>
  <c r="AW59" i="69"/>
  <c r="AU61" i="69"/>
  <c r="AO45" i="69"/>
  <c r="AM47" i="69"/>
  <c r="AM51" i="69"/>
  <c r="AL58" i="69"/>
  <c r="AM61" i="69"/>
  <c r="AY42" i="69"/>
  <c r="AY44" i="69"/>
  <c r="AW45" i="69"/>
  <c r="AY48" i="69"/>
  <c r="AY52" i="69"/>
  <c r="AY58" i="69"/>
  <c r="T11" i="69"/>
  <c r="T19" i="69"/>
  <c r="AQ58" i="69"/>
  <c r="T29" i="69"/>
  <c r="Z96" i="69" s="1"/>
  <c r="T10" i="69"/>
  <c r="S16" i="69"/>
  <c r="T16" i="69" s="1"/>
  <c r="Z83" i="69" s="1"/>
  <c r="T18" i="69"/>
  <c r="T27" i="69"/>
  <c r="T28" i="69"/>
  <c r="T9" i="69"/>
  <c r="T17" i="69"/>
  <c r="S30" i="69"/>
  <c r="T30" i="69" s="1"/>
  <c r="S12" i="69"/>
  <c r="T12" i="69" s="1"/>
  <c r="Z79" i="69" s="1"/>
  <c r="T14" i="69"/>
  <c r="S20" i="69"/>
  <c r="T20" i="69" s="1"/>
  <c r="T22" i="69"/>
  <c r="T24" i="69"/>
  <c r="AY46" i="69"/>
  <c r="AY50" i="69"/>
  <c r="AO62" i="69"/>
  <c r="AA31" i="69"/>
  <c r="L31" i="69" s="1"/>
  <c r="AM62" i="69" s="1"/>
  <c r="AP53" i="69"/>
  <c r="AP49" i="69"/>
  <c r="AA63" i="69"/>
  <c r="AP55" i="69"/>
  <c r="T15" i="69"/>
  <c r="T13" i="69"/>
  <c r="T21" i="69"/>
  <c r="AY64" i="69"/>
  <c r="AU64" i="69"/>
  <c r="AQ64" i="69"/>
  <c r="AM64" i="69"/>
  <c r="AZ64" i="69"/>
  <c r="AV64" i="69"/>
  <c r="AR64" i="69"/>
  <c r="AN64" i="69"/>
  <c r="Z92" i="69"/>
  <c r="Z88" i="69"/>
  <c r="Z84" i="69"/>
  <c r="Z80" i="69"/>
  <c r="Z76" i="69"/>
  <c r="BA64" i="69"/>
  <c r="AS64" i="69"/>
  <c r="Y96" i="69"/>
  <c r="Z89" i="69"/>
  <c r="Y87" i="69"/>
  <c r="Y80" i="69"/>
  <c r="AP64" i="69"/>
  <c r="Z97" i="69"/>
  <c r="Y95" i="69"/>
  <c r="Y88" i="69"/>
  <c r="Z81" i="69"/>
  <c r="Y79" i="69"/>
  <c r="AW64" i="69"/>
  <c r="AL64" i="69"/>
  <c r="T25" i="69"/>
  <c r="AD31" i="69"/>
  <c r="O31" i="69" s="1"/>
  <c r="AZ40" i="69"/>
  <c r="AV40" i="69"/>
  <c r="AN40" i="69"/>
  <c r="AP40" i="69"/>
  <c r="AU40" i="69"/>
  <c r="BA40" i="69"/>
  <c r="AY41" i="69"/>
  <c r="AU41" i="69"/>
  <c r="AQ41" i="69"/>
  <c r="AM41" i="69"/>
  <c r="AP41" i="69"/>
  <c r="AV41" i="69"/>
  <c r="BA41" i="69"/>
  <c r="AX42" i="69"/>
  <c r="AT42" i="69"/>
  <c r="AP42" i="69"/>
  <c r="AL42" i="69"/>
  <c r="AQ42" i="69"/>
  <c r="AV42" i="69"/>
  <c r="BA42" i="69"/>
  <c r="AQ44" i="69"/>
  <c r="AO46" i="69"/>
  <c r="AW46" i="69"/>
  <c r="AQ48" i="69"/>
  <c r="AO50" i="69"/>
  <c r="AW50" i="69"/>
  <c r="AQ52" i="69"/>
  <c r="AZ54" i="69"/>
  <c r="AV54" i="69"/>
  <c r="AR54" i="69"/>
  <c r="AN54" i="69"/>
  <c r="AY54" i="69"/>
  <c r="AT54" i="69"/>
  <c r="AO54" i="69"/>
  <c r="AW54" i="69"/>
  <c r="AQ54" i="69"/>
  <c r="AL54" i="69"/>
  <c r="AU54" i="69"/>
  <c r="AY55" i="69"/>
  <c r="AU55" i="69"/>
  <c r="AQ55" i="69"/>
  <c r="AM55" i="69"/>
  <c r="AZ55" i="69"/>
  <c r="AT55" i="69"/>
  <c r="AO55" i="69"/>
  <c r="AW55" i="69"/>
  <c r="AR55" i="69"/>
  <c r="AL55" i="69"/>
  <c r="AV55" i="69"/>
  <c r="AX56" i="69"/>
  <c r="AT56" i="69"/>
  <c r="AP56" i="69"/>
  <c r="AL56" i="69"/>
  <c r="AZ56" i="69"/>
  <c r="AU56" i="69"/>
  <c r="AO56" i="69"/>
  <c r="AW56" i="69"/>
  <c r="AR56" i="69"/>
  <c r="AM56" i="69"/>
  <c r="AV56" i="69"/>
  <c r="AR62" i="69"/>
  <c r="AO64" i="69"/>
  <c r="Z77" i="69"/>
  <c r="Y81" i="69"/>
  <c r="Y90" i="69"/>
  <c r="Z90" i="69"/>
  <c r="Y92" i="69"/>
  <c r="Z4" i="69"/>
  <c r="Z31" i="69"/>
  <c r="K31" i="69" s="1"/>
  <c r="AL62" i="69" s="1"/>
  <c r="AL40" i="69"/>
  <c r="AQ40" i="69"/>
  <c r="AL41" i="69"/>
  <c r="AR41" i="69"/>
  <c r="AW41" i="69"/>
  <c r="AM42" i="69"/>
  <c r="AR42" i="69"/>
  <c r="AW42" i="69"/>
  <c r="AM44" i="69"/>
  <c r="AS44" i="69"/>
  <c r="AX44" i="69"/>
  <c r="AN45" i="69"/>
  <c r="AS45" i="69"/>
  <c r="AX45" i="69"/>
  <c r="AQ46" i="69"/>
  <c r="AX48" i="69"/>
  <c r="AT48" i="69"/>
  <c r="AP48" i="69"/>
  <c r="AL48" i="69"/>
  <c r="AZ48" i="69"/>
  <c r="AV48" i="69"/>
  <c r="AR48" i="69"/>
  <c r="AN48" i="69"/>
  <c r="AS48" i="69"/>
  <c r="BA48" i="69"/>
  <c r="AQ50" i="69"/>
  <c r="AX52" i="69"/>
  <c r="AT52" i="69"/>
  <c r="AP52" i="69"/>
  <c r="AL52" i="69"/>
  <c r="AZ52" i="69"/>
  <c r="AV52" i="69"/>
  <c r="AR52" i="69"/>
  <c r="AN52" i="69"/>
  <c r="AS52" i="69"/>
  <c r="BA52" i="69"/>
  <c r="AM54" i="69"/>
  <c r="AX54" i="69"/>
  <c r="AN55" i="69"/>
  <c r="AX55" i="69"/>
  <c r="AN56" i="69"/>
  <c r="AY56" i="69"/>
  <c r="AT64" i="69"/>
  <c r="Y82" i="69"/>
  <c r="Z82" i="69"/>
  <c r="Y84" i="69"/>
  <c r="Y99" i="69"/>
  <c r="T23" i="69"/>
  <c r="AZ46" i="69"/>
  <c r="AV46" i="69"/>
  <c r="AR46" i="69"/>
  <c r="AN46" i="69"/>
  <c r="AX46" i="69"/>
  <c r="AT46" i="69"/>
  <c r="AP46" i="69"/>
  <c r="AL46" i="69"/>
  <c r="AS46" i="69"/>
  <c r="BA46" i="69"/>
  <c r="AZ50" i="69"/>
  <c r="AV50" i="69"/>
  <c r="AR50" i="69"/>
  <c r="AN50" i="69"/>
  <c r="AX50" i="69"/>
  <c r="AT50" i="69"/>
  <c r="AP50" i="69"/>
  <c r="AL50" i="69"/>
  <c r="AS50" i="69"/>
  <c r="BA50" i="69"/>
  <c r="AQ56" i="69"/>
  <c r="AQ57" i="69"/>
  <c r="AU62" i="69"/>
  <c r="AZ62" i="69"/>
  <c r="BA62" i="69"/>
  <c r="AS62" i="69"/>
  <c r="AW62" i="69"/>
  <c r="AX62" i="69"/>
  <c r="AX64" i="69"/>
  <c r="Y91" i="69"/>
  <c r="Y97" i="69"/>
  <c r="X4" i="69"/>
  <c r="T26" i="69"/>
  <c r="Z93" i="69" s="1"/>
  <c r="AO40" i="69"/>
  <c r="AT40" i="69"/>
  <c r="AY40" i="69"/>
  <c r="AO41" i="69"/>
  <c r="AT41" i="69"/>
  <c r="AZ41" i="69"/>
  <c r="AO42" i="69"/>
  <c r="AU42" i="69"/>
  <c r="AZ42" i="69"/>
  <c r="AZ44" i="69"/>
  <c r="AV44" i="69"/>
  <c r="AR44" i="69"/>
  <c r="AN44" i="69"/>
  <c r="AP44" i="69"/>
  <c r="AU44" i="69"/>
  <c r="BA44" i="69"/>
  <c r="AY45" i="69"/>
  <c r="AU45" i="69"/>
  <c r="AQ45" i="69"/>
  <c r="AM45" i="69"/>
  <c r="AP45" i="69"/>
  <c r="AV45" i="69"/>
  <c r="BA45" i="69"/>
  <c r="AM46" i="69"/>
  <c r="AU46" i="69"/>
  <c r="AM50" i="69"/>
  <c r="AU50" i="69"/>
  <c r="AS54" i="69"/>
  <c r="AS55" i="69"/>
  <c r="AS56" i="69"/>
  <c r="Y83" i="69"/>
  <c r="Z85" i="69"/>
  <c r="Y89" i="69"/>
  <c r="Y98" i="69"/>
  <c r="Z98" i="69"/>
  <c r="AO43" i="69"/>
  <c r="AS43" i="69"/>
  <c r="AW43" i="69"/>
  <c r="BA43" i="69"/>
  <c r="AO47" i="69"/>
  <c r="AS47" i="69"/>
  <c r="AW47" i="69"/>
  <c r="BA47" i="69"/>
  <c r="AM49" i="69"/>
  <c r="AQ49" i="69"/>
  <c r="AU49" i="69"/>
  <c r="AY49" i="69"/>
  <c r="AO51" i="69"/>
  <c r="AS51" i="69"/>
  <c r="AW51" i="69"/>
  <c r="BA51" i="69"/>
  <c r="AM53" i="69"/>
  <c r="AQ53" i="69"/>
  <c r="AV53" i="69"/>
  <c r="AM58" i="69"/>
  <c r="AS58" i="69"/>
  <c r="AX58" i="69"/>
  <c r="AN59" i="69"/>
  <c r="AS59" i="69"/>
  <c r="AX59" i="69"/>
  <c r="AN60" i="69"/>
  <c r="AS60" i="69"/>
  <c r="AY60" i="69"/>
  <c r="BA63" i="69"/>
  <c r="AW63" i="69"/>
  <c r="AS63" i="69"/>
  <c r="AO63" i="69"/>
  <c r="AX63" i="69"/>
  <c r="AT63" i="69"/>
  <c r="AP63" i="69"/>
  <c r="AL63" i="69"/>
  <c r="AY63" i="69"/>
  <c r="AQ63" i="69"/>
  <c r="AU63" i="69"/>
  <c r="Y77" i="69"/>
  <c r="Y86" i="69"/>
  <c r="Z86" i="69"/>
  <c r="Y93" i="69"/>
  <c r="AV62" i="69"/>
  <c r="X146" i="69"/>
  <c r="B181" i="69"/>
  <c r="A181" i="69" s="1"/>
  <c r="X148" i="69"/>
  <c r="B183" i="69"/>
  <c r="A183" i="69" s="1"/>
  <c r="X150" i="69"/>
  <c r="B185" i="69"/>
  <c r="A185" i="69" s="1"/>
  <c r="X152" i="69"/>
  <c r="B187" i="69"/>
  <c r="A187" i="69" s="1"/>
  <c r="X154" i="69"/>
  <c r="B189" i="69"/>
  <c r="A189" i="69" s="1"/>
  <c r="X156" i="69"/>
  <c r="B191" i="69"/>
  <c r="A191" i="69" s="1"/>
  <c r="X158" i="69"/>
  <c r="B193" i="69"/>
  <c r="A193" i="69" s="1"/>
  <c r="X160" i="69"/>
  <c r="B195" i="69"/>
  <c r="A195" i="69" s="1"/>
  <c r="X162" i="69"/>
  <c r="B197" i="69"/>
  <c r="A197" i="69" s="1"/>
  <c r="X164" i="69"/>
  <c r="B199" i="69"/>
  <c r="A199" i="69" s="1"/>
  <c r="X166" i="69"/>
  <c r="B201" i="69"/>
  <c r="A201" i="69" s="1"/>
  <c r="AO49" i="69"/>
  <c r="AS49" i="69"/>
  <c r="AW49" i="69"/>
  <c r="BA49" i="69"/>
  <c r="BA53" i="69"/>
  <c r="AW53" i="69"/>
  <c r="AS53" i="69"/>
  <c r="AO53" i="69"/>
  <c r="AT53" i="69"/>
  <c r="AY53" i="69"/>
  <c r="AZ58" i="69"/>
  <c r="AV58" i="69"/>
  <c r="AR58" i="69"/>
  <c r="AN58" i="69"/>
  <c r="AP58" i="69"/>
  <c r="AU58" i="69"/>
  <c r="BA58" i="69"/>
  <c r="AY59" i="69"/>
  <c r="AU59" i="69"/>
  <c r="AQ59" i="69"/>
  <c r="AM59" i="69"/>
  <c r="AP59" i="69"/>
  <c r="AV59" i="69"/>
  <c r="BA59" i="69"/>
  <c r="AX60" i="69"/>
  <c r="AT60" i="69"/>
  <c r="AP60" i="69"/>
  <c r="AL60" i="69"/>
  <c r="AQ60" i="69"/>
  <c r="AV60" i="69"/>
  <c r="BA60" i="69"/>
  <c r="Y78" i="69"/>
  <c r="Z78" i="69"/>
  <c r="Y85" i="69"/>
  <c r="Y94" i="69"/>
  <c r="Z94" i="69"/>
  <c r="X145" i="69"/>
  <c r="B180" i="69"/>
  <c r="X147" i="69"/>
  <c r="B182" i="69"/>
  <c r="A182" i="69" s="1"/>
  <c r="X149" i="69"/>
  <c r="B184" i="69"/>
  <c r="A184" i="69" s="1"/>
  <c r="X151" i="69"/>
  <c r="B186" i="69"/>
  <c r="A186" i="69" s="1"/>
  <c r="X153" i="69"/>
  <c r="B188" i="69"/>
  <c r="A188" i="69" s="1"/>
  <c r="X155" i="69"/>
  <c r="B190" i="69"/>
  <c r="A190" i="69" s="1"/>
  <c r="X157" i="69"/>
  <c r="B192" i="69"/>
  <c r="A192" i="69" s="1"/>
  <c r="X159" i="69"/>
  <c r="B194" i="69"/>
  <c r="A194" i="69" s="1"/>
  <c r="X161" i="69"/>
  <c r="B196" i="69"/>
  <c r="A196" i="69" s="1"/>
  <c r="X163" i="69"/>
  <c r="B198" i="69"/>
  <c r="A198" i="69" s="1"/>
  <c r="X165" i="69"/>
  <c r="B200" i="69"/>
  <c r="A200" i="69" s="1"/>
  <c r="X167" i="69"/>
  <c r="B202" i="69"/>
  <c r="B203" i="69"/>
  <c r="X168" i="69"/>
  <c r="AO57" i="69"/>
  <c r="AS57" i="69"/>
  <c r="AW57" i="69"/>
  <c r="BA57" i="69"/>
  <c r="AO61" i="69"/>
  <c r="AS61" i="69"/>
  <c r="AW61" i="69"/>
  <c r="BA61" i="69"/>
  <c r="Z87" i="69"/>
  <c r="Z91" i="69"/>
  <c r="Z95" i="69"/>
  <c r="Z99" i="69"/>
  <c r="AY62" i="69"/>
  <c r="D50" i="76" l="1"/>
  <c r="I50" i="76"/>
  <c r="F50" i="76"/>
  <c r="V50" i="76"/>
  <c r="P50" i="76"/>
  <c r="M50" i="76"/>
  <c r="O50" i="76"/>
  <c r="T50" i="76"/>
  <c r="N50" i="76"/>
  <c r="U50" i="76"/>
  <c r="G50" i="76"/>
  <c r="W50" i="76"/>
  <c r="Y50" i="76"/>
  <c r="L50" i="76"/>
  <c r="J50" i="76"/>
  <c r="AA50" i="76"/>
  <c r="X50" i="76"/>
  <c r="Q50" i="76"/>
  <c r="S50" i="76"/>
  <c r="E50" i="76"/>
  <c r="R50" i="76"/>
  <c r="H50" i="76"/>
  <c r="K50" i="76"/>
  <c r="Z50" i="76"/>
  <c r="AP62" i="69"/>
  <c r="Z47" i="76"/>
  <c r="A180" i="69"/>
  <c r="B232" i="69"/>
  <c r="B224" i="69"/>
  <c r="B216" i="69"/>
  <c r="B235" i="69"/>
  <c r="B227" i="69"/>
  <c r="B238" i="69"/>
  <c r="B234" i="69"/>
  <c r="B230" i="69"/>
  <c r="B226" i="69"/>
  <c r="B222" i="69"/>
  <c r="B218" i="69"/>
  <c r="B236" i="69"/>
  <c r="B228" i="69"/>
  <c r="B220" i="69"/>
  <c r="B231" i="69"/>
  <c r="B223" i="69"/>
  <c r="B219" i="69"/>
  <c r="B237" i="69"/>
  <c r="X237" i="69" s="1"/>
  <c r="B233" i="69"/>
  <c r="B229" i="69"/>
  <c r="B225" i="69"/>
  <c r="B221" i="69"/>
  <c r="B217" i="69"/>
  <c r="B250" i="69"/>
  <c r="B285" i="69" s="1"/>
  <c r="B215" i="69"/>
  <c r="BB40" i="69"/>
  <c r="BD45" i="69"/>
  <c r="BF55" i="69"/>
  <c r="BC55" i="69"/>
  <c r="BC62" i="69"/>
  <c r="BB52" i="69"/>
  <c r="BB48" i="69"/>
  <c r="BB42" i="69"/>
  <c r="X201" i="69"/>
  <c r="B271" i="69"/>
  <c r="A271" i="69" s="1"/>
  <c r="X197" i="69"/>
  <c r="B267" i="69"/>
  <c r="A267" i="69" s="1"/>
  <c r="X193" i="69"/>
  <c r="B263" i="69"/>
  <c r="A263" i="69" s="1"/>
  <c r="X189" i="69"/>
  <c r="B259" i="69"/>
  <c r="A259" i="69" s="1"/>
  <c r="X185" i="69"/>
  <c r="B255" i="69"/>
  <c r="A255" i="69" s="1"/>
  <c r="X181" i="69"/>
  <c r="B251" i="69"/>
  <c r="A251" i="69" s="1"/>
  <c r="BD59" i="69"/>
  <c r="BE45" i="69"/>
  <c r="BE43" i="69"/>
  <c r="BB46" i="69"/>
  <c r="X203" i="69"/>
  <c r="X199" i="69"/>
  <c r="B269" i="69"/>
  <c r="A269" i="69" s="1"/>
  <c r="X195" i="69"/>
  <c r="B265" i="69"/>
  <c r="A265" i="69" s="1"/>
  <c r="X191" i="69"/>
  <c r="B261" i="69"/>
  <c r="A261" i="69" s="1"/>
  <c r="X187" i="69"/>
  <c r="B257" i="69"/>
  <c r="A257" i="69" s="1"/>
  <c r="X183" i="69"/>
  <c r="B253" i="69"/>
  <c r="A253" i="69" s="1"/>
  <c r="BE49" i="69"/>
  <c r="X202" i="69"/>
  <c r="B272" i="69"/>
  <c r="X198" i="69"/>
  <c r="B268" i="69"/>
  <c r="A268" i="69" s="1"/>
  <c r="X194" i="69"/>
  <c r="B264" i="69"/>
  <c r="A264" i="69" s="1"/>
  <c r="X190" i="69"/>
  <c r="B260" i="69"/>
  <c r="A260" i="69" s="1"/>
  <c r="X186" i="69"/>
  <c r="B256" i="69"/>
  <c r="A256" i="69" s="1"/>
  <c r="X182" i="69"/>
  <c r="B252" i="69"/>
  <c r="A252" i="69" s="1"/>
  <c r="BF60" i="69"/>
  <c r="BF58" i="69"/>
  <c r="BD58" i="69"/>
  <c r="BE53" i="69"/>
  <c r="BB62" i="69"/>
  <c r="BD56" i="69"/>
  <c r="BC54" i="69"/>
  <c r="BD62" i="69"/>
  <c r="BB56" i="69"/>
  <c r="BE50" i="69"/>
  <c r="BE47" i="69"/>
  <c r="BF41" i="69"/>
  <c r="BC41" i="69"/>
  <c r="BF64" i="69"/>
  <c r="X200" i="69"/>
  <c r="B270" i="69"/>
  <c r="A270" i="69" s="1"/>
  <c r="X196" i="69"/>
  <c r="B266" i="69"/>
  <c r="A266" i="69" s="1"/>
  <c r="X192" i="69"/>
  <c r="B262" i="69"/>
  <c r="A262" i="69" s="1"/>
  <c r="X188" i="69"/>
  <c r="B258" i="69"/>
  <c r="A258" i="69" s="1"/>
  <c r="X184" i="69"/>
  <c r="B254" i="69"/>
  <c r="A254" i="69" s="1"/>
  <c r="BE61" i="69"/>
  <c r="BD55" i="69"/>
  <c r="BB53" i="69"/>
  <c r="BF50" i="69"/>
  <c r="BD46" i="69"/>
  <c r="BB54" i="69"/>
  <c r="BE54" i="69"/>
  <c r="BD64" i="69"/>
  <c r="BD63" i="69"/>
  <c r="BB63" i="69"/>
  <c r="AK64" i="69"/>
  <c r="M64" i="69"/>
  <c r="X180" i="69"/>
  <c r="BB61" i="69"/>
  <c r="BF57" i="69"/>
  <c r="BC51" i="69"/>
  <c r="BC47" i="69"/>
  <c r="BD61" i="69"/>
  <c r="BC57" i="69"/>
  <c r="BE60" i="69"/>
  <c r="BE59" i="69"/>
  <c r="BE58" i="69"/>
  <c r="BD57" i="69"/>
  <c r="BC53" i="69"/>
  <c r="BE52" i="69"/>
  <c r="BB51" i="69"/>
  <c r="BE48" i="69"/>
  <c r="BB47" i="69"/>
  <c r="BF43" i="69"/>
  <c r="BF61" i="69"/>
  <c r="BC60" i="69"/>
  <c r="BB59" i="69"/>
  <c r="BB58" i="69"/>
  <c r="BB57" i="69"/>
  <c r="BC52" i="69"/>
  <c r="BF49" i="69"/>
  <c r="BC48" i="69"/>
  <c r="BF45" i="69"/>
  <c r="BE44" i="69"/>
  <c r="BD43" i="69"/>
  <c r="BD42" i="69"/>
  <c r="BD41" i="69"/>
  <c r="BC40" i="69"/>
  <c r="BC61" i="69"/>
  <c r="BF51" i="69"/>
  <c r="BD49" i="69"/>
  <c r="BF47" i="69"/>
  <c r="BC43" i="69"/>
  <c r="BC63" i="69"/>
  <c r="BF53" i="69"/>
  <c r="BD51" i="69"/>
  <c r="BB49" i="69"/>
  <c r="BD47" i="69"/>
  <c r="BB45" i="69"/>
  <c r="BB44" i="69"/>
  <c r="BB43" i="69"/>
  <c r="BF59" i="69"/>
  <c r="BC59" i="69"/>
  <c r="BD53" i="69"/>
  <c r="BF63" i="69"/>
  <c r="BE64" i="69"/>
  <c r="BD60" i="69"/>
  <c r="BC45" i="69"/>
  <c r="BE42" i="69"/>
  <c r="BE41" i="69"/>
  <c r="BE40" i="69"/>
  <c r="AB70" i="69"/>
  <c r="X70" i="69"/>
  <c r="Y70" i="69"/>
  <c r="Z70" i="69"/>
  <c r="X40" i="69"/>
  <c r="Y40" i="69" s="1"/>
  <c r="AA70" i="69"/>
  <c r="BE62" i="69"/>
  <c r="BD50" i="69"/>
  <c r="BF46" i="69"/>
  <c r="BD52" i="69"/>
  <c r="BF48" i="69"/>
  <c r="BC42" i="69"/>
  <c r="BB41" i="69"/>
  <c r="BC56" i="69"/>
  <c r="BE56" i="69"/>
  <c r="BB55" i="69"/>
  <c r="BE55" i="69"/>
  <c r="BD54" i="69"/>
  <c r="BE46" i="69"/>
  <c r="BF42" i="69"/>
  <c r="BC64" i="69"/>
  <c r="BE63" i="69"/>
  <c r="BB60" i="69"/>
  <c r="BE57" i="69"/>
  <c r="BC49" i="69"/>
  <c r="BC58" i="69"/>
  <c r="BC50" i="69"/>
  <c r="BC46" i="69"/>
  <c r="BF44" i="69"/>
  <c r="BD44" i="69"/>
  <c r="BB50" i="69"/>
  <c r="BF52" i="69"/>
  <c r="BD48" i="69"/>
  <c r="BF62" i="69"/>
  <c r="BF56" i="69"/>
  <c r="BF54" i="69"/>
  <c r="BE51" i="69"/>
  <c r="BF40" i="69"/>
  <c r="BD40" i="69"/>
  <c r="BB64" i="69"/>
  <c r="BC44" i="69"/>
  <c r="A215" i="69" l="1"/>
  <c r="I51" i="76"/>
  <c r="O51" i="76"/>
  <c r="N51" i="76"/>
  <c r="H51" i="76"/>
  <c r="X51" i="76"/>
  <c r="Y51" i="76"/>
  <c r="J51" i="76"/>
  <c r="G51" i="76"/>
  <c r="W51" i="76"/>
  <c r="M51" i="76"/>
  <c r="P51" i="76"/>
  <c r="K51" i="76"/>
  <c r="D51" i="76"/>
  <c r="Q51" i="76"/>
  <c r="F51" i="76"/>
  <c r="S51" i="76"/>
  <c r="V51" i="76"/>
  <c r="L51" i="76"/>
  <c r="E51" i="76"/>
  <c r="R51" i="76"/>
  <c r="U51" i="76"/>
  <c r="T51" i="76"/>
  <c r="Z51" i="76"/>
  <c r="X238" i="69"/>
  <c r="AA51" i="76"/>
  <c r="X217" i="69"/>
  <c r="A217" i="69"/>
  <c r="X233" i="69"/>
  <c r="A233" i="69"/>
  <c r="X231" i="69"/>
  <c r="A231" i="69"/>
  <c r="X226" i="69"/>
  <c r="A226" i="69"/>
  <c r="X234" i="69"/>
  <c r="A234" i="69"/>
  <c r="X227" i="69"/>
  <c r="A227" i="69"/>
  <c r="X216" i="69"/>
  <c r="A216" i="69"/>
  <c r="X232" i="69"/>
  <c r="A232" i="69"/>
  <c r="X250" i="69"/>
  <c r="AD250" i="69" s="1"/>
  <c r="A250" i="69"/>
  <c r="X221" i="69"/>
  <c r="A221" i="69"/>
  <c r="X229" i="69"/>
  <c r="A229" i="69"/>
  <c r="X223" i="69"/>
  <c r="A223" i="69"/>
  <c r="X220" i="69"/>
  <c r="A220" i="69"/>
  <c r="X236" i="69"/>
  <c r="A236" i="69"/>
  <c r="X285" i="69"/>
  <c r="A285" i="69"/>
  <c r="X225" i="69"/>
  <c r="A225" i="69"/>
  <c r="X219" i="69"/>
  <c r="A219" i="69"/>
  <c r="X228" i="69"/>
  <c r="A228" i="69"/>
  <c r="X218" i="69"/>
  <c r="A218" i="69"/>
  <c r="BK62" i="69"/>
  <c r="X222" i="69"/>
  <c r="A222" i="69"/>
  <c r="X230" i="69"/>
  <c r="A230" i="69"/>
  <c r="X235" i="69"/>
  <c r="A235" i="69"/>
  <c r="X224" i="69"/>
  <c r="A224" i="69"/>
  <c r="BL42" i="69"/>
  <c r="BN42" i="69"/>
  <c r="BL46" i="69"/>
  <c r="BN51" i="69"/>
  <c r="BM57" i="69"/>
  <c r="BN62" i="69"/>
  <c r="BL62" i="69"/>
  <c r="BP60" i="69"/>
  <c r="BL40" i="69"/>
  <c r="BN44" i="69"/>
  <c r="BO44" i="69"/>
  <c r="BN48" i="69"/>
  <c r="BN54" i="69"/>
  <c r="BN59" i="69"/>
  <c r="BN63" i="69"/>
  <c r="BP63" i="69"/>
  <c r="BP50" i="69"/>
  <c r="BO56" i="69"/>
  <c r="BP61" i="69"/>
  <c r="BP41" i="69"/>
  <c r="BN41" i="69"/>
  <c r="BO45" i="69"/>
  <c r="BN49" i="69"/>
  <c r="BL55" i="69"/>
  <c r="BL43" i="69"/>
  <c r="BP47" i="69"/>
  <c r="BO52" i="69"/>
  <c r="BN52" i="69"/>
  <c r="BP53" i="69"/>
  <c r="BM58" i="69"/>
  <c r="BL64" i="69"/>
  <c r="BO64" i="69"/>
  <c r="BP49" i="69"/>
  <c r="BM43" i="69"/>
  <c r="BL47" i="69"/>
  <c r="BM53" i="69"/>
  <c r="BP42" i="69"/>
  <c r="BM46" i="69"/>
  <c r="BP46" i="69"/>
  <c r="BO51" i="69"/>
  <c r="BN57" i="69"/>
  <c r="BM62" i="69"/>
  <c r="BM60" i="69"/>
  <c r="BN60" i="69"/>
  <c r="BP40" i="69"/>
  <c r="BM44" i="69"/>
  <c r="BP48" i="69"/>
  <c r="BL48" i="69"/>
  <c r="BP54" i="69"/>
  <c r="BO59" i="69"/>
  <c r="BO63" i="69"/>
  <c r="BL50" i="69"/>
  <c r="BO50" i="69"/>
  <c r="BN56" i="69"/>
  <c r="BL61" i="69"/>
  <c r="BO41" i="69"/>
  <c r="BM45" i="69"/>
  <c r="BN45" i="69"/>
  <c r="BM49" i="69"/>
  <c r="BP55" i="69"/>
  <c r="BO43" i="69"/>
  <c r="BM47" i="69"/>
  <c r="BP52" i="69"/>
  <c r="BN53" i="69"/>
  <c r="BO53" i="69"/>
  <c r="BL58" i="69"/>
  <c r="BM64" i="69"/>
  <c r="BO42" i="69"/>
  <c r="BO46" i="69"/>
  <c r="BP51" i="69"/>
  <c r="BL51" i="69"/>
  <c r="BL57" i="69"/>
  <c r="BP62" i="69"/>
  <c r="BO60" i="69"/>
  <c r="BO40" i="69"/>
  <c r="BL44" i="69"/>
  <c r="BO48" i="69"/>
  <c r="BO54" i="69"/>
  <c r="BL54" i="69"/>
  <c r="BL59" i="69"/>
  <c r="BL63" i="69"/>
  <c r="BM50" i="69"/>
  <c r="BM56" i="69"/>
  <c r="BP56" i="69"/>
  <c r="BM61" i="69"/>
  <c r="BM41" i="69"/>
  <c r="BP45" i="69"/>
  <c r="BL49" i="69"/>
  <c r="BO55" i="69"/>
  <c r="BN43" i="69"/>
  <c r="BL52" i="69"/>
  <c r="BN58" i="69"/>
  <c r="BM42" i="69"/>
  <c r="BP57" i="69"/>
  <c r="BM40" i="69"/>
  <c r="BM54" i="69"/>
  <c r="BN50" i="69"/>
  <c r="BL41" i="69"/>
  <c r="BN55" i="69"/>
  <c r="BN47" i="69"/>
  <c r="BO58" i="69"/>
  <c r="BL60" i="69"/>
  <c r="BP59" i="69"/>
  <c r="BN61" i="69"/>
  <c r="BO49" i="69"/>
  <c r="BO57" i="69"/>
  <c r="BM48" i="69"/>
  <c r="BM63" i="69"/>
  <c r="BO61" i="69"/>
  <c r="BL53" i="69"/>
  <c r="BN46" i="69"/>
  <c r="BO62" i="69"/>
  <c r="BN40" i="69"/>
  <c r="BM59" i="69"/>
  <c r="BL56" i="69"/>
  <c r="BL45" i="69"/>
  <c r="BO47" i="69"/>
  <c r="BP58" i="69"/>
  <c r="BM51" i="69"/>
  <c r="BP44" i="69"/>
  <c r="BM52" i="69"/>
  <c r="BN64" i="69"/>
  <c r="BM55" i="69"/>
  <c r="BP43" i="69"/>
  <c r="BP64" i="69"/>
  <c r="X215" i="69"/>
  <c r="BK41" i="69"/>
  <c r="BJ41" i="69"/>
  <c r="BJ43" i="69"/>
  <c r="BI45" i="69"/>
  <c r="BK47" i="69"/>
  <c r="BH49" i="69"/>
  <c r="BG49" i="69"/>
  <c r="BG51" i="69"/>
  <c r="BI53" i="69"/>
  <c r="BH54" i="69"/>
  <c r="BG56" i="69"/>
  <c r="BJ56" i="69"/>
  <c r="BI58" i="69"/>
  <c r="BH60" i="69"/>
  <c r="BG62" i="69"/>
  <c r="BK64" i="69"/>
  <c r="BJ63" i="69"/>
  <c r="BG63" i="69"/>
  <c r="BJ40" i="69"/>
  <c r="BI42" i="69"/>
  <c r="BG44" i="69"/>
  <c r="BK46" i="69"/>
  <c r="BJ46" i="69"/>
  <c r="BI48" i="69"/>
  <c r="BG50" i="69"/>
  <c r="BH52" i="69"/>
  <c r="BH55" i="69"/>
  <c r="BI55" i="69"/>
  <c r="BG57" i="69"/>
  <c r="BJ59" i="69"/>
  <c r="BK61" i="69"/>
  <c r="BI46" i="69"/>
  <c r="BJ50" i="69"/>
  <c r="BG55" i="69"/>
  <c r="BH59" i="69"/>
  <c r="BK43" i="69"/>
  <c r="BK45" i="69"/>
  <c r="BG47" i="69"/>
  <c r="BI51" i="69"/>
  <c r="BK54" i="69"/>
  <c r="BI56" i="69"/>
  <c r="BG60" i="69"/>
  <c r="BG64" i="69"/>
  <c r="BH63" i="69"/>
  <c r="BK40" i="69"/>
  <c r="BK42" i="69"/>
  <c r="BI44" i="69"/>
  <c r="BG48" i="69"/>
  <c r="BK52" i="69"/>
  <c r="BJ55" i="69"/>
  <c r="BK59" i="69"/>
  <c r="BG61" i="69"/>
  <c r="BH41" i="69"/>
  <c r="BH43" i="69"/>
  <c r="BI43" i="69"/>
  <c r="BJ45" i="69"/>
  <c r="BJ47" i="69"/>
  <c r="BK49" i="69"/>
  <c r="BH51" i="69"/>
  <c r="BJ51" i="69"/>
  <c r="BG53" i="69"/>
  <c r="BJ54" i="69"/>
  <c r="BH56" i="69"/>
  <c r="BK58" i="69"/>
  <c r="BJ58" i="69"/>
  <c r="BI60" i="69"/>
  <c r="BI62" i="69"/>
  <c r="BH64" i="69"/>
  <c r="BI63" i="69"/>
  <c r="BH40" i="69"/>
  <c r="BI40" i="69"/>
  <c r="BJ42" i="69"/>
  <c r="BH44" i="69"/>
  <c r="BH46" i="69"/>
  <c r="BK48" i="69"/>
  <c r="BJ48" i="69"/>
  <c r="BI50" i="69"/>
  <c r="BG52" i="69"/>
  <c r="BK55" i="69"/>
  <c r="BH57" i="69"/>
  <c r="BI57" i="69"/>
  <c r="BI59" i="69"/>
  <c r="BI61" i="69"/>
  <c r="BG41" i="69"/>
  <c r="BG43" i="69"/>
  <c r="BH45" i="69"/>
  <c r="BG45" i="69"/>
  <c r="BI47" i="69"/>
  <c r="BJ49" i="69"/>
  <c r="BK51" i="69"/>
  <c r="BH53" i="69"/>
  <c r="BJ53" i="69"/>
  <c r="BG54" i="69"/>
  <c r="BK56" i="69"/>
  <c r="BH58" i="69"/>
  <c r="BK60" i="69"/>
  <c r="BJ60" i="69"/>
  <c r="BH62" i="69"/>
  <c r="BJ64" i="69"/>
  <c r="BK63" i="69"/>
  <c r="BG40" i="69"/>
  <c r="BH42" i="69"/>
  <c r="BG42" i="69"/>
  <c r="BJ44" i="69"/>
  <c r="BH48" i="69"/>
  <c r="BK50" i="69"/>
  <c r="BJ52" i="69"/>
  <c r="BK57" i="69"/>
  <c r="BG59" i="69"/>
  <c r="BJ61" i="69"/>
  <c r="BI41" i="69"/>
  <c r="BH47" i="69"/>
  <c r="BI49" i="69"/>
  <c r="BK53" i="69"/>
  <c r="BI54" i="69"/>
  <c r="BG58" i="69"/>
  <c r="BJ62" i="69"/>
  <c r="BI64" i="69"/>
  <c r="BK44" i="69"/>
  <c r="BG46" i="69"/>
  <c r="BH50" i="69"/>
  <c r="BI52" i="69"/>
  <c r="BJ57" i="69"/>
  <c r="BH61" i="69"/>
  <c r="B288" i="69"/>
  <c r="X253" i="69"/>
  <c r="AD253" i="69" s="1"/>
  <c r="B296" i="69"/>
  <c r="X261" i="69"/>
  <c r="AD261" i="69" s="1"/>
  <c r="B304" i="69"/>
  <c r="X269" i="69"/>
  <c r="AD269" i="69" s="1"/>
  <c r="X251" i="69"/>
  <c r="AD251" i="69" s="1"/>
  <c r="B286" i="69"/>
  <c r="X259" i="69"/>
  <c r="AD259" i="69" s="1"/>
  <c r="B294" i="69"/>
  <c r="X267" i="69"/>
  <c r="AD267" i="69" s="1"/>
  <c r="B302" i="69"/>
  <c r="X258" i="69"/>
  <c r="AD258" i="69" s="1"/>
  <c r="B293" i="69"/>
  <c r="X266" i="69"/>
  <c r="AD266" i="69" s="1"/>
  <c r="B301" i="69"/>
  <c r="B291" i="69"/>
  <c r="X256" i="69"/>
  <c r="AD256" i="69" s="1"/>
  <c r="B299" i="69"/>
  <c r="X264" i="69"/>
  <c r="AD264" i="69" s="1"/>
  <c r="B307" i="69"/>
  <c r="X307" i="69" s="1"/>
  <c r="X272" i="69"/>
  <c r="AD272" i="69" s="1"/>
  <c r="B292" i="69"/>
  <c r="X257" i="69"/>
  <c r="AD257" i="69" s="1"/>
  <c r="B300" i="69"/>
  <c r="X265" i="69"/>
  <c r="AD265" i="69" s="1"/>
  <c r="X273" i="69"/>
  <c r="AD273" i="69" s="1"/>
  <c r="X255" i="69"/>
  <c r="AD255" i="69" s="1"/>
  <c r="B290" i="69"/>
  <c r="X263" i="69"/>
  <c r="AD263" i="69" s="1"/>
  <c r="B298" i="69"/>
  <c r="X271" i="69"/>
  <c r="AD271" i="69" s="1"/>
  <c r="B306" i="69"/>
  <c r="X254" i="69"/>
  <c r="AD254" i="69" s="1"/>
  <c r="B289" i="69"/>
  <c r="X262" i="69"/>
  <c r="AD262" i="69" s="1"/>
  <c r="B297" i="69"/>
  <c r="X270" i="69"/>
  <c r="AD270" i="69" s="1"/>
  <c r="B305" i="69"/>
  <c r="B287" i="69"/>
  <c r="X252" i="69"/>
  <c r="AD252" i="69" s="1"/>
  <c r="B295" i="69"/>
  <c r="X260" i="69"/>
  <c r="AD260" i="69" s="1"/>
  <c r="B303" i="69"/>
  <c r="X268" i="69"/>
  <c r="AD268" i="69" s="1"/>
  <c r="Z40" i="69"/>
  <c r="X296" i="69" l="1"/>
  <c r="A296" i="69"/>
  <c r="X297" i="69"/>
  <c r="A297" i="69"/>
  <c r="X290" i="69"/>
  <c r="A290" i="69"/>
  <c r="X293" i="69"/>
  <c r="A293" i="69"/>
  <c r="X287" i="69"/>
  <c r="A287" i="69"/>
  <c r="X300" i="69"/>
  <c r="A300" i="69"/>
  <c r="AE307" i="69"/>
  <c r="AH307" i="69"/>
  <c r="AF307" i="69"/>
  <c r="AG307" i="69"/>
  <c r="AD307" i="69"/>
  <c r="X291" i="69"/>
  <c r="A291" i="69"/>
  <c r="X304" i="69"/>
  <c r="A304" i="69"/>
  <c r="X288" i="69"/>
  <c r="A288" i="69"/>
  <c r="X295" i="69"/>
  <c r="A295" i="69"/>
  <c r="X292" i="69"/>
  <c r="A292" i="69"/>
  <c r="X299" i="69"/>
  <c r="A299" i="69"/>
  <c r="X306" i="69"/>
  <c r="A306" i="69"/>
  <c r="X294" i="69"/>
  <c r="A294" i="69"/>
  <c r="X303" i="69"/>
  <c r="A303" i="69"/>
  <c r="X305" i="69"/>
  <c r="A305" i="69"/>
  <c r="X289" i="69"/>
  <c r="A289" i="69"/>
  <c r="X298" i="69"/>
  <c r="A298" i="69"/>
  <c r="X301" i="69"/>
  <c r="A301" i="69"/>
  <c r="X302" i="69"/>
  <c r="A302" i="69"/>
  <c r="X286" i="69"/>
  <c r="A286" i="69"/>
  <c r="AG285" i="69"/>
  <c r="AD285" i="69"/>
  <c r="AF285" i="69"/>
  <c r="AH285" i="69"/>
  <c r="AE285" i="69"/>
  <c r="AH308" i="69"/>
  <c r="AF308" i="69"/>
  <c r="AD308" i="69"/>
  <c r="AE308" i="69"/>
  <c r="AG308" i="69"/>
  <c r="X99" i="68"/>
  <c r="X98" i="68"/>
  <c r="X97" i="68"/>
  <c r="X96" i="68"/>
  <c r="X95" i="68"/>
  <c r="X94" i="68"/>
  <c r="X93" i="68"/>
  <c r="X92" i="68"/>
  <c r="X91" i="68"/>
  <c r="X90" i="68"/>
  <c r="X89" i="68"/>
  <c r="X88" i="68"/>
  <c r="X87" i="68"/>
  <c r="X86" i="68"/>
  <c r="X85" i="68"/>
  <c r="X84" i="68"/>
  <c r="X83" i="68"/>
  <c r="X82" i="68"/>
  <c r="X81" i="68"/>
  <c r="X80" i="68"/>
  <c r="X79" i="68"/>
  <c r="X78" i="68"/>
  <c r="X77" i="68"/>
  <c r="X76" i="68"/>
  <c r="AB69" i="68"/>
  <c r="AA69" i="68"/>
  <c r="Z69" i="68"/>
  <c r="Y69" i="68"/>
  <c r="X69" i="68"/>
  <c r="AB68" i="68"/>
  <c r="X68" i="68"/>
  <c r="AB67" i="68"/>
  <c r="AB66" i="68"/>
  <c r="X66" i="68"/>
  <c r="AB65" i="68"/>
  <c r="AB64" i="68"/>
  <c r="AA64" i="68"/>
  <c r="Y64" i="68"/>
  <c r="AK63" i="68"/>
  <c r="AQ63" i="68" s="1"/>
  <c r="Y63" i="68"/>
  <c r="AK62" i="68"/>
  <c r="AA62" i="68"/>
  <c r="Y62" i="68"/>
  <c r="AK61" i="68"/>
  <c r="AA61" i="68"/>
  <c r="Y61" i="68"/>
  <c r="AK60" i="68"/>
  <c r="AA60" i="68"/>
  <c r="Y60" i="68"/>
  <c r="AK59" i="68"/>
  <c r="AA59" i="68"/>
  <c r="Y59" i="68"/>
  <c r="AK58" i="68"/>
  <c r="AA58" i="68"/>
  <c r="Y58" i="68"/>
  <c r="AK57" i="68"/>
  <c r="AA57" i="68"/>
  <c r="Y57" i="68"/>
  <c r="AK56" i="68"/>
  <c r="AA56" i="68"/>
  <c r="Y56" i="68"/>
  <c r="AK55" i="68"/>
  <c r="AA55" i="68"/>
  <c r="Y55" i="68"/>
  <c r="AK54" i="68"/>
  <c r="AA54" i="68"/>
  <c r="Y54" i="68"/>
  <c r="AK53" i="68"/>
  <c r="AA53" i="68"/>
  <c r="Y53" i="68"/>
  <c r="AK52" i="68"/>
  <c r="AA52" i="68"/>
  <c r="Y52" i="68"/>
  <c r="AK51" i="68"/>
  <c r="AA51" i="68"/>
  <c r="Y51" i="68"/>
  <c r="AK50" i="68"/>
  <c r="AA50" i="68"/>
  <c r="Y50" i="68"/>
  <c r="AK49" i="68"/>
  <c r="AA49" i="68"/>
  <c r="Y49" i="68"/>
  <c r="AK48" i="68"/>
  <c r="AA48" i="68"/>
  <c r="Y48" i="68"/>
  <c r="AK47" i="68"/>
  <c r="AA47" i="68"/>
  <c r="Y47" i="68"/>
  <c r="AK46" i="68"/>
  <c r="AA46" i="68"/>
  <c r="Y46" i="68"/>
  <c r="AK45" i="68"/>
  <c r="AA45" i="68"/>
  <c r="Y45" i="68"/>
  <c r="AK44" i="68"/>
  <c r="AA44" i="68"/>
  <c r="Y44" i="68"/>
  <c r="AK43" i="68"/>
  <c r="AA43" i="68"/>
  <c r="Y43" i="68"/>
  <c r="AK42" i="68"/>
  <c r="AA42" i="68"/>
  <c r="Y42" i="68"/>
  <c r="AK41" i="68"/>
  <c r="AA41" i="68"/>
  <c r="Y41" i="68"/>
  <c r="AK40" i="68"/>
  <c r="AP39" i="68"/>
  <c r="AO39" i="68"/>
  <c r="AN39" i="68"/>
  <c r="AM39" i="68"/>
  <c r="AL39" i="68"/>
  <c r="AD32" i="68"/>
  <c r="AC32" i="68"/>
  <c r="AB32" i="68"/>
  <c r="AA32" i="68"/>
  <c r="Z32" i="68"/>
  <c r="X32" i="68"/>
  <c r="AM63" i="68"/>
  <c r="X31" i="68"/>
  <c r="AD31" i="68"/>
  <c r="O31" i="68" s="1"/>
  <c r="Z46" i="76" s="1"/>
  <c r="AB31" i="68"/>
  <c r="M31" i="68" s="1"/>
  <c r="AA31" i="68"/>
  <c r="L31" i="68" s="1"/>
  <c r="AD30" i="68"/>
  <c r="AC30" i="68"/>
  <c r="AB30" i="68"/>
  <c r="AA30" i="68"/>
  <c r="Z30" i="68"/>
  <c r="X30" i="68"/>
  <c r="R30" i="68"/>
  <c r="S30" i="68" s="1"/>
  <c r="AD29" i="68"/>
  <c r="AC29" i="68"/>
  <c r="AB29" i="68"/>
  <c r="AA29" i="68"/>
  <c r="Z29" i="68"/>
  <c r="X29" i="68"/>
  <c r="R29" i="68"/>
  <c r="AP60" i="68"/>
  <c r="AL60" i="68"/>
  <c r="AD28" i="68"/>
  <c r="AC28" i="68"/>
  <c r="AB28" i="68"/>
  <c r="AA28" i="68"/>
  <c r="Z28" i="68"/>
  <c r="X28" i="68"/>
  <c r="R28" i="68"/>
  <c r="AQ59" i="68" s="1"/>
  <c r="AP59" i="68"/>
  <c r="AM59" i="68"/>
  <c r="AL59" i="68"/>
  <c r="AD27" i="68"/>
  <c r="AC27" i="68"/>
  <c r="AB27" i="68"/>
  <c r="AA27" i="68"/>
  <c r="Z27" i="68"/>
  <c r="X27" i="68"/>
  <c r="R27" i="68"/>
  <c r="S27" i="68" s="1"/>
  <c r="AP58" i="68"/>
  <c r="AO58" i="68"/>
  <c r="AL58" i="68"/>
  <c r="AD26" i="68"/>
  <c r="AC26" i="68"/>
  <c r="AB26" i="68"/>
  <c r="AA26" i="68"/>
  <c r="Z26" i="68"/>
  <c r="X26" i="68"/>
  <c r="R26" i="68"/>
  <c r="S26" i="68" s="1"/>
  <c r="AD25" i="68"/>
  <c r="AC25" i="68"/>
  <c r="AB25" i="68"/>
  <c r="AA25" i="68"/>
  <c r="Z25" i="68"/>
  <c r="X25" i="68"/>
  <c r="R25" i="68"/>
  <c r="S25" i="68" s="1"/>
  <c r="AM56" i="68"/>
  <c r="AD24" i="68"/>
  <c r="AC24" i="68"/>
  <c r="AB24" i="68"/>
  <c r="AA24" i="68"/>
  <c r="Z24" i="68"/>
  <c r="X24" i="68"/>
  <c r="R24" i="68"/>
  <c r="AQ55" i="68" s="1"/>
  <c r="AM55" i="68"/>
  <c r="AL55" i="68"/>
  <c r="AD23" i="68"/>
  <c r="AC23" i="68"/>
  <c r="AB23" i="68"/>
  <c r="AA23" i="68"/>
  <c r="Z23" i="68"/>
  <c r="X23" i="68"/>
  <c r="R23" i="68"/>
  <c r="S23" i="68" s="1"/>
  <c r="AO54" i="68"/>
  <c r="AL54" i="68"/>
  <c r="AD22" i="68"/>
  <c r="AC22" i="68"/>
  <c r="AB22" i="68"/>
  <c r="AA22" i="68"/>
  <c r="Z22" i="68"/>
  <c r="X22" i="68"/>
  <c r="R22" i="68"/>
  <c r="S22" i="68" s="1"/>
  <c r="AD21" i="68"/>
  <c r="AC21" i="68"/>
  <c r="AB21" i="68"/>
  <c r="AA21" i="68"/>
  <c r="Z21" i="68"/>
  <c r="X21" i="68"/>
  <c r="R21" i="68"/>
  <c r="S21" i="68" s="1"/>
  <c r="AM52" i="68"/>
  <c r="AD20" i="68"/>
  <c r="AC20" i="68"/>
  <c r="AB20" i="68"/>
  <c r="AA20" i="68"/>
  <c r="Z20" i="68"/>
  <c r="X20" i="68"/>
  <c r="R20" i="68"/>
  <c r="S20" i="68" s="1"/>
  <c r="AP51" i="68"/>
  <c r="AM51" i="68"/>
  <c r="AL51" i="68"/>
  <c r="AD19" i="68"/>
  <c r="AC19" i="68"/>
  <c r="AB19" i="68"/>
  <c r="AA19" i="68"/>
  <c r="Z19" i="68"/>
  <c r="X19" i="68"/>
  <c r="R19" i="68"/>
  <c r="S19" i="68" s="1"/>
  <c r="AD18" i="68"/>
  <c r="AC18" i="68"/>
  <c r="AB18" i="68"/>
  <c r="AA18" i="68"/>
  <c r="Z18" i="68"/>
  <c r="X18" i="68"/>
  <c r="R18" i="68"/>
  <c r="S18" i="68" s="1"/>
  <c r="AO49" i="68"/>
  <c r="AN49" i="68"/>
  <c r="AD17" i="68"/>
  <c r="AC17" i="68"/>
  <c r="AB17" i="68"/>
  <c r="AA17" i="68"/>
  <c r="Z17" i="68"/>
  <c r="X17" i="68"/>
  <c r="R17" i="68"/>
  <c r="S17" i="68" s="1"/>
  <c r="AP48" i="68"/>
  <c r="AN48" i="68"/>
  <c r="AL48" i="68"/>
  <c r="AD16" i="68"/>
  <c r="AC16" i="68"/>
  <c r="AB16" i="68"/>
  <c r="AA16" i="68"/>
  <c r="Z16" i="68"/>
  <c r="X16" i="68"/>
  <c r="R16" i="68"/>
  <c r="AQ47" i="68" s="1"/>
  <c r="AP47" i="68"/>
  <c r="AM47" i="68"/>
  <c r="AL47" i="68"/>
  <c r="AD15" i="68"/>
  <c r="AC15" i="68"/>
  <c r="AB15" i="68"/>
  <c r="AA15" i="68"/>
  <c r="Z15" i="68"/>
  <c r="X15" i="68"/>
  <c r="R15" i="68"/>
  <c r="S15" i="68" s="1"/>
  <c r="AP46" i="68"/>
  <c r="AD14" i="68"/>
  <c r="AC14" i="68"/>
  <c r="AB14" i="68"/>
  <c r="AA14" i="68"/>
  <c r="Z14" i="68"/>
  <c r="X14" i="68"/>
  <c r="R14" i="68"/>
  <c r="S14" i="68" s="1"/>
  <c r="AD13" i="68"/>
  <c r="AC13" i="68"/>
  <c r="AB13" i="68"/>
  <c r="AA13" i="68"/>
  <c r="Z13" i="68"/>
  <c r="X13" i="68"/>
  <c r="R13" i="68"/>
  <c r="S13" i="68" s="1"/>
  <c r="AM44" i="68"/>
  <c r="AD12" i="68"/>
  <c r="AC12" i="68"/>
  <c r="AB12" i="68"/>
  <c r="AA12" i="68"/>
  <c r="Z12" i="68"/>
  <c r="X12" i="68"/>
  <c r="R12" i="68"/>
  <c r="AQ43" i="68" s="1"/>
  <c r="AP43" i="68"/>
  <c r="AM43" i="68"/>
  <c r="AL43" i="68"/>
  <c r="AD11" i="68"/>
  <c r="AC11" i="68"/>
  <c r="AB11" i="68"/>
  <c r="AA11" i="68"/>
  <c r="Z11" i="68"/>
  <c r="X11" i="68"/>
  <c r="R11" i="68"/>
  <c r="S11" i="68" s="1"/>
  <c r="AL42" i="68"/>
  <c r="AD10" i="68"/>
  <c r="AC10" i="68"/>
  <c r="AB10" i="68"/>
  <c r="AA10" i="68"/>
  <c r="Z10" i="68"/>
  <c r="X10" i="68"/>
  <c r="R10" i="68"/>
  <c r="S10" i="68" s="1"/>
  <c r="AD9" i="68"/>
  <c r="AC9" i="68"/>
  <c r="AB9" i="68"/>
  <c r="AA9" i="68"/>
  <c r="Z9" i="68"/>
  <c r="X9" i="68"/>
  <c r="R9" i="68"/>
  <c r="S9" i="68" s="1"/>
  <c r="AP40" i="68"/>
  <c r="AN40" i="68"/>
  <c r="AL40" i="68"/>
  <c r="AD8" i="68"/>
  <c r="AC8" i="68"/>
  <c r="AB8" i="68"/>
  <c r="AA8" i="68"/>
  <c r="Z8" i="68"/>
  <c r="AG302" i="69" l="1"/>
  <c r="AD302" i="69"/>
  <c r="AH302" i="69"/>
  <c r="AF302" i="69"/>
  <c r="AE302" i="69"/>
  <c r="AF294" i="69"/>
  <c r="AG294" i="69"/>
  <c r="AD294" i="69"/>
  <c r="AH294" i="69"/>
  <c r="AE294" i="69"/>
  <c r="AG300" i="69"/>
  <c r="AH300" i="69"/>
  <c r="AE300" i="69"/>
  <c r="AF300" i="69"/>
  <c r="AD300" i="69"/>
  <c r="AH293" i="69"/>
  <c r="AG293" i="69"/>
  <c r="AF293" i="69"/>
  <c r="AD293" i="69"/>
  <c r="AE293" i="69"/>
  <c r="AF297" i="69"/>
  <c r="AE297" i="69"/>
  <c r="AG297" i="69"/>
  <c r="AD297" i="69"/>
  <c r="AH297" i="69"/>
  <c r="AH286" i="69"/>
  <c r="AG286" i="69"/>
  <c r="AF286" i="69"/>
  <c r="AD286" i="69"/>
  <c r="AE286" i="69"/>
  <c r="AG301" i="69"/>
  <c r="AD301" i="69"/>
  <c r="AH301" i="69"/>
  <c r="AE301" i="69"/>
  <c r="AF301" i="69"/>
  <c r="AF289" i="69"/>
  <c r="AG289" i="69"/>
  <c r="AH289" i="69"/>
  <c r="AD289" i="69"/>
  <c r="AE289" i="69"/>
  <c r="AE303" i="69"/>
  <c r="AH303" i="69"/>
  <c r="AG303" i="69"/>
  <c r="AD303" i="69"/>
  <c r="AF303" i="69"/>
  <c r="AF306" i="69"/>
  <c r="AD306" i="69"/>
  <c r="AE306" i="69"/>
  <c r="AG306" i="69"/>
  <c r="AH306" i="69"/>
  <c r="AF292" i="69"/>
  <c r="AH292" i="69"/>
  <c r="AD292" i="69"/>
  <c r="AE292" i="69"/>
  <c r="AG292" i="69"/>
  <c r="AH288" i="69"/>
  <c r="AE288" i="69"/>
  <c r="AG288" i="69"/>
  <c r="AF288" i="69"/>
  <c r="AD288" i="69"/>
  <c r="AG291" i="69"/>
  <c r="AE291" i="69"/>
  <c r="AD291" i="69"/>
  <c r="AH291" i="69"/>
  <c r="AF291" i="69"/>
  <c r="AH298" i="69"/>
  <c r="AD298" i="69"/>
  <c r="AG298" i="69"/>
  <c r="AE298" i="69"/>
  <c r="AF298" i="69"/>
  <c r="AG305" i="69"/>
  <c r="AE305" i="69"/>
  <c r="AD305" i="69"/>
  <c r="AH305" i="69"/>
  <c r="AF305" i="69"/>
  <c r="AD299" i="69"/>
  <c r="AE299" i="69"/>
  <c r="AF299" i="69"/>
  <c r="AH299" i="69"/>
  <c r="AG299" i="69"/>
  <c r="AE295" i="69"/>
  <c r="AD295" i="69"/>
  <c r="AF295" i="69"/>
  <c r="AG295" i="69"/>
  <c r="AH295" i="69"/>
  <c r="AF304" i="69"/>
  <c r="AE304" i="69"/>
  <c r="AG304" i="69"/>
  <c r="AD304" i="69"/>
  <c r="AH304" i="69"/>
  <c r="AE287" i="69"/>
  <c r="AG287" i="69"/>
  <c r="AD287" i="69"/>
  <c r="AH287" i="69"/>
  <c r="AF287" i="69"/>
  <c r="AD290" i="69"/>
  <c r="AF290" i="69"/>
  <c r="AH290" i="69"/>
  <c r="AG290" i="69"/>
  <c r="AE290" i="69"/>
  <c r="AE296" i="69"/>
  <c r="AH296" i="69"/>
  <c r="AD296" i="69"/>
  <c r="AF296" i="69"/>
  <c r="AG296" i="69"/>
  <c r="AN60" i="68"/>
  <c r="AM40" i="68"/>
  <c r="AL44" i="68"/>
  <c r="AP44" i="68"/>
  <c r="AL52" i="68"/>
  <c r="AP52" i="68"/>
  <c r="AL56" i="68"/>
  <c r="AP56" i="68"/>
  <c r="AL63" i="68"/>
  <c r="AP63" i="68"/>
  <c r="AO42" i="68"/>
  <c r="AN44" i="68"/>
  <c r="AM48" i="68"/>
  <c r="AN52" i="68"/>
  <c r="AN56" i="68"/>
  <c r="AM60" i="68"/>
  <c r="AQ60" i="68"/>
  <c r="S16" i="68"/>
  <c r="T16" i="68" s="1"/>
  <c r="Z83" i="68" s="1"/>
  <c r="S28" i="68"/>
  <c r="T28" i="68" s="1"/>
  <c r="AQ44" i="68"/>
  <c r="S29" i="68"/>
  <c r="T29" i="68" s="1"/>
  <c r="Z96" i="68" s="1"/>
  <c r="S24" i="68"/>
  <c r="T24" i="68" s="1"/>
  <c r="AQ56" i="68"/>
  <c r="AO53" i="68"/>
  <c r="AN53" i="68"/>
  <c r="T11" i="68"/>
  <c r="Z78" i="68" s="1"/>
  <c r="T10" i="68"/>
  <c r="T26" i="68"/>
  <c r="T18" i="68"/>
  <c r="AQ64" i="68"/>
  <c r="Y80" i="68"/>
  <c r="Y84" i="68"/>
  <c r="Y88" i="68"/>
  <c r="Y92" i="68"/>
  <c r="Y96" i="68"/>
  <c r="Z77" i="68"/>
  <c r="Z81" i="68"/>
  <c r="Z85" i="68"/>
  <c r="Z89" i="68"/>
  <c r="Z93" i="68"/>
  <c r="Z97" i="68"/>
  <c r="Y76" i="68"/>
  <c r="Y81" i="68"/>
  <c r="Y89" i="68"/>
  <c r="Y97" i="68"/>
  <c r="Z90" i="68"/>
  <c r="Y78" i="68"/>
  <c r="Y82" i="68"/>
  <c r="Y86" i="68"/>
  <c r="Y90" i="68"/>
  <c r="Y94" i="68"/>
  <c r="Y98" i="68"/>
  <c r="Z79" i="68"/>
  <c r="Z87" i="68"/>
  <c r="Z91" i="68"/>
  <c r="Z95" i="68"/>
  <c r="Z99" i="68"/>
  <c r="Y79" i="68"/>
  <c r="Y83" i="68"/>
  <c r="Y87" i="68"/>
  <c r="Y91" i="68"/>
  <c r="Y95" i="68"/>
  <c r="Y99" i="68"/>
  <c r="Z80" i="68"/>
  <c r="Z84" i="68"/>
  <c r="Z88" i="68"/>
  <c r="Z92" i="68"/>
  <c r="Z76" i="68"/>
  <c r="Y77" i="68"/>
  <c r="Y85" i="68"/>
  <c r="Y93" i="68"/>
  <c r="Z86" i="68"/>
  <c r="Z98" i="68"/>
  <c r="Z4" i="68"/>
  <c r="AK64" i="68" s="1"/>
  <c r="T23" i="68"/>
  <c r="T14" i="68"/>
  <c r="T22" i="68"/>
  <c r="AM64" i="68"/>
  <c r="AA63" i="68"/>
  <c r="T17" i="68"/>
  <c r="AP54" i="68"/>
  <c r="AM62" i="68"/>
  <c r="AN62" i="68"/>
  <c r="AP55" i="68"/>
  <c r="T19" i="68"/>
  <c r="T15" i="68"/>
  <c r="Z82" i="68" s="1"/>
  <c r="T27" i="68"/>
  <c r="Z94" i="68" s="1"/>
  <c r="AQ45" i="68"/>
  <c r="AM45" i="68"/>
  <c r="AP45" i="68"/>
  <c r="AL45" i="68"/>
  <c r="AN50" i="68"/>
  <c r="AQ50" i="68"/>
  <c r="AM50" i="68"/>
  <c r="AQ61" i="68"/>
  <c r="AM61" i="68"/>
  <c r="AP61" i="68"/>
  <c r="AL61" i="68"/>
  <c r="AQ40" i="68"/>
  <c r="AQ41" i="68"/>
  <c r="AM41" i="68"/>
  <c r="AP41" i="68"/>
  <c r="AL41" i="68"/>
  <c r="AP42" i="68"/>
  <c r="AN45" i="68"/>
  <c r="AN46" i="68"/>
  <c r="AQ46" i="68"/>
  <c r="AM46" i="68"/>
  <c r="AL50" i="68"/>
  <c r="AQ51" i="68"/>
  <c r="AQ57" i="68"/>
  <c r="AM57" i="68"/>
  <c r="AP57" i="68"/>
  <c r="AL57" i="68"/>
  <c r="AN61" i="68"/>
  <c r="AP64" i="68"/>
  <c r="X4" i="68"/>
  <c r="T13" i="68"/>
  <c r="AN41" i="68"/>
  <c r="AN42" i="68"/>
  <c r="AQ42" i="68"/>
  <c r="AM42" i="68"/>
  <c r="AO45" i="68"/>
  <c r="AL46" i="68"/>
  <c r="AO50" i="68"/>
  <c r="AQ52" i="68"/>
  <c r="AQ53" i="68"/>
  <c r="AM53" i="68"/>
  <c r="AP53" i="68"/>
  <c r="AL53" i="68"/>
  <c r="AN57" i="68"/>
  <c r="AN58" i="68"/>
  <c r="AQ58" i="68"/>
  <c r="AM58" i="68"/>
  <c r="AO61" i="68"/>
  <c r="AC31" i="68"/>
  <c r="N31" i="68" s="1"/>
  <c r="AO62" i="68" s="1"/>
  <c r="S12" i="68"/>
  <c r="T12" i="68" s="1"/>
  <c r="AO64" i="68"/>
  <c r="AN64" i="68"/>
  <c r="T9" i="68"/>
  <c r="T20" i="68"/>
  <c r="T30" i="68"/>
  <c r="Z31" i="68"/>
  <c r="K31" i="68" s="1"/>
  <c r="AL62" i="68" s="1"/>
  <c r="AO41" i="68"/>
  <c r="AO46" i="68"/>
  <c r="AQ48" i="68"/>
  <c r="AQ49" i="68"/>
  <c r="AM49" i="68"/>
  <c r="AP49" i="68"/>
  <c r="AL49" i="68"/>
  <c r="AP50" i="68"/>
  <c r="AN54" i="68"/>
  <c r="AQ54" i="68"/>
  <c r="AM54" i="68"/>
  <c r="AO57" i="68"/>
  <c r="AL64" i="68"/>
  <c r="AO40" i="68"/>
  <c r="AN43" i="68"/>
  <c r="AO44" i="68"/>
  <c r="AN47" i="68"/>
  <c r="AO48" i="68"/>
  <c r="AN51" i="68"/>
  <c r="AO52" i="68"/>
  <c r="AN55" i="68"/>
  <c r="AO56" i="68"/>
  <c r="AN59" i="68"/>
  <c r="AO60" i="68"/>
  <c r="AN63" i="68"/>
  <c r="T21" i="68"/>
  <c r="T25" i="68"/>
  <c r="AO43" i="68"/>
  <c r="AO47" i="68"/>
  <c r="AO51" i="68"/>
  <c r="AO55" i="68"/>
  <c r="AO59" i="68"/>
  <c r="AO63" i="68"/>
  <c r="M64" i="68" l="1"/>
  <c r="AP62" i="68"/>
  <c r="AB70" i="68"/>
  <c r="X70" i="68"/>
  <c r="X40" i="68"/>
  <c r="AA70" i="68"/>
  <c r="Z70" i="68"/>
  <c r="Y70" i="68"/>
  <c r="Z109" i="67"/>
  <c r="AF109" i="67" s="1"/>
  <c r="AA109" i="67"/>
  <c r="AG109" i="67" s="1"/>
  <c r="AB109" i="67"/>
  <c r="AH109" i="67" s="1"/>
  <c r="AC109" i="67"/>
  <c r="AI109" i="67" s="1"/>
  <c r="Y109" i="67"/>
  <c r="AE109" i="67" s="1"/>
  <c r="Z144" i="67"/>
  <c r="AF144" i="67" s="1"/>
  <c r="AA144" i="67"/>
  <c r="AG144" i="67" s="1"/>
  <c r="AB144" i="67"/>
  <c r="AH144" i="67" s="1"/>
  <c r="AC144" i="67"/>
  <c r="AI144" i="67" s="1"/>
  <c r="Z179" i="67"/>
  <c r="AF179" i="67" s="1"/>
  <c r="AA179" i="67"/>
  <c r="AG179" i="67" s="1"/>
  <c r="AB179" i="67"/>
  <c r="AH179" i="67" s="1"/>
  <c r="AC179" i="67"/>
  <c r="AI179" i="67" s="1"/>
  <c r="Z40" i="68" l="1"/>
  <c r="Y40" i="68"/>
  <c r="B168" i="67"/>
  <c r="B167" i="67"/>
  <c r="B166" i="67"/>
  <c r="A166" i="67" s="1"/>
  <c r="B165" i="67"/>
  <c r="A165" i="67" s="1"/>
  <c r="B164" i="67"/>
  <c r="A164" i="67" s="1"/>
  <c r="B163" i="67"/>
  <c r="A163" i="67" s="1"/>
  <c r="B162" i="67"/>
  <c r="A162" i="67" s="1"/>
  <c r="B161" i="67"/>
  <c r="A161" i="67" s="1"/>
  <c r="B160" i="67"/>
  <c r="A160" i="67" s="1"/>
  <c r="B159" i="67"/>
  <c r="A159" i="67" s="1"/>
  <c r="B158" i="67"/>
  <c r="A158" i="67" s="1"/>
  <c r="B157" i="67"/>
  <c r="A157" i="67" s="1"/>
  <c r="B156" i="67"/>
  <c r="A156" i="67" s="1"/>
  <c r="B155" i="67"/>
  <c r="A155" i="67" s="1"/>
  <c r="B154" i="67"/>
  <c r="A154" i="67" s="1"/>
  <c r="B153" i="67"/>
  <c r="A153" i="67" s="1"/>
  <c r="B152" i="67"/>
  <c r="A152" i="67" s="1"/>
  <c r="B151" i="67"/>
  <c r="A151" i="67" s="1"/>
  <c r="B150" i="67"/>
  <c r="A150" i="67" s="1"/>
  <c r="B149" i="67"/>
  <c r="A149" i="67" s="1"/>
  <c r="B148" i="67"/>
  <c r="A148" i="67" s="1"/>
  <c r="B147" i="67"/>
  <c r="A147" i="67" s="1"/>
  <c r="B146" i="67"/>
  <c r="A146" i="67" s="1"/>
  <c r="B145" i="67"/>
  <c r="B133" i="67"/>
  <c r="X133" i="67" s="1"/>
  <c r="AD133" i="67" s="1"/>
  <c r="B132" i="67"/>
  <c r="X132" i="67" s="1"/>
  <c r="AD132" i="67" s="1"/>
  <c r="B131" i="67"/>
  <c r="B130" i="67"/>
  <c r="B129" i="67"/>
  <c r="B128" i="67"/>
  <c r="B127" i="67"/>
  <c r="B126" i="67"/>
  <c r="B125" i="67"/>
  <c r="B124" i="67"/>
  <c r="B123" i="67"/>
  <c r="B122" i="67"/>
  <c r="B121" i="67"/>
  <c r="B120" i="67"/>
  <c r="B119" i="67"/>
  <c r="B118" i="67"/>
  <c r="B117" i="67"/>
  <c r="B116" i="67"/>
  <c r="B115" i="67"/>
  <c r="B114" i="67"/>
  <c r="B113" i="67"/>
  <c r="B112" i="67"/>
  <c r="B111" i="67"/>
  <c r="B110" i="67"/>
  <c r="D44" i="76" s="1"/>
  <c r="X99" i="67"/>
  <c r="X98" i="67"/>
  <c r="X97" i="67"/>
  <c r="X96" i="67"/>
  <c r="X95" i="67"/>
  <c r="X94" i="67"/>
  <c r="X93" i="67"/>
  <c r="X92" i="67"/>
  <c r="X91" i="67"/>
  <c r="X90" i="67"/>
  <c r="X89" i="67"/>
  <c r="X88" i="67"/>
  <c r="X87" i="67"/>
  <c r="X86" i="67"/>
  <c r="X85" i="67"/>
  <c r="X84" i="67"/>
  <c r="X83" i="67"/>
  <c r="X82" i="67"/>
  <c r="X81" i="67"/>
  <c r="X80" i="67"/>
  <c r="X79" i="67"/>
  <c r="X78" i="67"/>
  <c r="X77" i="67"/>
  <c r="X76" i="67"/>
  <c r="AB69" i="67"/>
  <c r="AA69" i="67"/>
  <c r="Z69" i="67"/>
  <c r="Y69" i="67"/>
  <c r="X69" i="67"/>
  <c r="AB68" i="67"/>
  <c r="X68" i="67"/>
  <c r="AB67" i="67"/>
  <c r="AB66" i="67"/>
  <c r="X66" i="67"/>
  <c r="AB65" i="67"/>
  <c r="AB64" i="67"/>
  <c r="AA64" i="67"/>
  <c r="Y64" i="67"/>
  <c r="AK63" i="67"/>
  <c r="Y63" i="67"/>
  <c r="AK62" i="67"/>
  <c r="AA62" i="67"/>
  <c r="Y62" i="67"/>
  <c r="AK61" i="67"/>
  <c r="AA61" i="67"/>
  <c r="Y61" i="67"/>
  <c r="AK60" i="67"/>
  <c r="AA60" i="67"/>
  <c r="Y60" i="67"/>
  <c r="AK59" i="67"/>
  <c r="AM59" i="67" s="1"/>
  <c r="AA59" i="67"/>
  <c r="Y59" i="67"/>
  <c r="AK58" i="67"/>
  <c r="AM58" i="67" s="1"/>
  <c r="AA58" i="67"/>
  <c r="Y58" i="67"/>
  <c r="AK57" i="67"/>
  <c r="AA57" i="67"/>
  <c r="Y57" i="67"/>
  <c r="AK56" i="67"/>
  <c r="AO56" i="67" s="1"/>
  <c r="AA56" i="67"/>
  <c r="Y56" i="67"/>
  <c r="AK55" i="67"/>
  <c r="AA55" i="67"/>
  <c r="Y55" i="67"/>
  <c r="AK54" i="67"/>
  <c r="AA54" i="67"/>
  <c r="Y54" i="67"/>
  <c r="AK53" i="67"/>
  <c r="AA53" i="67"/>
  <c r="Y53" i="67"/>
  <c r="AK52" i="67"/>
  <c r="AM52" i="67" s="1"/>
  <c r="AA52" i="67"/>
  <c r="Y52" i="67"/>
  <c r="AK51" i="67"/>
  <c r="AA51" i="67"/>
  <c r="Y51" i="67"/>
  <c r="AK50" i="67"/>
  <c r="AA50" i="67"/>
  <c r="Y50" i="67"/>
  <c r="AK49" i="67"/>
  <c r="AA49" i="67"/>
  <c r="Y49" i="67"/>
  <c r="AK48" i="67"/>
  <c r="AA48" i="67"/>
  <c r="Y48" i="67"/>
  <c r="AK47" i="67"/>
  <c r="AA47" i="67"/>
  <c r="Y47" i="67"/>
  <c r="AK46" i="67"/>
  <c r="AN46" i="67" s="1"/>
  <c r="AA46" i="67"/>
  <c r="Y46" i="67"/>
  <c r="AK45" i="67"/>
  <c r="AA45" i="67"/>
  <c r="Y45" i="67"/>
  <c r="AK44" i="67"/>
  <c r="AA44" i="67"/>
  <c r="Y44" i="67"/>
  <c r="AK43" i="67"/>
  <c r="AA43" i="67"/>
  <c r="Y43" i="67"/>
  <c r="AK42" i="67"/>
  <c r="AN42" i="67" s="1"/>
  <c r="AA42" i="67"/>
  <c r="Y42" i="67"/>
  <c r="AK41" i="67"/>
  <c r="AA41" i="67"/>
  <c r="Y41" i="67"/>
  <c r="AK40" i="67"/>
  <c r="AV39" i="67"/>
  <c r="BA39" i="67" s="1"/>
  <c r="AU39" i="67"/>
  <c r="AZ39" i="67" s="1"/>
  <c r="AT39" i="67"/>
  <c r="AY39" i="67" s="1"/>
  <c r="AS39" i="67"/>
  <c r="AX39" i="67" s="1"/>
  <c r="AR39" i="67"/>
  <c r="AW39" i="67" s="1"/>
  <c r="AP39" i="67"/>
  <c r="AO39" i="67"/>
  <c r="AN39" i="67"/>
  <c r="AM39" i="67"/>
  <c r="AD32" i="67"/>
  <c r="AC32" i="67"/>
  <c r="AB32" i="67"/>
  <c r="AA32" i="67"/>
  <c r="Z32" i="67"/>
  <c r="X32" i="67"/>
  <c r="AA31" i="67"/>
  <c r="L31" i="67" s="1"/>
  <c r="X31" i="67"/>
  <c r="AC31" i="67"/>
  <c r="N31" i="67" s="1"/>
  <c r="AD30" i="67"/>
  <c r="AC30" i="67"/>
  <c r="AB30" i="67"/>
  <c r="AA30" i="67"/>
  <c r="Z30" i="67"/>
  <c r="X30" i="67"/>
  <c r="R30" i="67"/>
  <c r="S30" i="67" s="1"/>
  <c r="AM61" i="67"/>
  <c r="AD29" i="67"/>
  <c r="AC29" i="67"/>
  <c r="AB29" i="67"/>
  <c r="AA29" i="67"/>
  <c r="Z29" i="67"/>
  <c r="X29" i="67"/>
  <c r="R29" i="67"/>
  <c r="AD28" i="67"/>
  <c r="AC28" i="67"/>
  <c r="AB28" i="67"/>
  <c r="AA28" i="67"/>
  <c r="Z28" i="67"/>
  <c r="X28" i="67"/>
  <c r="R28" i="67"/>
  <c r="S28" i="67" s="1"/>
  <c r="AD27" i="67"/>
  <c r="AC27" i="67"/>
  <c r="AB27" i="67"/>
  <c r="AA27" i="67"/>
  <c r="Z27" i="67"/>
  <c r="X27" i="67"/>
  <c r="R27" i="67"/>
  <c r="AD26" i="67"/>
  <c r="AC26" i="67"/>
  <c r="AB26" i="67"/>
  <c r="AA26" i="67"/>
  <c r="Z26" i="67"/>
  <c r="X26" i="67"/>
  <c r="R26" i="67"/>
  <c r="AO57" i="67"/>
  <c r="AM57" i="67"/>
  <c r="AD25" i="67"/>
  <c r="AC25" i="67"/>
  <c r="AB25" i="67"/>
  <c r="AA25" i="67"/>
  <c r="Z25" i="67"/>
  <c r="X25" i="67"/>
  <c r="R25" i="67"/>
  <c r="AQ56" i="67" s="1"/>
  <c r="AM56" i="67"/>
  <c r="AD24" i="67"/>
  <c r="AC24" i="67"/>
  <c r="AB24" i="67"/>
  <c r="AA24" i="67"/>
  <c r="Z24" i="67"/>
  <c r="X24" i="67"/>
  <c r="R24" i="67"/>
  <c r="AD23" i="67"/>
  <c r="AC23" i="67"/>
  <c r="AB23" i="67"/>
  <c r="AA23" i="67"/>
  <c r="Z23" i="67"/>
  <c r="X23" i="67"/>
  <c r="R23" i="67"/>
  <c r="AD22" i="67"/>
  <c r="AC22" i="67"/>
  <c r="AB22" i="67"/>
  <c r="AA22" i="67"/>
  <c r="Z22" i="67"/>
  <c r="X22" i="67"/>
  <c r="R22" i="67"/>
  <c r="AO53" i="67"/>
  <c r="AM53" i="67"/>
  <c r="AD21" i="67"/>
  <c r="AC21" i="67"/>
  <c r="AB21" i="67"/>
  <c r="AA21" i="67"/>
  <c r="Z21" i="67"/>
  <c r="X21" i="67"/>
  <c r="R21" i="67"/>
  <c r="AQ52" i="67" s="1"/>
  <c r="AD20" i="67"/>
  <c r="AC20" i="67"/>
  <c r="AB20" i="67"/>
  <c r="AA20" i="67"/>
  <c r="Z20" i="67"/>
  <c r="X20" i="67"/>
  <c r="R20" i="67"/>
  <c r="AD19" i="67"/>
  <c r="AC19" i="67"/>
  <c r="AB19" i="67"/>
  <c r="AA19" i="67"/>
  <c r="Z19" i="67"/>
  <c r="X19" i="67"/>
  <c r="R19" i="67"/>
  <c r="S19" i="67" s="1"/>
  <c r="AD18" i="67"/>
  <c r="AC18" i="67"/>
  <c r="AB18" i="67"/>
  <c r="AA18" i="67"/>
  <c r="Z18" i="67"/>
  <c r="X18" i="67"/>
  <c r="R18" i="67"/>
  <c r="S18" i="67" s="1"/>
  <c r="AD17" i="67"/>
  <c r="AC17" i="67"/>
  <c r="AB17" i="67"/>
  <c r="AA17" i="67"/>
  <c r="Z17" i="67"/>
  <c r="X17" i="67"/>
  <c r="R17" i="67"/>
  <c r="S17" i="67" s="1"/>
  <c r="AD16" i="67"/>
  <c r="AC16" i="67"/>
  <c r="AB16" i="67"/>
  <c r="AA16" i="67"/>
  <c r="Z16" i="67"/>
  <c r="X16" i="67"/>
  <c r="R16" i="67"/>
  <c r="S16" i="67" s="1"/>
  <c r="AD15" i="67"/>
  <c r="AC15" i="67"/>
  <c r="AB15" i="67"/>
  <c r="AA15" i="67"/>
  <c r="Z15" i="67"/>
  <c r="X15" i="67"/>
  <c r="R15" i="67"/>
  <c r="S15" i="67" s="1"/>
  <c r="AD14" i="67"/>
  <c r="AC14" i="67"/>
  <c r="AB14" i="67"/>
  <c r="AA14" i="67"/>
  <c r="Z14" i="67"/>
  <c r="X14" i="67"/>
  <c r="R14" i="67"/>
  <c r="S14" i="67" s="1"/>
  <c r="AN45" i="67"/>
  <c r="AD13" i="67"/>
  <c r="AC13" i="67"/>
  <c r="AB13" i="67"/>
  <c r="AA13" i="67"/>
  <c r="Z13" i="67"/>
  <c r="X13" i="67"/>
  <c r="R13" i="67"/>
  <c r="S13" i="67" s="1"/>
  <c r="AD12" i="67"/>
  <c r="AC12" i="67"/>
  <c r="AB12" i="67"/>
  <c r="AA12" i="67"/>
  <c r="Z12" i="67"/>
  <c r="X12" i="67"/>
  <c r="R12" i="67"/>
  <c r="S12" i="67" s="1"/>
  <c r="AD11" i="67"/>
  <c r="AC11" i="67"/>
  <c r="AB11" i="67"/>
  <c r="AA11" i="67"/>
  <c r="Z11" i="67"/>
  <c r="X11" i="67"/>
  <c r="R11" i="67"/>
  <c r="S11" i="67" s="1"/>
  <c r="AD10" i="67"/>
  <c r="AC10" i="67"/>
  <c r="AB10" i="67"/>
  <c r="AA10" i="67"/>
  <c r="Z10" i="67"/>
  <c r="X10" i="67"/>
  <c r="R10" i="67"/>
  <c r="S10" i="67" s="1"/>
  <c r="AD9" i="67"/>
  <c r="AC9" i="67"/>
  <c r="AB9" i="67"/>
  <c r="AA9" i="67"/>
  <c r="Z9" i="67"/>
  <c r="X9" i="67"/>
  <c r="R9" i="67"/>
  <c r="AD8" i="67"/>
  <c r="AC8" i="67"/>
  <c r="AB8" i="67"/>
  <c r="AA8" i="67"/>
  <c r="Z8" i="67"/>
  <c r="D111" i="66"/>
  <c r="E111" i="66"/>
  <c r="F111" i="66"/>
  <c r="G111" i="66"/>
  <c r="H111" i="66"/>
  <c r="E40" i="76" s="1"/>
  <c r="D112" i="66"/>
  <c r="E112" i="66"/>
  <c r="F112" i="66"/>
  <c r="G112" i="66"/>
  <c r="H112" i="66"/>
  <c r="F40" i="76" s="1"/>
  <c r="D113" i="66"/>
  <c r="E113" i="66"/>
  <c r="F113" i="66"/>
  <c r="G113" i="66"/>
  <c r="H113" i="66"/>
  <c r="G40" i="76" s="1"/>
  <c r="D114" i="66"/>
  <c r="E114" i="66"/>
  <c r="F114" i="66"/>
  <c r="G114" i="66"/>
  <c r="H114" i="66"/>
  <c r="H40" i="76" s="1"/>
  <c r="D115" i="66"/>
  <c r="E115" i="66"/>
  <c r="F115" i="66"/>
  <c r="G115" i="66"/>
  <c r="H115" i="66"/>
  <c r="I40" i="76" s="1"/>
  <c r="D116" i="66"/>
  <c r="E116" i="66"/>
  <c r="F116" i="66"/>
  <c r="G116" i="66"/>
  <c r="H116" i="66"/>
  <c r="J40" i="76" s="1"/>
  <c r="D117" i="66"/>
  <c r="E117" i="66"/>
  <c r="F117" i="66"/>
  <c r="G117" i="66"/>
  <c r="H117" i="66"/>
  <c r="K40" i="76" s="1"/>
  <c r="D118" i="66"/>
  <c r="E118" i="66"/>
  <c r="F118" i="66"/>
  <c r="G118" i="66"/>
  <c r="H118" i="66"/>
  <c r="L40" i="76" s="1"/>
  <c r="D119" i="66"/>
  <c r="E119" i="66"/>
  <c r="F119" i="66"/>
  <c r="G119" i="66"/>
  <c r="H119" i="66"/>
  <c r="M40" i="76" s="1"/>
  <c r="D120" i="66"/>
  <c r="E120" i="66"/>
  <c r="F120" i="66"/>
  <c r="G120" i="66"/>
  <c r="H120" i="66"/>
  <c r="N40" i="76" s="1"/>
  <c r="D121" i="66"/>
  <c r="E121" i="66"/>
  <c r="F121" i="66"/>
  <c r="G121" i="66"/>
  <c r="H121" i="66"/>
  <c r="O40" i="76" s="1"/>
  <c r="D122" i="66"/>
  <c r="E122" i="66"/>
  <c r="F122" i="66"/>
  <c r="G122" i="66"/>
  <c r="H122" i="66"/>
  <c r="P40" i="76" s="1"/>
  <c r="D123" i="66"/>
  <c r="E123" i="66"/>
  <c r="F123" i="66"/>
  <c r="G123" i="66"/>
  <c r="H123" i="66"/>
  <c r="Q40" i="76" s="1"/>
  <c r="D124" i="66"/>
  <c r="E124" i="66"/>
  <c r="F124" i="66"/>
  <c r="G124" i="66"/>
  <c r="H124" i="66"/>
  <c r="R40" i="76" s="1"/>
  <c r="D125" i="66"/>
  <c r="E125" i="66"/>
  <c r="F125" i="66"/>
  <c r="G125" i="66"/>
  <c r="H125" i="66"/>
  <c r="S40" i="76" s="1"/>
  <c r="D126" i="66"/>
  <c r="E126" i="66"/>
  <c r="F126" i="66"/>
  <c r="G126" i="66"/>
  <c r="H126" i="66"/>
  <c r="T40" i="76" s="1"/>
  <c r="D127" i="66"/>
  <c r="E127" i="66"/>
  <c r="F127" i="66"/>
  <c r="G127" i="66"/>
  <c r="H127" i="66"/>
  <c r="U40" i="76" s="1"/>
  <c r="D128" i="66"/>
  <c r="E128" i="66"/>
  <c r="F128" i="66"/>
  <c r="G128" i="66"/>
  <c r="H128" i="66"/>
  <c r="V40" i="76" s="1"/>
  <c r="D129" i="66"/>
  <c r="E129" i="66"/>
  <c r="F129" i="66"/>
  <c r="G129" i="66"/>
  <c r="H129" i="66"/>
  <c r="W40" i="76" s="1"/>
  <c r="D130" i="66"/>
  <c r="E130" i="66"/>
  <c r="F130" i="66"/>
  <c r="G130" i="66"/>
  <c r="H130" i="66"/>
  <c r="X40" i="76" s="1"/>
  <c r="D131" i="66"/>
  <c r="E131" i="66"/>
  <c r="F131" i="66"/>
  <c r="G131" i="66"/>
  <c r="H131" i="66"/>
  <c r="Y40" i="76" s="1"/>
  <c r="D133" i="66"/>
  <c r="E133" i="66"/>
  <c r="F133" i="66"/>
  <c r="G133" i="66"/>
  <c r="H133" i="66"/>
  <c r="AA40" i="76" s="1"/>
  <c r="E110" i="66"/>
  <c r="F110" i="66"/>
  <c r="G110" i="66"/>
  <c r="H110" i="66"/>
  <c r="D40" i="76" s="1"/>
  <c r="B111" i="66"/>
  <c r="A111" i="66" s="1"/>
  <c r="B112" i="66"/>
  <c r="A112" i="66" s="1"/>
  <c r="B113" i="66"/>
  <c r="A113" i="66" s="1"/>
  <c r="B114" i="66"/>
  <c r="A114" i="66" s="1"/>
  <c r="B115" i="66"/>
  <c r="A115" i="66" s="1"/>
  <c r="B116" i="66"/>
  <c r="A116" i="66" s="1"/>
  <c r="B117" i="66"/>
  <c r="A117" i="66" s="1"/>
  <c r="B118" i="66"/>
  <c r="A118" i="66" s="1"/>
  <c r="B119" i="66"/>
  <c r="A119" i="66" s="1"/>
  <c r="B120" i="66"/>
  <c r="A120" i="66" s="1"/>
  <c r="B121" i="66"/>
  <c r="A121" i="66" s="1"/>
  <c r="B122" i="66"/>
  <c r="A122" i="66" s="1"/>
  <c r="B123" i="66"/>
  <c r="A123" i="66" s="1"/>
  <c r="B124" i="66"/>
  <c r="A124" i="66" s="1"/>
  <c r="B125" i="66"/>
  <c r="A125" i="66" s="1"/>
  <c r="B126" i="66"/>
  <c r="A126" i="66" s="1"/>
  <c r="B127" i="66"/>
  <c r="A127" i="66" s="1"/>
  <c r="B128" i="66"/>
  <c r="A128" i="66" s="1"/>
  <c r="B129" i="66"/>
  <c r="A129" i="66" s="1"/>
  <c r="B130" i="66"/>
  <c r="A130" i="66" s="1"/>
  <c r="B131" i="66"/>
  <c r="A131" i="66" s="1"/>
  <c r="B132" i="66"/>
  <c r="B133" i="66"/>
  <c r="B110" i="66"/>
  <c r="G168" i="66"/>
  <c r="F168" i="66"/>
  <c r="E168" i="66"/>
  <c r="D168" i="66"/>
  <c r="B168" i="66"/>
  <c r="B167" i="66"/>
  <c r="X166" i="66"/>
  <c r="H166" i="66"/>
  <c r="Y41" i="76" s="1"/>
  <c r="G166" i="66"/>
  <c r="F166" i="66"/>
  <c r="E166" i="66"/>
  <c r="D166" i="66"/>
  <c r="B166" i="66"/>
  <c r="A166" i="66" s="1"/>
  <c r="X165" i="66"/>
  <c r="H165" i="66"/>
  <c r="X41" i="76" s="1"/>
  <c r="G165" i="66"/>
  <c r="F165" i="66"/>
  <c r="E165" i="66"/>
  <c r="D165" i="66"/>
  <c r="B165" i="66"/>
  <c r="A165" i="66" s="1"/>
  <c r="X164" i="66"/>
  <c r="H164" i="66"/>
  <c r="W41" i="76" s="1"/>
  <c r="G164" i="66"/>
  <c r="F164" i="66"/>
  <c r="E164" i="66"/>
  <c r="D164" i="66"/>
  <c r="B164" i="66"/>
  <c r="A164" i="66" s="1"/>
  <c r="X163" i="66"/>
  <c r="H163" i="66"/>
  <c r="V41" i="76" s="1"/>
  <c r="G163" i="66"/>
  <c r="F163" i="66"/>
  <c r="E163" i="66"/>
  <c r="D163" i="66"/>
  <c r="B163" i="66"/>
  <c r="A163" i="66" s="1"/>
  <c r="X162" i="66"/>
  <c r="H162" i="66"/>
  <c r="U41" i="76" s="1"/>
  <c r="G162" i="66"/>
  <c r="F162" i="66"/>
  <c r="E162" i="66"/>
  <c r="D162" i="66"/>
  <c r="B162" i="66"/>
  <c r="A162" i="66" s="1"/>
  <c r="X161" i="66"/>
  <c r="H161" i="66"/>
  <c r="T41" i="76" s="1"/>
  <c r="G161" i="66"/>
  <c r="F161" i="66"/>
  <c r="E161" i="66"/>
  <c r="D161" i="66"/>
  <c r="B161" i="66"/>
  <c r="A161" i="66" s="1"/>
  <c r="X160" i="66"/>
  <c r="H160" i="66"/>
  <c r="S41" i="76" s="1"/>
  <c r="G160" i="66"/>
  <c r="F160" i="66"/>
  <c r="E160" i="66"/>
  <c r="D160" i="66"/>
  <c r="B160" i="66"/>
  <c r="A160" i="66" s="1"/>
  <c r="X159" i="66"/>
  <c r="H159" i="66"/>
  <c r="R41" i="76" s="1"/>
  <c r="G159" i="66"/>
  <c r="F159" i="66"/>
  <c r="E159" i="66"/>
  <c r="D159" i="66"/>
  <c r="B159" i="66"/>
  <c r="A159" i="66" s="1"/>
  <c r="X158" i="66"/>
  <c r="H158" i="66"/>
  <c r="Q41" i="76" s="1"/>
  <c r="G158" i="66"/>
  <c r="F158" i="66"/>
  <c r="E158" i="66"/>
  <c r="D158" i="66"/>
  <c r="B158" i="66"/>
  <c r="A158" i="66" s="1"/>
  <c r="X157" i="66"/>
  <c r="H157" i="66"/>
  <c r="P41" i="76" s="1"/>
  <c r="G157" i="66"/>
  <c r="F157" i="66"/>
  <c r="E157" i="66"/>
  <c r="D157" i="66"/>
  <c r="B157" i="66"/>
  <c r="A157" i="66" s="1"/>
  <c r="X156" i="66"/>
  <c r="H156" i="66"/>
  <c r="O41" i="76" s="1"/>
  <c r="G156" i="66"/>
  <c r="F156" i="66"/>
  <c r="E156" i="66"/>
  <c r="D156" i="66"/>
  <c r="B156" i="66"/>
  <c r="A156" i="66" s="1"/>
  <c r="X155" i="66"/>
  <c r="H155" i="66"/>
  <c r="N41" i="76" s="1"/>
  <c r="G155" i="66"/>
  <c r="F155" i="66"/>
  <c r="E155" i="66"/>
  <c r="D155" i="66"/>
  <c r="B155" i="66"/>
  <c r="A155" i="66" s="1"/>
  <c r="X154" i="66"/>
  <c r="H154" i="66"/>
  <c r="M41" i="76" s="1"/>
  <c r="G154" i="66"/>
  <c r="F154" i="66"/>
  <c r="E154" i="66"/>
  <c r="D154" i="66"/>
  <c r="B154" i="66"/>
  <c r="A154" i="66" s="1"/>
  <c r="X153" i="66"/>
  <c r="H153" i="66"/>
  <c r="L41" i="76" s="1"/>
  <c r="G153" i="66"/>
  <c r="F153" i="66"/>
  <c r="E153" i="66"/>
  <c r="D153" i="66"/>
  <c r="B153" i="66"/>
  <c r="A153" i="66" s="1"/>
  <c r="X152" i="66"/>
  <c r="H152" i="66"/>
  <c r="K41" i="76" s="1"/>
  <c r="G152" i="66"/>
  <c r="F152" i="66"/>
  <c r="E152" i="66"/>
  <c r="D152" i="66"/>
  <c r="B152" i="66"/>
  <c r="A152" i="66" s="1"/>
  <c r="X151" i="66"/>
  <c r="H151" i="66"/>
  <c r="J41" i="76" s="1"/>
  <c r="G151" i="66"/>
  <c r="F151" i="66"/>
  <c r="E151" i="66"/>
  <c r="D151" i="66"/>
  <c r="B151" i="66"/>
  <c r="A151" i="66" s="1"/>
  <c r="X150" i="66"/>
  <c r="H150" i="66"/>
  <c r="I41" i="76" s="1"/>
  <c r="G150" i="66"/>
  <c r="F150" i="66"/>
  <c r="E150" i="66"/>
  <c r="D150" i="66"/>
  <c r="B150" i="66"/>
  <c r="A150" i="66" s="1"/>
  <c r="X149" i="66"/>
  <c r="H149" i="66"/>
  <c r="H41" i="76" s="1"/>
  <c r="G149" i="66"/>
  <c r="F149" i="66"/>
  <c r="E149" i="66"/>
  <c r="D149" i="66"/>
  <c r="B149" i="66"/>
  <c r="A149" i="66" s="1"/>
  <c r="X148" i="66"/>
  <c r="H148" i="66"/>
  <c r="G41" i="76" s="1"/>
  <c r="G148" i="66"/>
  <c r="F148" i="66"/>
  <c r="E148" i="66"/>
  <c r="D148" i="66"/>
  <c r="B148" i="66"/>
  <c r="A148" i="66" s="1"/>
  <c r="X147" i="66"/>
  <c r="H147" i="66"/>
  <c r="F41" i="76" s="1"/>
  <c r="G147" i="66"/>
  <c r="F147" i="66"/>
  <c r="E147" i="66"/>
  <c r="D147" i="66"/>
  <c r="B147" i="66"/>
  <c r="A147" i="66" s="1"/>
  <c r="X146" i="66"/>
  <c r="H146" i="66"/>
  <c r="E41" i="76" s="1"/>
  <c r="G146" i="66"/>
  <c r="F146" i="66"/>
  <c r="E146" i="66"/>
  <c r="D146" i="66"/>
  <c r="B146" i="66"/>
  <c r="A146" i="66" s="1"/>
  <c r="X145" i="66"/>
  <c r="H145" i="66"/>
  <c r="D41" i="76" s="1"/>
  <c r="G145" i="66"/>
  <c r="F145" i="66"/>
  <c r="E145" i="66"/>
  <c r="D145" i="66"/>
  <c r="B145" i="66"/>
  <c r="A145" i="66" s="1"/>
  <c r="X144" i="66"/>
  <c r="X143" i="66"/>
  <c r="AC142" i="66"/>
  <c r="AB142" i="66"/>
  <c r="AA142" i="66"/>
  <c r="Z142" i="66"/>
  <c r="Y142" i="66"/>
  <c r="X99" i="66"/>
  <c r="X98" i="66"/>
  <c r="X97" i="66"/>
  <c r="X96" i="66"/>
  <c r="X95" i="66"/>
  <c r="X94" i="66"/>
  <c r="X93" i="66"/>
  <c r="X92" i="66"/>
  <c r="X91" i="66"/>
  <c r="X90" i="66"/>
  <c r="X89" i="66"/>
  <c r="X88" i="66"/>
  <c r="X87" i="66"/>
  <c r="X86" i="66"/>
  <c r="X85" i="66"/>
  <c r="X84" i="66"/>
  <c r="X83" i="66"/>
  <c r="X82" i="66"/>
  <c r="X81" i="66"/>
  <c r="X80" i="66"/>
  <c r="X79" i="66"/>
  <c r="X78" i="66"/>
  <c r="X77" i="66"/>
  <c r="X76" i="66"/>
  <c r="AB69" i="66"/>
  <c r="AA69" i="66"/>
  <c r="Z69" i="66"/>
  <c r="Y69" i="66"/>
  <c r="X69" i="66"/>
  <c r="AB68" i="66"/>
  <c r="X68" i="66"/>
  <c r="AB67" i="66"/>
  <c r="AB66" i="66"/>
  <c r="X66" i="66"/>
  <c r="AB65" i="66"/>
  <c r="AB64" i="66"/>
  <c r="AA64" i="66"/>
  <c r="Y64" i="66"/>
  <c r="AK63" i="66"/>
  <c r="Y63" i="66"/>
  <c r="AK62" i="66"/>
  <c r="AA62" i="66"/>
  <c r="Y62" i="66"/>
  <c r="AK61" i="66"/>
  <c r="AA61" i="66"/>
  <c r="Y61" i="66"/>
  <c r="AK60" i="66"/>
  <c r="AA60" i="66"/>
  <c r="Y60" i="66"/>
  <c r="AK59" i="66"/>
  <c r="AP59" i="66" s="1"/>
  <c r="AA59" i="66"/>
  <c r="Y59" i="66"/>
  <c r="AK58" i="66"/>
  <c r="AA58" i="66"/>
  <c r="Y58" i="66"/>
  <c r="AK57" i="66"/>
  <c r="AO57" i="66" s="1"/>
  <c r="AA57" i="66"/>
  <c r="Y57" i="66"/>
  <c r="AK56" i="66"/>
  <c r="AA56" i="66"/>
  <c r="Y56" i="66"/>
  <c r="AK55" i="66"/>
  <c r="AA55" i="66"/>
  <c r="Y55" i="66"/>
  <c r="AK54" i="66"/>
  <c r="AA54" i="66"/>
  <c r="Y54" i="66"/>
  <c r="AK53" i="66"/>
  <c r="AA53" i="66"/>
  <c r="Y53" i="66"/>
  <c r="AK52" i="66"/>
  <c r="AA52" i="66"/>
  <c r="Y52" i="66"/>
  <c r="AK51" i="66"/>
  <c r="AL51" i="66" s="1"/>
  <c r="AA51" i="66"/>
  <c r="Y51" i="66"/>
  <c r="AK50" i="66"/>
  <c r="AL50" i="66" s="1"/>
  <c r="AA50" i="66"/>
  <c r="Y50" i="66"/>
  <c r="AK49" i="66"/>
  <c r="AM49" i="66" s="1"/>
  <c r="AA49" i="66"/>
  <c r="Y49" i="66"/>
  <c r="AK48" i="66"/>
  <c r="AA48" i="66"/>
  <c r="Y48" i="66"/>
  <c r="AK47" i="66"/>
  <c r="AA47" i="66"/>
  <c r="Y47" i="66"/>
  <c r="AK46" i="66"/>
  <c r="AN46" i="66" s="1"/>
  <c r="AA46" i="66"/>
  <c r="Y46" i="66"/>
  <c r="AK45" i="66"/>
  <c r="AA45" i="66"/>
  <c r="Y45" i="66"/>
  <c r="AK44" i="66"/>
  <c r="AA44" i="66"/>
  <c r="Y44" i="66"/>
  <c r="AK43" i="66"/>
  <c r="AM43" i="66" s="1"/>
  <c r="AA43" i="66"/>
  <c r="Y43" i="66"/>
  <c r="AK42" i="66"/>
  <c r="AL42" i="66" s="1"/>
  <c r="AA42" i="66"/>
  <c r="Y42" i="66"/>
  <c r="AK41" i="66"/>
  <c r="AM41" i="66" s="1"/>
  <c r="AA41" i="66"/>
  <c r="Y41" i="66"/>
  <c r="AK40" i="66"/>
  <c r="AV39" i="66"/>
  <c r="BA39" i="66" s="1"/>
  <c r="AU39" i="66"/>
  <c r="AZ39" i="66" s="1"/>
  <c r="AT39" i="66"/>
  <c r="AY39" i="66" s="1"/>
  <c r="AS39" i="66"/>
  <c r="AX39" i="66" s="1"/>
  <c r="AR39" i="66"/>
  <c r="AW39" i="66" s="1"/>
  <c r="AP39" i="66"/>
  <c r="AO39" i="66"/>
  <c r="AN39" i="66"/>
  <c r="AM39" i="66"/>
  <c r="AL39" i="66"/>
  <c r="AD32" i="66"/>
  <c r="AC32" i="66"/>
  <c r="AB32" i="66"/>
  <c r="AA32" i="66"/>
  <c r="Z32" i="66"/>
  <c r="X32" i="66"/>
  <c r="X31" i="66"/>
  <c r="G167" i="66"/>
  <c r="E167" i="66"/>
  <c r="D132" i="66"/>
  <c r="AD30" i="66"/>
  <c r="AC30" i="66"/>
  <c r="AB30" i="66"/>
  <c r="AA30" i="66"/>
  <c r="Z30" i="66"/>
  <c r="X30" i="66"/>
  <c r="R30" i="66"/>
  <c r="S30" i="66" s="1"/>
  <c r="AD29" i="66"/>
  <c r="AC29" i="66"/>
  <c r="AB29" i="66"/>
  <c r="AA29" i="66"/>
  <c r="Z29" i="66"/>
  <c r="X29" i="66"/>
  <c r="R29" i="66"/>
  <c r="S29" i="66" s="1"/>
  <c r="AD28" i="66"/>
  <c r="AC28" i="66"/>
  <c r="AB28" i="66"/>
  <c r="AA28" i="66"/>
  <c r="Z28" i="66"/>
  <c r="X28" i="66"/>
  <c r="R28" i="66"/>
  <c r="S28" i="66" s="1"/>
  <c r="AD27" i="66"/>
  <c r="AC27" i="66"/>
  <c r="AB27" i="66"/>
  <c r="AA27" i="66"/>
  <c r="Z27" i="66"/>
  <c r="X27" i="66"/>
  <c r="R27" i="66"/>
  <c r="S27" i="66" s="1"/>
  <c r="AD26" i="66"/>
  <c r="AC26" i="66"/>
  <c r="AB26" i="66"/>
  <c r="AA26" i="66"/>
  <c r="Z26" i="66"/>
  <c r="X26" i="66"/>
  <c r="R26" i="66"/>
  <c r="S26" i="66" s="1"/>
  <c r="AD25" i="66"/>
  <c r="AC25" i="66"/>
  <c r="AB25" i="66"/>
  <c r="AA25" i="66"/>
  <c r="Z25" i="66"/>
  <c r="X25" i="66"/>
  <c r="R25" i="66"/>
  <c r="S25" i="66" s="1"/>
  <c r="AM56" i="66"/>
  <c r="AD24" i="66"/>
  <c r="AC24" i="66"/>
  <c r="AB24" i="66"/>
  <c r="AA24" i="66"/>
  <c r="Z24" i="66"/>
  <c r="X24" i="66"/>
  <c r="R24" i="66"/>
  <c r="AD23" i="66"/>
  <c r="AC23" i="66"/>
  <c r="AB23" i="66"/>
  <c r="AA23" i="66"/>
  <c r="Z23" i="66"/>
  <c r="X23" i="66"/>
  <c r="R23" i="66"/>
  <c r="S23" i="66" s="1"/>
  <c r="AD22" i="66"/>
  <c r="AC22" i="66"/>
  <c r="AB22" i="66"/>
  <c r="AA22" i="66"/>
  <c r="Z22" i="66"/>
  <c r="X22" i="66"/>
  <c r="R22" i="66"/>
  <c r="S22" i="66" s="1"/>
  <c r="AD21" i="66"/>
  <c r="AC21" i="66"/>
  <c r="AB21" i="66"/>
  <c r="AA21" i="66"/>
  <c r="Z21" i="66"/>
  <c r="X21" i="66"/>
  <c r="R21" i="66"/>
  <c r="S21" i="66" s="1"/>
  <c r="AN52" i="66"/>
  <c r="AL52" i="66"/>
  <c r="AD20" i="66"/>
  <c r="AC20" i="66"/>
  <c r="AB20" i="66"/>
  <c r="AA20" i="66"/>
  <c r="Z20" i="66"/>
  <c r="X20" i="66"/>
  <c r="R20" i="66"/>
  <c r="AD19" i="66"/>
  <c r="AC19" i="66"/>
  <c r="AB19" i="66"/>
  <c r="AA19" i="66"/>
  <c r="Z19" i="66"/>
  <c r="X19" i="66"/>
  <c r="R19" i="66"/>
  <c r="S19" i="66" s="1"/>
  <c r="AD18" i="66"/>
  <c r="AC18" i="66"/>
  <c r="AB18" i="66"/>
  <c r="AA18" i="66"/>
  <c r="Z18" i="66"/>
  <c r="X18" i="66"/>
  <c r="R18" i="66"/>
  <c r="S18" i="66" s="1"/>
  <c r="AD17" i="66"/>
  <c r="AC17" i="66"/>
  <c r="AB17" i="66"/>
  <c r="AA17" i="66"/>
  <c r="Z17" i="66"/>
  <c r="X17" i="66"/>
  <c r="R17" i="66"/>
  <c r="AN48" i="66"/>
  <c r="AD16" i="66"/>
  <c r="AC16" i="66"/>
  <c r="AB16" i="66"/>
  <c r="AA16" i="66"/>
  <c r="Z16" i="66"/>
  <c r="X16" i="66"/>
  <c r="R16" i="66"/>
  <c r="S16" i="66" s="1"/>
  <c r="AD15" i="66"/>
  <c r="AC15" i="66"/>
  <c r="AB15" i="66"/>
  <c r="AA15" i="66"/>
  <c r="Z15" i="66"/>
  <c r="X15" i="66"/>
  <c r="R15" i="66"/>
  <c r="S15" i="66" s="1"/>
  <c r="AD14" i="66"/>
  <c r="AC14" i="66"/>
  <c r="AB14" i="66"/>
  <c r="AA14" i="66"/>
  <c r="Z14" i="66"/>
  <c r="X14" i="66"/>
  <c r="R14" i="66"/>
  <c r="AQ45" i="66" s="1"/>
  <c r="AN45" i="66"/>
  <c r="AD13" i="66"/>
  <c r="AC13" i="66"/>
  <c r="AB13" i="66"/>
  <c r="AA13" i="66"/>
  <c r="Z13" i="66"/>
  <c r="X13" i="66"/>
  <c r="R13" i="66"/>
  <c r="S13" i="66" s="1"/>
  <c r="AN44" i="66"/>
  <c r="AD12" i="66"/>
  <c r="AC12" i="66"/>
  <c r="AB12" i="66"/>
  <c r="AA12" i="66"/>
  <c r="Z12" i="66"/>
  <c r="X12" i="66"/>
  <c r="R12" i="66"/>
  <c r="AD11" i="66"/>
  <c r="AC11" i="66"/>
  <c r="AB11" i="66"/>
  <c r="AA11" i="66"/>
  <c r="Z11" i="66"/>
  <c r="X11" i="66"/>
  <c r="R11" i="66"/>
  <c r="S11" i="66" s="1"/>
  <c r="AD10" i="66"/>
  <c r="AC10" i="66"/>
  <c r="AB10" i="66"/>
  <c r="AA10" i="66"/>
  <c r="Z10" i="66"/>
  <c r="X10" i="66"/>
  <c r="R10" i="66"/>
  <c r="S10" i="66" s="1"/>
  <c r="AN41" i="66"/>
  <c r="AD9" i="66"/>
  <c r="AC9" i="66"/>
  <c r="AB9" i="66"/>
  <c r="AA9" i="66"/>
  <c r="Z9" i="66"/>
  <c r="X9" i="66"/>
  <c r="R9" i="66"/>
  <c r="AM40" i="66"/>
  <c r="AD8" i="66"/>
  <c r="AC8" i="66"/>
  <c r="AB8" i="66"/>
  <c r="AA8" i="66"/>
  <c r="Z8" i="66"/>
  <c r="AN42" i="66" l="1"/>
  <c r="AM51" i="66"/>
  <c r="AP51" i="66"/>
  <c r="AM59" i="66"/>
  <c r="AQ43" i="66"/>
  <c r="Q44" i="76"/>
  <c r="L44" i="76"/>
  <c r="W44" i="76"/>
  <c r="Y44" i="76"/>
  <c r="F44" i="76"/>
  <c r="H44" i="76"/>
  <c r="S44" i="76"/>
  <c r="X44" i="76"/>
  <c r="I44" i="76"/>
  <c r="E44" i="76"/>
  <c r="Z44" i="76"/>
  <c r="O44" i="76"/>
  <c r="R44" i="76"/>
  <c r="M44" i="76"/>
  <c r="G44" i="76"/>
  <c r="K44" i="76"/>
  <c r="AA44" i="76"/>
  <c r="U44" i="76"/>
  <c r="P44" i="76"/>
  <c r="T44" i="76"/>
  <c r="J44" i="76"/>
  <c r="V44" i="76"/>
  <c r="N44" i="76"/>
  <c r="AQ58" i="67"/>
  <c r="AQ51" i="67"/>
  <c r="A145" i="67"/>
  <c r="E45" i="76"/>
  <c r="O45" i="76"/>
  <c r="N45" i="76"/>
  <c r="K45" i="76"/>
  <c r="X45" i="76"/>
  <c r="F45" i="76"/>
  <c r="S45" i="76"/>
  <c r="U45" i="76"/>
  <c r="P45" i="76"/>
  <c r="T45" i="76"/>
  <c r="G45" i="76"/>
  <c r="Y45" i="76"/>
  <c r="AA45" i="76"/>
  <c r="V45" i="76"/>
  <c r="Z45" i="76"/>
  <c r="L45" i="76"/>
  <c r="H45" i="76"/>
  <c r="D45" i="76"/>
  <c r="Q45" i="76"/>
  <c r="W45" i="76"/>
  <c r="R45" i="76"/>
  <c r="J45" i="76"/>
  <c r="I45" i="76"/>
  <c r="M45" i="76"/>
  <c r="AO50" i="66"/>
  <c r="AO41" i="66"/>
  <c r="AO49" i="66"/>
  <c r="AO58" i="66"/>
  <c r="AM54" i="67"/>
  <c r="AQ54" i="67"/>
  <c r="AN43" i="67"/>
  <c r="AN47" i="67"/>
  <c r="AO47" i="67"/>
  <c r="AO58" i="67"/>
  <c r="AN44" i="67"/>
  <c r="AN48" i="67"/>
  <c r="AO51" i="67"/>
  <c r="AO59" i="67"/>
  <c r="AO55" i="67"/>
  <c r="AO61" i="67"/>
  <c r="AO43" i="67"/>
  <c r="AO45" i="67"/>
  <c r="AO46" i="67"/>
  <c r="AO52" i="67"/>
  <c r="AO54" i="67"/>
  <c r="AM40" i="67"/>
  <c r="AQ40" i="67"/>
  <c r="AO44" i="67"/>
  <c r="AO48" i="67"/>
  <c r="AM60" i="67"/>
  <c r="AQ60" i="67"/>
  <c r="AS43" i="67"/>
  <c r="AN40" i="67"/>
  <c r="AM55" i="67"/>
  <c r="AQ55" i="67"/>
  <c r="AO60" i="67"/>
  <c r="AT59" i="66"/>
  <c r="AU54" i="66"/>
  <c r="A110" i="66"/>
  <c r="AZ54" i="66"/>
  <c r="AZ40" i="66"/>
  <c r="AO43" i="66"/>
  <c r="AL44" i="66"/>
  <c r="AP44" i="66"/>
  <c r="AL48" i="66"/>
  <c r="AP48" i="66"/>
  <c r="AZ58" i="66"/>
  <c r="AL43" i="66"/>
  <c r="AM44" i="66"/>
  <c r="AM48" i="66"/>
  <c r="AD31" i="66"/>
  <c r="O31" i="66" s="1"/>
  <c r="Z39" i="76" s="1"/>
  <c r="T25" i="66"/>
  <c r="BG45" i="67"/>
  <c r="BG49" i="67"/>
  <c r="BG53" i="67"/>
  <c r="BG61" i="67"/>
  <c r="BG40" i="67"/>
  <c r="BG41" i="67"/>
  <c r="BG50" i="67"/>
  <c r="BG54" i="67"/>
  <c r="BG58" i="67"/>
  <c r="BG62" i="67"/>
  <c r="BG47" i="67"/>
  <c r="BG51" i="67"/>
  <c r="BG55" i="67"/>
  <c r="BG59" i="67"/>
  <c r="BG63" i="67"/>
  <c r="BG44" i="67"/>
  <c r="BG48" i="67"/>
  <c r="BG52" i="67"/>
  <c r="BG56" i="67"/>
  <c r="BH39" i="67"/>
  <c r="BB39" i="67"/>
  <c r="BA63" i="67"/>
  <c r="BE63" i="67"/>
  <c r="BB63" i="67"/>
  <c r="BD63" i="67"/>
  <c r="BC63" i="67"/>
  <c r="BF63" i="67"/>
  <c r="X116" i="67"/>
  <c r="AD116" i="67" s="1"/>
  <c r="A116" i="67"/>
  <c r="X124" i="67"/>
  <c r="AD124" i="67" s="1"/>
  <c r="A124" i="67"/>
  <c r="BI39" i="67"/>
  <c r="BC39" i="67"/>
  <c r="BD40" i="67"/>
  <c r="BB40" i="67"/>
  <c r="BC40" i="67"/>
  <c r="BF40" i="67"/>
  <c r="BE40" i="67"/>
  <c r="AZ42" i="67"/>
  <c r="BB42" i="67"/>
  <c r="BE42" i="67"/>
  <c r="BD42" i="67"/>
  <c r="BC42" i="67"/>
  <c r="BF42" i="67"/>
  <c r="BG42" i="67" s="1"/>
  <c r="X113" i="67"/>
  <c r="AD113" i="67" s="1"/>
  <c r="A113" i="67"/>
  <c r="X117" i="67"/>
  <c r="AD117" i="67" s="1"/>
  <c r="A117" i="67"/>
  <c r="X121" i="67"/>
  <c r="AD121" i="67" s="1"/>
  <c r="A121" i="67"/>
  <c r="X125" i="67"/>
  <c r="AD125" i="67" s="1"/>
  <c r="A125" i="67"/>
  <c r="AD31" i="67"/>
  <c r="O31" i="67" s="1"/>
  <c r="Z42" i="76" s="1"/>
  <c r="AN41" i="67"/>
  <c r="AO42" i="67"/>
  <c r="BJ39" i="67"/>
  <c r="BD39" i="67"/>
  <c r="BB44" i="67"/>
  <c r="BE44" i="67"/>
  <c r="BF44" i="67"/>
  <c r="BD44" i="67"/>
  <c r="BC44" i="67"/>
  <c r="BF45" i="67"/>
  <c r="BB45" i="67"/>
  <c r="BC45" i="67"/>
  <c r="BD45" i="67"/>
  <c r="BE45" i="67"/>
  <c r="BC46" i="67"/>
  <c r="BB46" i="67"/>
  <c r="BD46" i="67"/>
  <c r="BE46" i="67"/>
  <c r="BF46" i="67"/>
  <c r="BG46" i="67" s="1"/>
  <c r="AZ47" i="67"/>
  <c r="BC47" i="67"/>
  <c r="BD47" i="67"/>
  <c r="BF47" i="67"/>
  <c r="BB47" i="67"/>
  <c r="BE47" i="67"/>
  <c r="BC48" i="67"/>
  <c r="BE48" i="67"/>
  <c r="BF48" i="67"/>
  <c r="BB48" i="67"/>
  <c r="BD48" i="67"/>
  <c r="AZ49" i="67"/>
  <c r="BF49" i="67"/>
  <c r="BE49" i="67"/>
  <c r="BD49" i="67"/>
  <c r="BB49" i="67"/>
  <c r="BC49" i="67"/>
  <c r="AY50" i="67"/>
  <c r="BE50" i="67"/>
  <c r="BC50" i="67"/>
  <c r="BF50" i="67"/>
  <c r="BD50" i="67"/>
  <c r="BB50" i="67"/>
  <c r="BB51" i="67"/>
  <c r="BD51" i="67"/>
  <c r="BC51" i="67"/>
  <c r="BE51" i="67"/>
  <c r="BF51" i="67"/>
  <c r="AU52" i="67"/>
  <c r="BD52" i="67"/>
  <c r="BB52" i="67"/>
  <c r="BE52" i="67"/>
  <c r="BC52" i="67"/>
  <c r="BF52" i="67"/>
  <c r="BB53" i="67"/>
  <c r="BC53" i="67"/>
  <c r="BE53" i="67"/>
  <c r="BD53" i="67"/>
  <c r="BF53" i="67"/>
  <c r="AU54" i="67"/>
  <c r="BF54" i="67"/>
  <c r="BE54" i="67"/>
  <c r="BC54" i="67"/>
  <c r="BD54" i="67"/>
  <c r="BB54" i="67"/>
  <c r="BD55" i="67"/>
  <c r="BF55" i="67"/>
  <c r="BE55" i="67"/>
  <c r="BC55" i="67"/>
  <c r="BB55" i="67"/>
  <c r="BE56" i="67"/>
  <c r="BC56" i="67"/>
  <c r="BF56" i="67"/>
  <c r="BD56" i="67"/>
  <c r="BB56" i="67"/>
  <c r="BD57" i="67"/>
  <c r="BC57" i="67"/>
  <c r="BE57" i="67"/>
  <c r="BB57" i="67"/>
  <c r="BF57" i="67"/>
  <c r="BG57" i="67" s="1"/>
  <c r="BE58" i="67"/>
  <c r="BF58" i="67"/>
  <c r="BC58" i="67"/>
  <c r="BB58" i="67"/>
  <c r="BD58" i="67"/>
  <c r="BD59" i="67"/>
  <c r="BF59" i="67"/>
  <c r="BC59" i="67"/>
  <c r="BE59" i="67"/>
  <c r="BB59" i="67"/>
  <c r="AU60" i="67"/>
  <c r="BC60" i="67"/>
  <c r="BB60" i="67"/>
  <c r="BD60" i="67"/>
  <c r="BF60" i="67"/>
  <c r="BG60" i="67" s="1"/>
  <c r="BE60" i="67"/>
  <c r="BF61" i="67"/>
  <c r="BE61" i="67"/>
  <c r="BB61" i="67"/>
  <c r="BD61" i="67"/>
  <c r="BC61" i="67"/>
  <c r="BF62" i="67"/>
  <c r="BD62" i="67"/>
  <c r="BB62" i="67"/>
  <c r="BE62" i="67"/>
  <c r="BC62" i="67"/>
  <c r="X110" i="67"/>
  <c r="AD110" i="67" s="1"/>
  <c r="A110" i="67"/>
  <c r="X114" i="67"/>
  <c r="AD114" i="67" s="1"/>
  <c r="A114" i="67"/>
  <c r="X118" i="67"/>
  <c r="AD118" i="67" s="1"/>
  <c r="A118" i="67"/>
  <c r="X122" i="67"/>
  <c r="AD122" i="67" s="1"/>
  <c r="A122" i="67"/>
  <c r="X126" i="67"/>
  <c r="AD126" i="67" s="1"/>
  <c r="A126" i="67"/>
  <c r="X130" i="67"/>
  <c r="AD130" i="67" s="1"/>
  <c r="A130" i="67"/>
  <c r="BL39" i="67"/>
  <c r="BF39" i="67"/>
  <c r="X112" i="67"/>
  <c r="AD112" i="67" s="1"/>
  <c r="A112" i="67"/>
  <c r="X120" i="67"/>
  <c r="AD120" i="67" s="1"/>
  <c r="A120" i="67"/>
  <c r="X128" i="67"/>
  <c r="AD128" i="67" s="1"/>
  <c r="A128" i="67"/>
  <c r="AS41" i="67"/>
  <c r="BB41" i="67"/>
  <c r="BF41" i="67"/>
  <c r="BC41" i="67"/>
  <c r="BE41" i="67"/>
  <c r="BD41" i="67"/>
  <c r="BE43" i="67"/>
  <c r="BD43" i="67"/>
  <c r="BF43" i="67"/>
  <c r="BG43" i="67" s="1"/>
  <c r="BC43" i="67"/>
  <c r="BB43" i="67"/>
  <c r="AQ63" i="67"/>
  <c r="X129" i="67"/>
  <c r="AD129" i="67" s="1"/>
  <c r="A129" i="67"/>
  <c r="AO41" i="67"/>
  <c r="BK39" i="67"/>
  <c r="BE39" i="67"/>
  <c r="X111" i="67"/>
  <c r="AD111" i="67" s="1"/>
  <c r="A111" i="67"/>
  <c r="X115" i="67"/>
  <c r="AD115" i="67" s="1"/>
  <c r="A115" i="67"/>
  <c r="X119" i="67"/>
  <c r="AD119" i="67" s="1"/>
  <c r="A119" i="67"/>
  <c r="X123" i="67"/>
  <c r="AD123" i="67" s="1"/>
  <c r="A123" i="67"/>
  <c r="X127" i="67"/>
  <c r="AD127" i="67" s="1"/>
  <c r="A127" i="67"/>
  <c r="X131" i="67"/>
  <c r="AD131" i="67" s="1"/>
  <c r="A131" i="67"/>
  <c r="AR64" i="67"/>
  <c r="BB64" i="67"/>
  <c r="BD64" i="67"/>
  <c r="BF64" i="67"/>
  <c r="BC64" i="67"/>
  <c r="BE64" i="67"/>
  <c r="AT64" i="67"/>
  <c r="BA64" i="67"/>
  <c r="AT42" i="67"/>
  <c r="AS47" i="67"/>
  <c r="AY40" i="67"/>
  <c r="AY58" i="67"/>
  <c r="AV40" i="67"/>
  <c r="AT45" i="67"/>
  <c r="AZ41" i="67"/>
  <c r="B183" i="67"/>
  <c r="X148" i="67"/>
  <c r="AD148" i="67" s="1"/>
  <c r="AX44" i="67"/>
  <c r="AZ45" i="67"/>
  <c r="B187" i="67"/>
  <c r="X152" i="67"/>
  <c r="AD152" i="67" s="1"/>
  <c r="X154" i="67"/>
  <c r="AD154" i="67" s="1"/>
  <c r="B189" i="67"/>
  <c r="B192" i="67"/>
  <c r="X157" i="67"/>
  <c r="AD157" i="67" s="1"/>
  <c r="AW53" i="67"/>
  <c r="AY54" i="67"/>
  <c r="B196" i="67"/>
  <c r="X161" i="67"/>
  <c r="AD161" i="67" s="1"/>
  <c r="AW57" i="67"/>
  <c r="B199" i="67"/>
  <c r="X164" i="67"/>
  <c r="AD164" i="67" s="1"/>
  <c r="AW60" i="67"/>
  <c r="B202" i="67"/>
  <c r="X202" i="67" s="1"/>
  <c r="AD202" i="67" s="1"/>
  <c r="X167" i="67"/>
  <c r="AD167" i="67" s="1"/>
  <c r="AT47" i="67"/>
  <c r="B180" i="67"/>
  <c r="X145" i="67"/>
  <c r="AD145" i="67" s="1"/>
  <c r="B182" i="67"/>
  <c r="X147" i="67"/>
  <c r="AD147" i="67" s="1"/>
  <c r="AX43" i="67"/>
  <c r="AZ44" i="67"/>
  <c r="B186" i="67"/>
  <c r="X151" i="67"/>
  <c r="AD151" i="67" s="1"/>
  <c r="AX47" i="67"/>
  <c r="B190" i="67"/>
  <c r="X155" i="67"/>
  <c r="AD155" i="67" s="1"/>
  <c r="AW52" i="67"/>
  <c r="AY53" i="67"/>
  <c r="B195" i="67"/>
  <c r="X160" i="67"/>
  <c r="AD160" i="67" s="1"/>
  <c r="AW56" i="67"/>
  <c r="AY57" i="67"/>
  <c r="AW59" i="67"/>
  <c r="AY60" i="67"/>
  <c r="B203" i="67"/>
  <c r="X203" i="67" s="1"/>
  <c r="AD203" i="67" s="1"/>
  <c r="X168" i="67"/>
  <c r="AD168" i="67" s="1"/>
  <c r="AX40" i="67"/>
  <c r="AT41" i="67"/>
  <c r="AS44" i="67"/>
  <c r="AU48" i="67"/>
  <c r="AU56" i="67"/>
  <c r="AW61" i="67"/>
  <c r="AT44" i="67"/>
  <c r="AS46" i="67"/>
  <c r="AZ40" i="67"/>
  <c r="AX42" i="67"/>
  <c r="AZ43" i="67"/>
  <c r="X150" i="67"/>
  <c r="AD150" i="67" s="1"/>
  <c r="B185" i="67"/>
  <c r="AX46" i="67"/>
  <c r="B188" i="67"/>
  <c r="X153" i="67"/>
  <c r="AD153" i="67" s="1"/>
  <c r="B191" i="67"/>
  <c r="X156" i="67"/>
  <c r="AD156" i="67" s="1"/>
  <c r="AY52" i="67"/>
  <c r="B194" i="67"/>
  <c r="X159" i="67"/>
  <c r="AD159" i="67" s="1"/>
  <c r="AW55" i="67"/>
  <c r="AY56" i="67"/>
  <c r="B198" i="67"/>
  <c r="X163" i="67"/>
  <c r="AD163" i="67" s="1"/>
  <c r="AY59" i="67"/>
  <c r="X166" i="67"/>
  <c r="AD166" i="67" s="1"/>
  <c r="B201" i="67"/>
  <c r="AY63" i="67"/>
  <c r="AU40" i="67"/>
  <c r="AX41" i="67"/>
  <c r="AS45" i="67"/>
  <c r="AU58" i="67"/>
  <c r="AR40" i="67"/>
  <c r="AS42" i="67"/>
  <c r="AT46" i="67"/>
  <c r="AV48" i="67"/>
  <c r="AS63" i="67"/>
  <c r="X146" i="67"/>
  <c r="AD146" i="67" s="1"/>
  <c r="B181" i="67"/>
  <c r="B184" i="67"/>
  <c r="X149" i="67"/>
  <c r="AD149" i="67" s="1"/>
  <c r="AX45" i="67"/>
  <c r="AZ46" i="67"/>
  <c r="BA48" i="67"/>
  <c r="AY51" i="67"/>
  <c r="X158" i="67"/>
  <c r="AD158" i="67" s="1"/>
  <c r="B193" i="67"/>
  <c r="AW54" i="67"/>
  <c r="AY55" i="67"/>
  <c r="X162" i="67"/>
  <c r="AD162" i="67" s="1"/>
  <c r="B197" i="67"/>
  <c r="AW58" i="67"/>
  <c r="B200" i="67"/>
  <c r="X165" i="67"/>
  <c r="AD165" i="67" s="1"/>
  <c r="AY61" i="67"/>
  <c r="AQ61" i="67"/>
  <c r="T15" i="67"/>
  <c r="Z82" i="67" s="1"/>
  <c r="S29" i="67"/>
  <c r="T29" i="67" s="1"/>
  <c r="Z96" i="67" s="1"/>
  <c r="AX42" i="66"/>
  <c r="AT41" i="66"/>
  <c r="T10" i="67"/>
  <c r="T18" i="67"/>
  <c r="Y84" i="67"/>
  <c r="Z76" i="67"/>
  <c r="Y94" i="67"/>
  <c r="Z98" i="67"/>
  <c r="Z92" i="67"/>
  <c r="X4" i="67"/>
  <c r="Z70" i="67" s="1"/>
  <c r="Y78" i="67"/>
  <c r="AO62" i="67"/>
  <c r="T16" i="67"/>
  <c r="T17" i="67"/>
  <c r="T30" i="67"/>
  <c r="Z97" i="67" s="1"/>
  <c r="AQ59" i="67"/>
  <c r="S20" i="67"/>
  <c r="T20" i="67" s="1"/>
  <c r="S21" i="67"/>
  <c r="T21" i="67" s="1"/>
  <c r="Y76" i="67"/>
  <c r="Y92" i="67"/>
  <c r="T12" i="67"/>
  <c r="Z79" i="67" s="1"/>
  <c r="T13" i="67"/>
  <c r="T14" i="67"/>
  <c r="T28" i="67"/>
  <c r="Z84" i="67"/>
  <c r="Y86" i="67"/>
  <c r="Z90" i="67"/>
  <c r="S9" i="67"/>
  <c r="T9" i="67" s="1"/>
  <c r="T11" i="67"/>
  <c r="T19" i="67"/>
  <c r="S24" i="67"/>
  <c r="T24" i="67" s="1"/>
  <c r="S25" i="67"/>
  <c r="T25" i="67" s="1"/>
  <c r="AQ50" i="67"/>
  <c r="AU61" i="67"/>
  <c r="AB31" i="67"/>
  <c r="M31" i="67" s="1"/>
  <c r="AN62" i="67" s="1"/>
  <c r="AT43" i="67"/>
  <c r="AS49" i="67"/>
  <c r="S22" i="67"/>
  <c r="T22" i="67" s="1"/>
  <c r="AQ53" i="67"/>
  <c r="AQ57" i="67"/>
  <c r="S26" i="67"/>
  <c r="T26" i="67" s="1"/>
  <c r="Z93" i="67" s="1"/>
  <c r="AW62" i="67"/>
  <c r="Z31" i="67"/>
  <c r="K31" i="67" s="1"/>
  <c r="AL62" i="67" s="1"/>
  <c r="AV62" i="67"/>
  <c r="AX49" i="67"/>
  <c r="AT49" i="67"/>
  <c r="AP49" i="67"/>
  <c r="AL49" i="67"/>
  <c r="AW49" i="67"/>
  <c r="AR49" i="67"/>
  <c r="AM49" i="67"/>
  <c r="AY49" i="67"/>
  <c r="AQ49" i="67"/>
  <c r="BA49" i="67"/>
  <c r="AU49" i="67"/>
  <c r="AN49" i="67"/>
  <c r="AV49" i="67"/>
  <c r="AO49" i="67"/>
  <c r="AX62" i="67"/>
  <c r="AS62" i="67"/>
  <c r="AM62" i="67"/>
  <c r="AA63" i="67"/>
  <c r="AX50" i="67"/>
  <c r="AT50" i="67"/>
  <c r="AP50" i="67"/>
  <c r="AL50" i="67"/>
  <c r="AW50" i="67"/>
  <c r="AR50" i="67"/>
  <c r="AM50" i="67"/>
  <c r="AS50" i="67"/>
  <c r="AZ50" i="67"/>
  <c r="AY64" i="67"/>
  <c r="AU64" i="67"/>
  <c r="AQ64" i="67"/>
  <c r="AM64" i="67"/>
  <c r="AW64" i="67"/>
  <c r="AS64" i="67"/>
  <c r="AO64" i="67"/>
  <c r="Z99" i="67"/>
  <c r="Z95" i="67"/>
  <c r="Z91" i="67"/>
  <c r="Z89" i="67"/>
  <c r="Z87" i="67"/>
  <c r="Z85" i="67"/>
  <c r="Z83" i="67"/>
  <c r="Z81" i="67"/>
  <c r="Z77" i="67"/>
  <c r="AX64" i="67"/>
  <c r="AP64" i="67"/>
  <c r="AV64" i="67"/>
  <c r="AN64" i="67"/>
  <c r="AT62" i="67"/>
  <c r="AY62" i="67"/>
  <c r="AO40" i="67"/>
  <c r="AS40" i="67"/>
  <c r="AW40" i="67"/>
  <c r="BA40" i="67"/>
  <c r="AY41" i="67"/>
  <c r="AU41" i="67"/>
  <c r="AQ41" i="67"/>
  <c r="AM41" i="67"/>
  <c r="AP41" i="67"/>
  <c r="AV41" i="67"/>
  <c r="BA41" i="67"/>
  <c r="AY42" i="67"/>
  <c r="AU42" i="67"/>
  <c r="AQ42" i="67"/>
  <c r="AM42" i="67"/>
  <c r="AP42" i="67"/>
  <c r="AV42" i="67"/>
  <c r="BA42" i="67"/>
  <c r="AY43" i="67"/>
  <c r="AU43" i="67"/>
  <c r="AQ43" i="67"/>
  <c r="AM43" i="67"/>
  <c r="AP43" i="67"/>
  <c r="AV43" i="67"/>
  <c r="BA43" i="67"/>
  <c r="AY44" i="67"/>
  <c r="AU44" i="67"/>
  <c r="AQ44" i="67"/>
  <c r="AM44" i="67"/>
  <c r="AP44" i="67"/>
  <c r="AV44" i="67"/>
  <c r="BA44" i="67"/>
  <c r="AY45" i="67"/>
  <c r="AU45" i="67"/>
  <c r="AQ45" i="67"/>
  <c r="AM45" i="67"/>
  <c r="AP45" i="67"/>
  <c r="AV45" i="67"/>
  <c r="BA45" i="67"/>
  <c r="AY46" i="67"/>
  <c r="AU46" i="67"/>
  <c r="AQ46" i="67"/>
  <c r="AM46" i="67"/>
  <c r="AP46" i="67"/>
  <c r="AV46" i="67"/>
  <c r="BA46" i="67"/>
  <c r="AY47" i="67"/>
  <c r="AU47" i="67"/>
  <c r="AQ47" i="67"/>
  <c r="AM47" i="67"/>
  <c r="AP47" i="67"/>
  <c r="AV47" i="67"/>
  <c r="BA47" i="67"/>
  <c r="AX48" i="67"/>
  <c r="AT48" i="67"/>
  <c r="AP48" i="67"/>
  <c r="AW48" i="67"/>
  <c r="AR48" i="67"/>
  <c r="AM48" i="67"/>
  <c r="AQ48" i="67"/>
  <c r="AY48" i="67"/>
  <c r="AN50" i="67"/>
  <c r="AU50" i="67"/>
  <c r="BA50" i="67"/>
  <c r="AZ51" i="67"/>
  <c r="AV51" i="67"/>
  <c r="AR51" i="67"/>
  <c r="AX51" i="67"/>
  <c r="AT51" i="67"/>
  <c r="AP51" i="67"/>
  <c r="AL51" i="67"/>
  <c r="BA51" i="67"/>
  <c r="AS51" i="67"/>
  <c r="AM51" i="67"/>
  <c r="AU51" i="67"/>
  <c r="AU53" i="67"/>
  <c r="AU55" i="67"/>
  <c r="AU57" i="67"/>
  <c r="AU59" i="67"/>
  <c r="AZ64" i="67"/>
  <c r="Z80" i="67"/>
  <c r="Y82" i="67"/>
  <c r="Z88" i="67"/>
  <c r="Y90" i="67"/>
  <c r="Y98" i="67"/>
  <c r="Z4" i="67"/>
  <c r="S23" i="67"/>
  <c r="T23" i="67" s="1"/>
  <c r="S27" i="67"/>
  <c r="T27" i="67" s="1"/>
  <c r="Z94" i="67" s="1"/>
  <c r="AZ62" i="67"/>
  <c r="AU62" i="67"/>
  <c r="AL40" i="67"/>
  <c r="AP40" i="67"/>
  <c r="AT40" i="67"/>
  <c r="AL41" i="67"/>
  <c r="AR41" i="67"/>
  <c r="AW41" i="67"/>
  <c r="AL42" i="67"/>
  <c r="AR42" i="67"/>
  <c r="AW42" i="67"/>
  <c r="AL43" i="67"/>
  <c r="AR43" i="67"/>
  <c r="AW43" i="67"/>
  <c r="AL44" i="67"/>
  <c r="AR44" i="67"/>
  <c r="AW44" i="67"/>
  <c r="AL45" i="67"/>
  <c r="AR45" i="67"/>
  <c r="AW45" i="67"/>
  <c r="AL46" i="67"/>
  <c r="AR46" i="67"/>
  <c r="AW46" i="67"/>
  <c r="AL47" i="67"/>
  <c r="AR47" i="67"/>
  <c r="AW47" i="67"/>
  <c r="AL48" i="67"/>
  <c r="AS48" i="67"/>
  <c r="AZ48" i="67"/>
  <c r="AO50" i="67"/>
  <c r="AV50" i="67"/>
  <c r="AN51" i="67"/>
  <c r="AW51" i="67"/>
  <c r="AZ63" i="67"/>
  <c r="AV63" i="67"/>
  <c r="AR63" i="67"/>
  <c r="AN63" i="67"/>
  <c r="AX63" i="67"/>
  <c r="AT63" i="67"/>
  <c r="AP63" i="67"/>
  <c r="AL63" i="67"/>
  <c r="AW63" i="67"/>
  <c r="AO63" i="67"/>
  <c r="AU63" i="67"/>
  <c r="AM63" i="67"/>
  <c r="AL64" i="67"/>
  <c r="Z78" i="67"/>
  <c r="Y80" i="67"/>
  <c r="Z86" i="67"/>
  <c r="Y88" i="67"/>
  <c r="Y96" i="67"/>
  <c r="AZ52" i="67"/>
  <c r="AV52" i="67"/>
  <c r="AR52" i="67"/>
  <c r="AN52" i="67"/>
  <c r="AX52" i="67"/>
  <c r="AT52" i="67"/>
  <c r="AP52" i="67"/>
  <c r="AL52" i="67"/>
  <c r="AS52" i="67"/>
  <c r="BA52" i="67"/>
  <c r="AZ53" i="67"/>
  <c r="AV53" i="67"/>
  <c r="AR53" i="67"/>
  <c r="AN53" i="67"/>
  <c r="AX53" i="67"/>
  <c r="AT53" i="67"/>
  <c r="AP53" i="67"/>
  <c r="AL53" i="67"/>
  <c r="AS53" i="67"/>
  <c r="BA53" i="67"/>
  <c r="AZ54" i="67"/>
  <c r="AV54" i="67"/>
  <c r="AR54" i="67"/>
  <c r="AN54" i="67"/>
  <c r="AX54" i="67"/>
  <c r="AT54" i="67"/>
  <c r="AP54" i="67"/>
  <c r="AL54" i="67"/>
  <c r="AS54" i="67"/>
  <c r="BA54" i="67"/>
  <c r="AZ55" i="67"/>
  <c r="AV55" i="67"/>
  <c r="AR55" i="67"/>
  <c r="AN55" i="67"/>
  <c r="AX55" i="67"/>
  <c r="AT55" i="67"/>
  <c r="AP55" i="67"/>
  <c r="AL55" i="67"/>
  <c r="AS55" i="67"/>
  <c r="BA55" i="67"/>
  <c r="AZ56" i="67"/>
  <c r="AV56" i="67"/>
  <c r="AR56" i="67"/>
  <c r="AN56" i="67"/>
  <c r="AX56" i="67"/>
  <c r="AT56" i="67"/>
  <c r="AP56" i="67"/>
  <c r="AL56" i="67"/>
  <c r="AS56" i="67"/>
  <c r="BA56" i="67"/>
  <c r="AZ57" i="67"/>
  <c r="AV57" i="67"/>
  <c r="AR57" i="67"/>
  <c r="AN57" i="67"/>
  <c r="AX57" i="67"/>
  <c r="AT57" i="67"/>
  <c r="AP57" i="67"/>
  <c r="AL57" i="67"/>
  <c r="AS57" i="67"/>
  <c r="BA57" i="67"/>
  <c r="AZ58" i="67"/>
  <c r="AV58" i="67"/>
  <c r="AR58" i="67"/>
  <c r="AN58" i="67"/>
  <c r="AX58" i="67"/>
  <c r="AT58" i="67"/>
  <c r="AP58" i="67"/>
  <c r="AL58" i="67"/>
  <c r="AS58" i="67"/>
  <c r="BA58" i="67"/>
  <c r="AZ59" i="67"/>
  <c r="AV59" i="67"/>
  <c r="AR59" i="67"/>
  <c r="AN59" i="67"/>
  <c r="AX59" i="67"/>
  <c r="AT59" i="67"/>
  <c r="AP59" i="67"/>
  <c r="AL59" i="67"/>
  <c r="AS59" i="67"/>
  <c r="BA59" i="67"/>
  <c r="AZ60" i="67"/>
  <c r="AV60" i="67"/>
  <c r="AR60" i="67"/>
  <c r="AN60" i="67"/>
  <c r="AX60" i="67"/>
  <c r="AT60" i="67"/>
  <c r="AP60" i="67"/>
  <c r="AL60" i="67"/>
  <c r="AS60" i="67"/>
  <c r="BA60" i="67"/>
  <c r="AZ61" i="67"/>
  <c r="AV61" i="67"/>
  <c r="AR61" i="67"/>
  <c r="AN61" i="67"/>
  <c r="AX61" i="67"/>
  <c r="AT61" i="67"/>
  <c r="AP61" i="67"/>
  <c r="AL61" i="67"/>
  <c r="AS61" i="67"/>
  <c r="BA61" i="67"/>
  <c r="AR62" i="67"/>
  <c r="BA62" i="67"/>
  <c r="Y77" i="67"/>
  <c r="Y79" i="67"/>
  <c r="Y81" i="67"/>
  <c r="Y83" i="67"/>
  <c r="Y85" i="67"/>
  <c r="Y87" i="67"/>
  <c r="Y89" i="67"/>
  <c r="Y91" i="67"/>
  <c r="Y93" i="67"/>
  <c r="Y95" i="67"/>
  <c r="Y97" i="67"/>
  <c r="Y99" i="67"/>
  <c r="AZ57" i="66"/>
  <c r="AZ53" i="66"/>
  <c r="AZ51" i="66"/>
  <c r="AR57" i="66"/>
  <c r="AV53" i="66"/>
  <c r="AR49" i="66"/>
  <c r="AT47" i="66"/>
  <c r="AU42" i="66"/>
  <c r="AS56" i="66"/>
  <c r="AT43" i="66"/>
  <c r="AV64" i="66"/>
  <c r="AT40" i="66"/>
  <c r="AS48" i="66"/>
  <c r="AV41" i="66"/>
  <c r="AW55" i="66"/>
  <c r="AZ55" i="66"/>
  <c r="AZ47" i="66"/>
  <c r="AZ43" i="66"/>
  <c r="AX40" i="66"/>
  <c r="BA40" i="66"/>
  <c r="BA41" i="66"/>
  <c r="BA42" i="66"/>
  <c r="BA43" i="66"/>
  <c r="BA44" i="66"/>
  <c r="BA45" i="66"/>
  <c r="AY46" i="66"/>
  <c r="AY47" i="66"/>
  <c r="BA48" i="66"/>
  <c r="BA49" i="66"/>
  <c r="BA50" i="66"/>
  <c r="BA51" i="66"/>
  <c r="AV40" i="66"/>
  <c r="AR53" i="66"/>
  <c r="AU46" i="66"/>
  <c r="AT64" i="66"/>
  <c r="AW51" i="66"/>
  <c r="AZ50" i="66"/>
  <c r="AZ46" i="66"/>
  <c r="AZ42" i="66"/>
  <c r="AU58" i="66"/>
  <c r="AT55" i="66"/>
  <c r="AS52" i="66"/>
  <c r="AU50" i="66"/>
  <c r="AV45" i="66"/>
  <c r="AS44" i="66"/>
  <c r="AR41" i="66"/>
  <c r="AV49" i="66"/>
  <c r="AW59" i="66"/>
  <c r="AW43" i="66"/>
  <c r="AZ56" i="66"/>
  <c r="AZ52" i="66"/>
  <c r="AZ48" i="66"/>
  <c r="AZ44" i="66"/>
  <c r="AZ59" i="66"/>
  <c r="AS60" i="66"/>
  <c r="AX61" i="66"/>
  <c r="G132" i="66"/>
  <c r="AU62" i="66" s="1"/>
  <c r="AV57" i="66"/>
  <c r="AT51" i="66"/>
  <c r="AR45" i="66"/>
  <c r="AW47" i="66"/>
  <c r="AZ49" i="66"/>
  <c r="AZ45" i="66"/>
  <c r="AZ41" i="66"/>
  <c r="AP52" i="66"/>
  <c r="T21" i="66"/>
  <c r="T19" i="66"/>
  <c r="T23" i="66"/>
  <c r="T27" i="66"/>
  <c r="Z94" i="66" s="1"/>
  <c r="BA63" i="66"/>
  <c r="AU63" i="66"/>
  <c r="AY63" i="66"/>
  <c r="AS63" i="66"/>
  <c r="AQ63" i="66"/>
  <c r="AT63" i="66"/>
  <c r="AV61" i="66"/>
  <c r="AW63" i="66"/>
  <c r="AZ63" i="66"/>
  <c r="AZ61" i="66"/>
  <c r="AQ51" i="66"/>
  <c r="S20" i="66"/>
  <c r="T20" i="66" s="1"/>
  <c r="AQ55" i="66"/>
  <c r="S24" i="66"/>
  <c r="T24" i="66" s="1"/>
  <c r="BA52" i="66"/>
  <c r="AW52" i="66"/>
  <c r="AT52" i="66"/>
  <c r="AY52" i="66"/>
  <c r="AR52" i="66"/>
  <c r="AV52" i="66"/>
  <c r="BA53" i="66"/>
  <c r="AS53" i="66"/>
  <c r="AY53" i="66"/>
  <c r="AU53" i="66"/>
  <c r="BA54" i="66"/>
  <c r="AR54" i="66"/>
  <c r="AV54" i="66"/>
  <c r="AY54" i="66"/>
  <c r="AW54" i="66"/>
  <c r="AT54" i="66"/>
  <c r="AP55" i="66"/>
  <c r="BA55" i="66"/>
  <c r="AU55" i="66"/>
  <c r="AY55" i="66"/>
  <c r="AS55" i="66"/>
  <c r="AL55" i="66"/>
  <c r="BA56" i="66"/>
  <c r="BA57" i="66"/>
  <c r="BA58" i="66"/>
  <c r="Z77" i="66"/>
  <c r="AR63" i="66"/>
  <c r="AT61" i="66"/>
  <c r="AV59" i="66"/>
  <c r="AS58" i="66"/>
  <c r="AU56" i="66"/>
  <c r="AR55" i="66"/>
  <c r="AT53" i="66"/>
  <c r="AV51" i="66"/>
  <c r="AS50" i="66"/>
  <c r="AU48" i="66"/>
  <c r="AR47" i="66"/>
  <c r="AT45" i="66"/>
  <c r="AV43" i="66"/>
  <c r="AS42" i="66"/>
  <c r="AW61" i="66"/>
  <c r="AW53" i="66"/>
  <c r="AW45" i="66"/>
  <c r="AX63" i="66"/>
  <c r="AX59" i="66"/>
  <c r="AX57" i="66"/>
  <c r="AX55" i="66"/>
  <c r="AX53" i="66"/>
  <c r="AX51" i="66"/>
  <c r="AX49" i="66"/>
  <c r="AX47" i="66"/>
  <c r="AX45" i="66"/>
  <c r="AX43" i="66"/>
  <c r="AX41" i="66"/>
  <c r="AM60" i="66"/>
  <c r="BA60" i="66"/>
  <c r="AW60" i="66"/>
  <c r="AT60" i="66"/>
  <c r="AY60" i="66"/>
  <c r="AR60" i="66"/>
  <c r="AV60" i="66"/>
  <c r="AN61" i="66"/>
  <c r="BA61" i="66"/>
  <c r="AS61" i="66"/>
  <c r="AY61" i="66"/>
  <c r="AU61" i="66"/>
  <c r="AR62" i="66"/>
  <c r="AR61" i="66"/>
  <c r="AZ62" i="66"/>
  <c r="AZ60" i="66"/>
  <c r="Z89" i="66"/>
  <c r="AX64" i="66"/>
  <c r="AW64" i="66"/>
  <c r="AU64" i="66"/>
  <c r="AY64" i="66"/>
  <c r="AZ64" i="66"/>
  <c r="AS64" i="66"/>
  <c r="AR64" i="66"/>
  <c r="BA64" i="66"/>
  <c r="E132" i="66"/>
  <c r="AS62" i="66" s="1"/>
  <c r="AV63" i="66"/>
  <c r="AU60" i="66"/>
  <c r="AR59" i="66"/>
  <c r="AT57" i="66"/>
  <c r="AV55" i="66"/>
  <c r="AS54" i="66"/>
  <c r="AU52" i="66"/>
  <c r="AR51" i="66"/>
  <c r="AT49" i="66"/>
  <c r="AV47" i="66"/>
  <c r="AS46" i="66"/>
  <c r="AU44" i="66"/>
  <c r="AR43" i="66"/>
  <c r="AW57" i="66"/>
  <c r="AW49" i="66"/>
  <c r="AW41" i="66"/>
  <c r="AX62" i="66"/>
  <c r="AX60" i="66"/>
  <c r="AX58" i="66"/>
  <c r="AX56" i="66"/>
  <c r="AX54" i="66"/>
  <c r="AX52" i="66"/>
  <c r="AX50" i="66"/>
  <c r="AX48" i="66"/>
  <c r="AX46" i="66"/>
  <c r="AX44" i="66"/>
  <c r="AM52" i="66"/>
  <c r="AM55" i="66"/>
  <c r="AN60" i="66"/>
  <c r="AL59" i="66"/>
  <c r="F132" i="66"/>
  <c r="AT62" i="66" s="1"/>
  <c r="AR40" i="66"/>
  <c r="AS40" i="66"/>
  <c r="AS59" i="66"/>
  <c r="AT58" i="66"/>
  <c r="AU57" i="66"/>
  <c r="AV56" i="66"/>
  <c r="AR56" i="66"/>
  <c r="AS51" i="66"/>
  <c r="AT50" i="66"/>
  <c r="AU49" i="66"/>
  <c r="AV48" i="66"/>
  <c r="AR48" i="66"/>
  <c r="AS47" i="66"/>
  <c r="AT46" i="66"/>
  <c r="AU45" i="66"/>
  <c r="AV44" i="66"/>
  <c r="AR44" i="66"/>
  <c r="AS43" i="66"/>
  <c r="AT42" i="66"/>
  <c r="AU41" i="66"/>
  <c r="AW58" i="66"/>
  <c r="AW50" i="66"/>
  <c r="AW46" i="66"/>
  <c r="AW42" i="66"/>
  <c r="AY59" i="66"/>
  <c r="AY58" i="66"/>
  <c r="AY57" i="66"/>
  <c r="AY56" i="66"/>
  <c r="AY51" i="66"/>
  <c r="AY50" i="66"/>
  <c r="AY49" i="66"/>
  <c r="AY48" i="66"/>
  <c r="AY45" i="66"/>
  <c r="AY44" i="66"/>
  <c r="AY43" i="66"/>
  <c r="AY42" i="66"/>
  <c r="AY41" i="66"/>
  <c r="AY40" i="66"/>
  <c r="T11" i="66"/>
  <c r="Z78" i="66" s="1"/>
  <c r="T15" i="66"/>
  <c r="Z82" i="66" s="1"/>
  <c r="AO54" i="66"/>
  <c r="AL60" i="66"/>
  <c r="AP60" i="66"/>
  <c r="AL63" i="66"/>
  <c r="AP46" i="66"/>
  <c r="AP47" i="66"/>
  <c r="AU40" i="66"/>
  <c r="AU59" i="66"/>
  <c r="AV58" i="66"/>
  <c r="AR58" i="66"/>
  <c r="AS57" i="66"/>
  <c r="AT56" i="66"/>
  <c r="AU51" i="66"/>
  <c r="AV50" i="66"/>
  <c r="AR50" i="66"/>
  <c r="AS49" i="66"/>
  <c r="AT48" i="66"/>
  <c r="AU47" i="66"/>
  <c r="AV46" i="66"/>
  <c r="AR46" i="66"/>
  <c r="AS45" i="66"/>
  <c r="AT44" i="66"/>
  <c r="AU43" i="66"/>
  <c r="AV42" i="66"/>
  <c r="AR42" i="66"/>
  <c r="AS41" i="66"/>
  <c r="AW40" i="66"/>
  <c r="AW56" i="66"/>
  <c r="AW48" i="66"/>
  <c r="AW44" i="66"/>
  <c r="BA59" i="66"/>
  <c r="BA47" i="66"/>
  <c r="BA46" i="66"/>
  <c r="AQ44" i="66"/>
  <c r="AQ60" i="66"/>
  <c r="AN40" i="66"/>
  <c r="AO42" i="66"/>
  <c r="S12" i="66"/>
  <c r="T12" i="66" s="1"/>
  <c r="Z79" i="66" s="1"/>
  <c r="T13" i="66"/>
  <c r="S14" i="66"/>
  <c r="T14" i="66" s="1"/>
  <c r="AL56" i="66"/>
  <c r="AP56" i="66"/>
  <c r="AP63" i="66"/>
  <c r="AL40" i="66"/>
  <c r="AP40" i="66"/>
  <c r="AM47" i="66"/>
  <c r="AN53" i="66"/>
  <c r="AN56" i="66"/>
  <c r="AN57" i="66"/>
  <c r="AQ59" i="66"/>
  <c r="T30" i="66"/>
  <c r="AM63" i="66"/>
  <c r="AL64" i="66"/>
  <c r="AA31" i="66"/>
  <c r="L31" i="66" s="1"/>
  <c r="AM62" i="66" s="1"/>
  <c r="Z80" i="66"/>
  <c r="Y80" i="66"/>
  <c r="T18" i="66"/>
  <c r="T22" i="66"/>
  <c r="T26" i="66"/>
  <c r="Z93" i="66" s="1"/>
  <c r="Z31" i="66"/>
  <c r="K31" i="66" s="1"/>
  <c r="AL62" i="66" s="1"/>
  <c r="D167" i="66"/>
  <c r="AW62" i="66" s="1"/>
  <c r="Z84" i="66"/>
  <c r="Y84" i="66"/>
  <c r="AO64" i="66"/>
  <c r="AN64" i="66"/>
  <c r="AM64" i="66"/>
  <c r="Z4" i="66"/>
  <c r="Y97" i="66"/>
  <c r="Y93" i="66"/>
  <c r="Y89" i="66"/>
  <c r="Y85" i="66"/>
  <c r="Y81" i="66"/>
  <c r="Y77" i="66"/>
  <c r="AQ64" i="66"/>
  <c r="X4" i="66"/>
  <c r="Z98" i="66"/>
  <c r="Z90" i="66"/>
  <c r="Z86" i="66"/>
  <c r="AP64" i="66"/>
  <c r="AP45" i="66"/>
  <c r="AL45" i="66"/>
  <c r="AM45" i="66"/>
  <c r="AO45" i="66"/>
  <c r="AQ46" i="66"/>
  <c r="AM46" i="66"/>
  <c r="AL46" i="66"/>
  <c r="AO46" i="66"/>
  <c r="AN47" i="66"/>
  <c r="AQ47" i="66"/>
  <c r="AL47" i="66"/>
  <c r="AO47" i="66"/>
  <c r="AQ56" i="66"/>
  <c r="AN58" i="66"/>
  <c r="AQ58" i="66"/>
  <c r="AM58" i="66"/>
  <c r="AL58" i="66"/>
  <c r="AP58" i="66"/>
  <c r="AO61" i="66"/>
  <c r="Z81" i="66"/>
  <c r="Z88" i="66"/>
  <c r="Y88" i="66"/>
  <c r="Z97" i="66"/>
  <c r="AO53" i="66"/>
  <c r="Y96" i="66"/>
  <c r="T10" i="66"/>
  <c r="T16" i="66"/>
  <c r="T28" i="66"/>
  <c r="H167" i="66"/>
  <c r="AQ40" i="66"/>
  <c r="S9" i="66"/>
  <c r="T9" i="66" s="1"/>
  <c r="AQ48" i="66"/>
  <c r="S17" i="66"/>
  <c r="T17" i="66" s="1"/>
  <c r="F167" i="66"/>
  <c r="AY62" i="66" s="1"/>
  <c r="AB31" i="66"/>
  <c r="M31" i="66" s="1"/>
  <c r="AN62" i="66" s="1"/>
  <c r="AQ52" i="66"/>
  <c r="AN54" i="66"/>
  <c r="AQ54" i="66"/>
  <c r="AM54" i="66"/>
  <c r="AP54" i="66"/>
  <c r="AL54" i="66"/>
  <c r="AA63" i="66"/>
  <c r="Z76" i="66"/>
  <c r="Y76" i="66"/>
  <c r="Z85" i="66"/>
  <c r="Z92" i="66"/>
  <c r="Y92" i="66"/>
  <c r="T29" i="66"/>
  <c r="Z96" i="66" s="1"/>
  <c r="AC31" i="66"/>
  <c r="N31" i="66" s="1"/>
  <c r="AO62" i="66" s="1"/>
  <c r="AP41" i="66"/>
  <c r="AL41" i="66"/>
  <c r="AQ41" i="66"/>
  <c r="AQ42" i="66"/>
  <c r="AM42" i="66"/>
  <c r="AP42" i="66"/>
  <c r="AN43" i="66"/>
  <c r="AP43" i="66"/>
  <c r="AN49" i="66"/>
  <c r="AN50" i="66"/>
  <c r="AQ57" i="66"/>
  <c r="AM57" i="66"/>
  <c r="AP57" i="66"/>
  <c r="AL57" i="66"/>
  <c r="Y79" i="66"/>
  <c r="Z83" i="66"/>
  <c r="Y83" i="66"/>
  <c r="Z87" i="66"/>
  <c r="Y87" i="66"/>
  <c r="Z91" i="66"/>
  <c r="Y91" i="66"/>
  <c r="Z95" i="66"/>
  <c r="Y95" i="66"/>
  <c r="Z99" i="66"/>
  <c r="Y99" i="66"/>
  <c r="AP49" i="66"/>
  <c r="AL49" i="66"/>
  <c r="AQ49" i="66"/>
  <c r="AQ50" i="66"/>
  <c r="AM50" i="66"/>
  <c r="AP50" i="66"/>
  <c r="AQ53" i="66"/>
  <c r="AM53" i="66"/>
  <c r="AP53" i="66"/>
  <c r="AL53" i="66"/>
  <c r="AQ61" i="66"/>
  <c r="AM61" i="66"/>
  <c r="AP61" i="66"/>
  <c r="AL61" i="66"/>
  <c r="Y78" i="66"/>
  <c r="Y82" i="66"/>
  <c r="Y86" i="66"/>
  <c r="Y90" i="66"/>
  <c r="Y94" i="66"/>
  <c r="Y98" i="66"/>
  <c r="AO40" i="66"/>
  <c r="AO44" i="66"/>
  <c r="AO48" i="66"/>
  <c r="AN51" i="66"/>
  <c r="AO52" i="66"/>
  <c r="AN55" i="66"/>
  <c r="AO56" i="66"/>
  <c r="AN59" i="66"/>
  <c r="AO60" i="66"/>
  <c r="AN63" i="66"/>
  <c r="AO51" i="66"/>
  <c r="AO55" i="66"/>
  <c r="AO59" i="66"/>
  <c r="AO63" i="66"/>
  <c r="BK43" i="67" l="1"/>
  <c r="X43" i="76"/>
  <c r="AA43" i="76"/>
  <c r="E43" i="76"/>
  <c r="P43" i="76"/>
  <c r="H43" i="76"/>
  <c r="Q43" i="76"/>
  <c r="V43" i="76"/>
  <c r="R43" i="76"/>
  <c r="K43" i="76"/>
  <c r="M43" i="76"/>
  <c r="J43" i="76"/>
  <c r="F43" i="76"/>
  <c r="Z43" i="76"/>
  <c r="N43" i="76"/>
  <c r="T43" i="76"/>
  <c r="D43" i="76"/>
  <c r="L43" i="76"/>
  <c r="G43" i="76"/>
  <c r="O43" i="76"/>
  <c r="W43" i="76"/>
  <c r="U43" i="76"/>
  <c r="S43" i="76"/>
  <c r="Y43" i="76"/>
  <c r="I43" i="76"/>
  <c r="BA62" i="66"/>
  <c r="Z41" i="76"/>
  <c r="AH21" i="67"/>
  <c r="P21" i="67" s="1"/>
  <c r="AH26" i="67"/>
  <c r="P29" i="67" s="1"/>
  <c r="AH27" i="67"/>
  <c r="P30" i="67" s="1"/>
  <c r="AH21" i="66"/>
  <c r="P21" i="66" s="1"/>
  <c r="AH26" i="66"/>
  <c r="P29" i="66" s="1"/>
  <c r="AH27" i="66"/>
  <c r="P30" i="66" s="1"/>
  <c r="AH14" i="66"/>
  <c r="P14" i="66" s="1"/>
  <c r="AH13" i="66"/>
  <c r="P13" i="66" s="1"/>
  <c r="AH12" i="66"/>
  <c r="P12" i="66" s="1"/>
  <c r="AH23" i="66"/>
  <c r="P24" i="66" s="1"/>
  <c r="AH22" i="66"/>
  <c r="P23" i="66" s="1"/>
  <c r="AH17" i="66"/>
  <c r="P17" i="66" s="1"/>
  <c r="AH20" i="66"/>
  <c r="P20" i="66" s="1"/>
  <c r="AH25" i="66"/>
  <c r="P28" i="66" s="1"/>
  <c r="AH18" i="66"/>
  <c r="P18" i="66" s="1"/>
  <c r="AH19" i="66"/>
  <c r="P19" i="66" s="1"/>
  <c r="AH24" i="66"/>
  <c r="P27" i="66" s="1"/>
  <c r="AH11" i="66"/>
  <c r="P11" i="66" s="1"/>
  <c r="AH10" i="66"/>
  <c r="P10" i="66" s="1"/>
  <c r="AH9" i="66"/>
  <c r="P9" i="66" s="1"/>
  <c r="AH16" i="66"/>
  <c r="P16" i="66" s="1"/>
  <c r="AH15" i="66"/>
  <c r="P15" i="66" s="1"/>
  <c r="AH9" i="67"/>
  <c r="P9" i="67" s="1"/>
  <c r="AH13" i="67"/>
  <c r="P13" i="67" s="1"/>
  <c r="AH22" i="67"/>
  <c r="P23" i="67" s="1"/>
  <c r="AH18" i="67"/>
  <c r="P18" i="67" s="1"/>
  <c r="AH17" i="67"/>
  <c r="P17" i="67" s="1"/>
  <c r="AH23" i="67"/>
  <c r="P24" i="67" s="1"/>
  <c r="AH15" i="67"/>
  <c r="P15" i="67" s="1"/>
  <c r="AH11" i="67"/>
  <c r="P11" i="67" s="1"/>
  <c r="AH12" i="67"/>
  <c r="P12" i="67" s="1"/>
  <c r="AH25" i="67"/>
  <c r="P28" i="67" s="1"/>
  <c r="AH16" i="67"/>
  <c r="P16" i="67" s="1"/>
  <c r="AH14" i="67"/>
  <c r="P14" i="67" s="1"/>
  <c r="AH19" i="67"/>
  <c r="P19" i="67" s="1"/>
  <c r="AH20" i="67"/>
  <c r="P20" i="67" s="1"/>
  <c r="AH24" i="67"/>
  <c r="P27" i="67" s="1"/>
  <c r="AH10" i="67"/>
  <c r="P10" i="67" s="1"/>
  <c r="X185" i="67"/>
  <c r="AD185" i="67" s="1"/>
  <c r="A185" i="67"/>
  <c r="X190" i="67"/>
  <c r="AD190" i="67" s="1"/>
  <c r="A190" i="67"/>
  <c r="X201" i="67"/>
  <c r="AD201" i="67" s="1"/>
  <c r="A201" i="67"/>
  <c r="X180" i="67"/>
  <c r="AD180" i="67" s="1"/>
  <c r="A180" i="67"/>
  <c r="BL64" i="67"/>
  <c r="X188" i="67"/>
  <c r="AD188" i="67" s="1"/>
  <c r="A188" i="67"/>
  <c r="X196" i="67"/>
  <c r="AD196" i="67" s="1"/>
  <c r="A196" i="67"/>
  <c r="X192" i="67"/>
  <c r="AD192" i="67" s="1"/>
  <c r="A192" i="67"/>
  <c r="X187" i="67"/>
  <c r="AD187" i="67" s="1"/>
  <c r="A187" i="67"/>
  <c r="X183" i="67"/>
  <c r="AD183" i="67" s="1"/>
  <c r="A183" i="67"/>
  <c r="X184" i="67"/>
  <c r="AD184" i="67" s="1"/>
  <c r="A184" i="67"/>
  <c r="X191" i="67"/>
  <c r="AD191" i="67" s="1"/>
  <c r="A191" i="67"/>
  <c r="X195" i="67"/>
  <c r="AD195" i="67" s="1"/>
  <c r="A195" i="67"/>
  <c r="X197" i="67"/>
  <c r="AD197" i="67" s="1"/>
  <c r="A197" i="67"/>
  <c r="X193" i="67"/>
  <c r="AD193" i="67" s="1"/>
  <c r="A193" i="67"/>
  <c r="X181" i="67"/>
  <c r="AD181" i="67" s="1"/>
  <c r="A181" i="67"/>
  <c r="X198" i="67"/>
  <c r="AD198" i="67" s="1"/>
  <c r="A198" i="67"/>
  <c r="X194" i="67"/>
  <c r="AD194" i="67" s="1"/>
  <c r="A194" i="67"/>
  <c r="BL40" i="67"/>
  <c r="X200" i="67"/>
  <c r="AD200" i="67" s="1"/>
  <c r="A200" i="67"/>
  <c r="X186" i="67"/>
  <c r="AD186" i="67" s="1"/>
  <c r="A186" i="67"/>
  <c r="X182" i="67"/>
  <c r="AD182" i="67" s="1"/>
  <c r="A182" i="67"/>
  <c r="X199" i="67"/>
  <c r="AD199" i="67" s="1"/>
  <c r="A199" i="67"/>
  <c r="X189" i="67"/>
  <c r="AD189" i="67" s="1"/>
  <c r="A189" i="67"/>
  <c r="BJ57" i="67"/>
  <c r="BL43" i="67"/>
  <c r="BL54" i="67"/>
  <c r="BH64" i="67"/>
  <c r="BK64" i="67"/>
  <c r="BK61" i="67"/>
  <c r="BK51" i="67"/>
  <c r="BK40" i="67"/>
  <c r="BJ51" i="67"/>
  <c r="BL60" i="67"/>
  <c r="BH48" i="67"/>
  <c r="BJ53" i="67"/>
  <c r="BJ60" i="67"/>
  <c r="BK47" i="67"/>
  <c r="BI52" i="67"/>
  <c r="BH60" i="67"/>
  <c r="BH47" i="67"/>
  <c r="BJ49" i="67"/>
  <c r="BJ56" i="67"/>
  <c r="BI42" i="67"/>
  <c r="BI46" i="67"/>
  <c r="BI47" i="67"/>
  <c r="BK49" i="67"/>
  <c r="BH55" i="67"/>
  <c r="BH62" i="67"/>
  <c r="BI49" i="67"/>
  <c r="BH41" i="67"/>
  <c r="BK60" i="67"/>
  <c r="BH56" i="67"/>
  <c r="BI45" i="67"/>
  <c r="BL53" i="67"/>
  <c r="BI64" i="67"/>
  <c r="BJ64" i="67"/>
  <c r="BJ58" i="67"/>
  <c r="BI61" i="67"/>
  <c r="BJ48" i="67"/>
  <c r="BJ55" i="67"/>
  <c r="BK57" i="67"/>
  <c r="BH63" i="67"/>
  <c r="BI50" i="67"/>
  <c r="BI57" i="67"/>
  <c r="BI43" i="67"/>
  <c r="BH40" i="67"/>
  <c r="BL44" i="67"/>
  <c r="BJ63" i="67"/>
  <c r="BL56" i="67"/>
  <c r="BH59" i="67"/>
  <c r="BK45" i="67"/>
  <c r="BI53" i="67"/>
  <c r="BH45" i="67"/>
  <c r="BI56" i="67"/>
  <c r="BL61" i="67"/>
  <c r="BJ62" i="67"/>
  <c r="BH46" i="67"/>
  <c r="BL51" i="67"/>
  <c r="BL58" i="67"/>
  <c r="BJ45" i="67"/>
  <c r="BH43" i="67"/>
  <c r="BI62" i="67"/>
  <c r="BJ59" i="67"/>
  <c r="BI55" i="67"/>
  <c r="BJ44" i="67"/>
  <c r="BH52" i="67"/>
  <c r="BH57" i="67"/>
  <c r="BL48" i="67"/>
  <c r="BH58" i="67"/>
  <c r="BJ43" i="67"/>
  <c r="BJ42" i="67"/>
  <c r="BL42" i="67"/>
  <c r="BJ54" i="67"/>
  <c r="BL59" i="67"/>
  <c r="BL46" i="67"/>
  <c r="BH54" i="67"/>
  <c r="BL45" i="67"/>
  <c r="BJ40" i="67"/>
  <c r="BH53" i="67"/>
  <c r="BK50" i="67"/>
  <c r="BK53" i="67"/>
  <c r="BL55" i="67"/>
  <c r="BL62" i="67"/>
  <c r="BH50" i="67"/>
  <c r="BL41" i="67"/>
  <c r="BL49" i="67"/>
  <c r="BH49" i="67"/>
  <c r="BI59" i="67"/>
  <c r="BJ61" i="67"/>
  <c r="BK48" i="67"/>
  <c r="BK55" i="67"/>
  <c r="BJ47" i="67"/>
  <c r="BI41" i="67"/>
  <c r="BH61" i="67"/>
  <c r="BK58" i="67"/>
  <c r="BL47" i="67"/>
  <c r="BL63" i="67"/>
  <c r="BH51" i="67"/>
  <c r="BJ41" i="67"/>
  <c r="BH42" i="67"/>
  <c r="BI51" i="67"/>
  <c r="BK56" i="67"/>
  <c r="BK63" i="67"/>
  <c r="BL50" i="67"/>
  <c r="BK42" i="67"/>
  <c r="BK62" i="67"/>
  <c r="BH44" i="67"/>
  <c r="BI63" i="67"/>
  <c r="BJ50" i="67"/>
  <c r="BK52" i="67"/>
  <c r="BK59" i="67"/>
  <c r="BJ46" i="67"/>
  <c r="BK54" i="67"/>
  <c r="BI60" i="67"/>
  <c r="BL52" i="67"/>
  <c r="BI58" i="67"/>
  <c r="BK44" i="67"/>
  <c r="BJ52" i="67"/>
  <c r="BI44" i="67"/>
  <c r="BK41" i="67"/>
  <c r="BI40" i="67"/>
  <c r="BL57" i="67"/>
  <c r="BK46" i="67"/>
  <c r="BI54" i="67"/>
  <c r="BI48" i="67"/>
  <c r="Y70" i="67"/>
  <c r="AP62" i="66"/>
  <c r="X70" i="67"/>
  <c r="AB70" i="67"/>
  <c r="X40" i="67"/>
  <c r="Z40" i="67" s="1"/>
  <c r="AA70" i="67"/>
  <c r="AP62" i="67"/>
  <c r="AK64" i="67"/>
  <c r="M64" i="67"/>
  <c r="AB70" i="66"/>
  <c r="X70" i="66"/>
  <c r="AA70" i="66"/>
  <c r="Z70" i="66"/>
  <c r="X40" i="66"/>
  <c r="Y70" i="66"/>
  <c r="AK64" i="66"/>
  <c r="M64" i="66"/>
  <c r="BG36" i="67" l="1"/>
  <c r="BG64" i="67"/>
  <c r="Y40" i="67"/>
  <c r="Z40" i="66"/>
  <c r="Y40" i="66"/>
  <c r="X99" i="65" l="1"/>
  <c r="X98" i="65"/>
  <c r="X97" i="65"/>
  <c r="X96" i="65"/>
  <c r="X95" i="65"/>
  <c r="X94" i="65"/>
  <c r="X93" i="65"/>
  <c r="X92" i="65"/>
  <c r="X91" i="65"/>
  <c r="X90" i="65"/>
  <c r="X89" i="65"/>
  <c r="X88" i="65"/>
  <c r="X87" i="65"/>
  <c r="X86" i="65"/>
  <c r="X85" i="65"/>
  <c r="X84" i="65"/>
  <c r="X83" i="65"/>
  <c r="X82" i="65"/>
  <c r="X81" i="65"/>
  <c r="X80" i="65"/>
  <c r="X79" i="65"/>
  <c r="X78" i="65"/>
  <c r="X77" i="65"/>
  <c r="X76" i="65"/>
  <c r="AB69" i="65"/>
  <c r="AA69" i="65"/>
  <c r="Z69" i="65"/>
  <c r="Y69" i="65"/>
  <c r="X69" i="65"/>
  <c r="AB68" i="65"/>
  <c r="X68" i="65"/>
  <c r="AB67" i="65"/>
  <c r="AB66" i="65"/>
  <c r="X66" i="65"/>
  <c r="AB65" i="65"/>
  <c r="AB64" i="65"/>
  <c r="AA64" i="65"/>
  <c r="Y64" i="65"/>
  <c r="AK63" i="65"/>
  <c r="AP63" i="65" s="1"/>
  <c r="Y63" i="65"/>
  <c r="AK62" i="65"/>
  <c r="AA62" i="65"/>
  <c r="Y62" i="65"/>
  <c r="AK61" i="65"/>
  <c r="AA61" i="65"/>
  <c r="Y61" i="65"/>
  <c r="AK60" i="65"/>
  <c r="AA60" i="65"/>
  <c r="Y60" i="65"/>
  <c r="AK59" i="65"/>
  <c r="AA59" i="65"/>
  <c r="Y59" i="65"/>
  <c r="AK58" i="65"/>
  <c r="AA58" i="65"/>
  <c r="Y58" i="65"/>
  <c r="AK57" i="65"/>
  <c r="AA57" i="65"/>
  <c r="Y57" i="65"/>
  <c r="AK56" i="65"/>
  <c r="AA56" i="65"/>
  <c r="Y56" i="65"/>
  <c r="AK55" i="65"/>
  <c r="AA55" i="65"/>
  <c r="Y55" i="65"/>
  <c r="AK54" i="65"/>
  <c r="AA54" i="65"/>
  <c r="Y54" i="65"/>
  <c r="AK53" i="65"/>
  <c r="AA53" i="65"/>
  <c r="Y53" i="65"/>
  <c r="AK52" i="65"/>
  <c r="AA52" i="65"/>
  <c r="Y52" i="65"/>
  <c r="AK51" i="65"/>
  <c r="AA51" i="65"/>
  <c r="Y51" i="65"/>
  <c r="AK50" i="65"/>
  <c r="AA50" i="65"/>
  <c r="Y50" i="65"/>
  <c r="AK49" i="65"/>
  <c r="AA49" i="65"/>
  <c r="Y49" i="65"/>
  <c r="AK48" i="65"/>
  <c r="AA48" i="65"/>
  <c r="Y48" i="65"/>
  <c r="AK47" i="65"/>
  <c r="AA47" i="65"/>
  <c r="Y47" i="65"/>
  <c r="AK46" i="65"/>
  <c r="AA46" i="65"/>
  <c r="Y46" i="65"/>
  <c r="AK45" i="65"/>
  <c r="AA45" i="65"/>
  <c r="Y45" i="65"/>
  <c r="AK44" i="65"/>
  <c r="AA44" i="65"/>
  <c r="Y44" i="65"/>
  <c r="AK43" i="65"/>
  <c r="AA43" i="65"/>
  <c r="Y43" i="65"/>
  <c r="AK42" i="65"/>
  <c r="AA42" i="65"/>
  <c r="Y42" i="65"/>
  <c r="AK41" i="65"/>
  <c r="AA41" i="65"/>
  <c r="Y41" i="65"/>
  <c r="AK40" i="65"/>
  <c r="AP39" i="65"/>
  <c r="AO39" i="65"/>
  <c r="AN39" i="65"/>
  <c r="AM39" i="65"/>
  <c r="AL39" i="65"/>
  <c r="AC32" i="65"/>
  <c r="AB32" i="65"/>
  <c r="AA32" i="65"/>
  <c r="Z32" i="65"/>
  <c r="X32" i="65"/>
  <c r="X31" i="65"/>
  <c r="AD30" i="65"/>
  <c r="AC30" i="65"/>
  <c r="AB30" i="65"/>
  <c r="AA30" i="65"/>
  <c r="Z30" i="65"/>
  <c r="X30" i="65"/>
  <c r="R30" i="65"/>
  <c r="S30" i="65" s="1"/>
  <c r="AN61" i="65"/>
  <c r="AD29" i="65"/>
  <c r="AC29" i="65"/>
  <c r="AB29" i="65"/>
  <c r="AA29" i="65"/>
  <c r="Z29" i="65"/>
  <c r="X29" i="65"/>
  <c r="R29" i="65"/>
  <c r="AD28" i="65"/>
  <c r="AC28" i="65"/>
  <c r="AB28" i="65"/>
  <c r="AA28" i="65"/>
  <c r="Z28" i="65"/>
  <c r="X28" i="65"/>
  <c r="R28" i="65"/>
  <c r="S28" i="65" s="1"/>
  <c r="AP59" i="65"/>
  <c r="AN59" i="65"/>
  <c r="AL59" i="65"/>
  <c r="AD27" i="65"/>
  <c r="AC27" i="65"/>
  <c r="AB27" i="65"/>
  <c r="AA27" i="65"/>
  <c r="Z27" i="65"/>
  <c r="X27" i="65"/>
  <c r="R27" i="65"/>
  <c r="S27" i="65" s="1"/>
  <c r="AD26" i="65"/>
  <c r="AC26" i="65"/>
  <c r="AB26" i="65"/>
  <c r="AA26" i="65"/>
  <c r="Z26" i="65"/>
  <c r="X26" i="65"/>
  <c r="R26" i="65"/>
  <c r="S26" i="65" s="1"/>
  <c r="AD25" i="65"/>
  <c r="AC25" i="65"/>
  <c r="AB25" i="65"/>
  <c r="AA25" i="65"/>
  <c r="Z25" i="65"/>
  <c r="X25" i="65"/>
  <c r="R25" i="65"/>
  <c r="AD24" i="65"/>
  <c r="AC24" i="65"/>
  <c r="AB24" i="65"/>
  <c r="AA24" i="65"/>
  <c r="Z24" i="65"/>
  <c r="X24" i="65"/>
  <c r="R24" i="65"/>
  <c r="S24" i="65" s="1"/>
  <c r="AN55" i="65"/>
  <c r="AD23" i="65"/>
  <c r="AC23" i="65"/>
  <c r="AB23" i="65"/>
  <c r="AA23" i="65"/>
  <c r="Z23" i="65"/>
  <c r="X23" i="65"/>
  <c r="R23" i="65"/>
  <c r="S23" i="65" s="1"/>
  <c r="AD22" i="65"/>
  <c r="AC22" i="65"/>
  <c r="AB22" i="65"/>
  <c r="AA22" i="65"/>
  <c r="Z22" i="65"/>
  <c r="X22" i="65"/>
  <c r="R22" i="65"/>
  <c r="S22" i="65" s="1"/>
  <c r="AP53" i="65"/>
  <c r="AN53" i="65"/>
  <c r="AL53" i="65"/>
  <c r="AD21" i="65"/>
  <c r="AC21" i="65"/>
  <c r="AB21" i="65"/>
  <c r="AA21" i="65"/>
  <c r="Z21" i="65"/>
  <c r="X21" i="65"/>
  <c r="R21" i="65"/>
  <c r="AQ52" i="65" s="1"/>
  <c r="AM52" i="65"/>
  <c r="AD20" i="65"/>
  <c r="AC20" i="65"/>
  <c r="AB20" i="65"/>
  <c r="AA20" i="65"/>
  <c r="Z20" i="65"/>
  <c r="X20" i="65"/>
  <c r="R20" i="65"/>
  <c r="S20" i="65" s="1"/>
  <c r="AP51" i="65"/>
  <c r="AL51" i="65"/>
  <c r="AD19" i="65"/>
  <c r="AC19" i="65"/>
  <c r="AB19" i="65"/>
  <c r="AA19" i="65"/>
  <c r="Z19" i="65"/>
  <c r="X19" i="65"/>
  <c r="R19" i="65"/>
  <c r="S19" i="65" s="1"/>
  <c r="AD18" i="65"/>
  <c r="AC18" i="65"/>
  <c r="AB18" i="65"/>
  <c r="AA18" i="65"/>
  <c r="Z18" i="65"/>
  <c r="X18" i="65"/>
  <c r="R18" i="65"/>
  <c r="S18" i="65" s="1"/>
  <c r="AN49" i="65"/>
  <c r="AD17" i="65"/>
  <c r="AC17" i="65"/>
  <c r="AB17" i="65"/>
  <c r="AA17" i="65"/>
  <c r="Z17" i="65"/>
  <c r="X17" i="65"/>
  <c r="R17" i="65"/>
  <c r="S17" i="65" s="1"/>
  <c r="AM48" i="65"/>
  <c r="AD16" i="65"/>
  <c r="AC16" i="65"/>
  <c r="AB16" i="65"/>
  <c r="AA16" i="65"/>
  <c r="Z16" i="65"/>
  <c r="X16" i="65"/>
  <c r="R16" i="65"/>
  <c r="S16" i="65" s="1"/>
  <c r="AP47" i="65"/>
  <c r="AN47" i="65"/>
  <c r="AL47" i="65"/>
  <c r="AD15" i="65"/>
  <c r="AC15" i="65"/>
  <c r="AB15" i="65"/>
  <c r="AA15" i="65"/>
  <c r="Z15" i="65"/>
  <c r="X15" i="65"/>
  <c r="R15" i="65"/>
  <c r="S15" i="65" s="1"/>
  <c r="AD14" i="65"/>
  <c r="AC14" i="65"/>
  <c r="AB14" i="65"/>
  <c r="AA14" i="65"/>
  <c r="Z14" i="65"/>
  <c r="X14" i="65"/>
  <c r="R14" i="65"/>
  <c r="S14" i="65" s="1"/>
  <c r="AP45" i="65"/>
  <c r="AL45" i="65"/>
  <c r="AD13" i="65"/>
  <c r="AC13" i="65"/>
  <c r="AB13" i="65"/>
  <c r="AA13" i="65"/>
  <c r="Z13" i="65"/>
  <c r="X13" i="65"/>
  <c r="R13" i="65"/>
  <c r="S13" i="65" s="1"/>
  <c r="AM44" i="65"/>
  <c r="AD12" i="65"/>
  <c r="AC12" i="65"/>
  <c r="AB12" i="65"/>
  <c r="AA12" i="65"/>
  <c r="Z12" i="65"/>
  <c r="X12" i="65"/>
  <c r="R12" i="65"/>
  <c r="S12" i="65" s="1"/>
  <c r="AN43" i="65"/>
  <c r="AD11" i="65"/>
  <c r="AC11" i="65"/>
  <c r="AB11" i="65"/>
  <c r="AA11" i="65"/>
  <c r="Z11" i="65"/>
  <c r="X11" i="65"/>
  <c r="R11" i="65"/>
  <c r="S11" i="65" s="1"/>
  <c r="AD10" i="65"/>
  <c r="AC10" i="65"/>
  <c r="AB10" i="65"/>
  <c r="AA10" i="65"/>
  <c r="Z10" i="65"/>
  <c r="X10" i="65"/>
  <c r="R10" i="65"/>
  <c r="S10" i="65" s="1"/>
  <c r="AD9" i="65"/>
  <c r="AC9" i="65"/>
  <c r="AB9" i="65"/>
  <c r="AA9" i="65"/>
  <c r="Z9" i="65"/>
  <c r="X9" i="65"/>
  <c r="R9" i="65"/>
  <c r="S9" i="65" s="1"/>
  <c r="AM40" i="65"/>
  <c r="AD8" i="65"/>
  <c r="AC8" i="65"/>
  <c r="AB8" i="65"/>
  <c r="AA8" i="65"/>
  <c r="Z8" i="65"/>
  <c r="AO54" i="65" l="1"/>
  <c r="AH22" i="65"/>
  <c r="P23" i="65" s="1"/>
  <c r="AL41" i="65"/>
  <c r="AP41" i="65"/>
  <c r="AM56" i="65"/>
  <c r="AN57" i="65"/>
  <c r="AN41" i="65"/>
  <c r="AO48" i="65"/>
  <c r="AO56" i="65"/>
  <c r="AL57" i="65"/>
  <c r="AP57" i="65"/>
  <c r="AO40" i="65"/>
  <c r="AN45" i="65"/>
  <c r="AL49" i="65"/>
  <c r="AP49" i="65"/>
  <c r="AN51" i="65"/>
  <c r="AL55" i="65"/>
  <c r="AP55" i="65"/>
  <c r="AQ56" i="65"/>
  <c r="AM60" i="65"/>
  <c r="AL61" i="65"/>
  <c r="AP61" i="65"/>
  <c r="AD31" i="65"/>
  <c r="AL63" i="65"/>
  <c r="AQ44" i="65"/>
  <c r="AO46" i="65"/>
  <c r="AN63" i="65"/>
  <c r="S21" i="65"/>
  <c r="T21" i="65" s="1"/>
  <c r="S25" i="65"/>
  <c r="T25" i="65" s="1"/>
  <c r="AQ40" i="65"/>
  <c r="AQ58" i="65"/>
  <c r="AQ48" i="65"/>
  <c r="AQ50" i="65"/>
  <c r="X4" i="65"/>
  <c r="AB70" i="65" s="1"/>
  <c r="Y94" i="65"/>
  <c r="Y76" i="65"/>
  <c r="Y84" i="65"/>
  <c r="Y92" i="65"/>
  <c r="Z97" i="65"/>
  <c r="Y78" i="65"/>
  <c r="Y82" i="65"/>
  <c r="Y86" i="65"/>
  <c r="Y90" i="65"/>
  <c r="Y98" i="65"/>
  <c r="Y80" i="65"/>
  <c r="Y88" i="65"/>
  <c r="Y96" i="65"/>
  <c r="Z4" i="65"/>
  <c r="M64" i="65" s="1"/>
  <c r="AP64" i="65"/>
  <c r="Z87" i="65"/>
  <c r="Z91" i="65"/>
  <c r="Z99" i="65"/>
  <c r="H132" i="66"/>
  <c r="T10" i="65"/>
  <c r="T12" i="65"/>
  <c r="Z79" i="65" s="1"/>
  <c r="T14" i="65"/>
  <c r="T16" i="65"/>
  <c r="Z83" i="65" s="1"/>
  <c r="T18" i="65"/>
  <c r="T20" i="65"/>
  <c r="T22" i="65"/>
  <c r="T24" i="65"/>
  <c r="T26" i="65"/>
  <c r="T28" i="65"/>
  <c r="Z95" i="65" s="1"/>
  <c r="AB31" i="65"/>
  <c r="M31" i="65" s="1"/>
  <c r="AN62" i="65" s="1"/>
  <c r="T30" i="65"/>
  <c r="AP43" i="65"/>
  <c r="Z31" i="65"/>
  <c r="K31" i="65" s="1"/>
  <c r="AL62" i="65" s="1"/>
  <c r="S29" i="65"/>
  <c r="T29" i="65" s="1"/>
  <c r="AQ60" i="65"/>
  <c r="AA31" i="65"/>
  <c r="L31" i="65" s="1"/>
  <c r="AM62" i="65" s="1"/>
  <c r="AC31" i="65"/>
  <c r="N31" i="65" s="1"/>
  <c r="AO62" i="65" s="1"/>
  <c r="AN42" i="65"/>
  <c r="AP42" i="65"/>
  <c r="AL42" i="65"/>
  <c r="AM42" i="65"/>
  <c r="AQ42" i="65"/>
  <c r="AO42" i="65"/>
  <c r="T9" i="65"/>
  <c r="T11" i="65"/>
  <c r="AL64" i="65"/>
  <c r="AL43" i="65"/>
  <c r="T13" i="65"/>
  <c r="T15" i="65"/>
  <c r="T17" i="65"/>
  <c r="T19" i="65"/>
  <c r="T23" i="65"/>
  <c r="T27" i="65"/>
  <c r="Z94" i="65" s="1"/>
  <c r="AN46" i="65"/>
  <c r="AP46" i="65"/>
  <c r="AL46" i="65"/>
  <c r="AO50" i="65"/>
  <c r="AN54" i="65"/>
  <c r="AP54" i="65"/>
  <c r="AL54" i="65"/>
  <c r="AO58" i="65"/>
  <c r="AO64" i="65"/>
  <c r="Z93" i="65"/>
  <c r="Z89" i="65"/>
  <c r="Z85" i="65"/>
  <c r="Z81" i="65"/>
  <c r="Z77" i="65"/>
  <c r="AQ64" i="65"/>
  <c r="AM64" i="65"/>
  <c r="AP44" i="65"/>
  <c r="AL44" i="65"/>
  <c r="AN44" i="65"/>
  <c r="AM46" i="65"/>
  <c r="AP52" i="65"/>
  <c r="AL52" i="65"/>
  <c r="AN52" i="65"/>
  <c r="AM54" i="65"/>
  <c r="AP60" i="65"/>
  <c r="AL60" i="65"/>
  <c r="AN60" i="65"/>
  <c r="Y77" i="65"/>
  <c r="Y79" i="65"/>
  <c r="Y81" i="65"/>
  <c r="Y83" i="65"/>
  <c r="Y85" i="65"/>
  <c r="Y87" i="65"/>
  <c r="Y89" i="65"/>
  <c r="Y91" i="65"/>
  <c r="Y93" i="65"/>
  <c r="Y95" i="65"/>
  <c r="Y97" i="65"/>
  <c r="Y99" i="65"/>
  <c r="AN50" i="65"/>
  <c r="AP50" i="65"/>
  <c r="AL50" i="65"/>
  <c r="AN58" i="65"/>
  <c r="AP58" i="65"/>
  <c r="AL58" i="65"/>
  <c r="AP40" i="65"/>
  <c r="AL40" i="65"/>
  <c r="AN40" i="65"/>
  <c r="AO44" i="65"/>
  <c r="AQ46" i="65"/>
  <c r="AP48" i="65"/>
  <c r="AL48" i="65"/>
  <c r="AN48" i="65"/>
  <c r="AM50" i="65"/>
  <c r="AO52" i="65"/>
  <c r="AQ54" i="65"/>
  <c r="AA63" i="65"/>
  <c r="AP56" i="65"/>
  <c r="AL56" i="65"/>
  <c r="AN56" i="65"/>
  <c r="AM58" i="65"/>
  <c r="AO60" i="65"/>
  <c r="AN64" i="65"/>
  <c r="Z76" i="65"/>
  <c r="Z78" i="65"/>
  <c r="Z80" i="65"/>
  <c r="Z82" i="65"/>
  <c r="Z84" i="65"/>
  <c r="Z86" i="65"/>
  <c r="Z88" i="65"/>
  <c r="Z90" i="65"/>
  <c r="Z92" i="65"/>
  <c r="Z96" i="65"/>
  <c r="Z98" i="65"/>
  <c r="AO41" i="65"/>
  <c r="AM43" i="65"/>
  <c r="AQ43" i="65"/>
  <c r="AO45" i="65"/>
  <c r="AM47" i="65"/>
  <c r="AQ47" i="65"/>
  <c r="AO49" i="65"/>
  <c r="AM51" i="65"/>
  <c r="AQ51" i="65"/>
  <c r="AO53" i="65"/>
  <c r="AM55" i="65"/>
  <c r="AQ55" i="65"/>
  <c r="AO57" i="65"/>
  <c r="AM59" i="65"/>
  <c r="AQ59" i="65"/>
  <c r="AO61" i="65"/>
  <c r="AM63" i="65"/>
  <c r="AQ63" i="65"/>
  <c r="AM41" i="65"/>
  <c r="AQ41" i="65"/>
  <c r="AO43" i="65"/>
  <c r="AM45" i="65"/>
  <c r="AQ45" i="65"/>
  <c r="AO47" i="65"/>
  <c r="AM49" i="65"/>
  <c r="AQ49" i="65"/>
  <c r="AO51" i="65"/>
  <c r="AM53" i="65"/>
  <c r="AQ53" i="65"/>
  <c r="AO55" i="65"/>
  <c r="AM57" i="65"/>
  <c r="AQ57" i="65"/>
  <c r="AO59" i="65"/>
  <c r="AM61" i="65"/>
  <c r="AQ61" i="65"/>
  <c r="AO63" i="65"/>
  <c r="AV62" i="66" l="1"/>
  <c r="Z40" i="76"/>
  <c r="O31" i="65"/>
  <c r="AH27" i="65"/>
  <c r="P30" i="65" s="1"/>
  <c r="AH21" i="65"/>
  <c r="P21" i="65" s="1"/>
  <c r="AH26" i="65"/>
  <c r="P29" i="65" s="1"/>
  <c r="AH25" i="65"/>
  <c r="P28" i="65" s="1"/>
  <c r="AH10" i="65"/>
  <c r="P10" i="65" s="1"/>
  <c r="AH18" i="65"/>
  <c r="P18" i="65" s="1"/>
  <c r="AH16" i="65"/>
  <c r="P16" i="65" s="1"/>
  <c r="AH17" i="65"/>
  <c r="P17" i="65" s="1"/>
  <c r="AH20" i="65"/>
  <c r="P20" i="65" s="1"/>
  <c r="AH14" i="65"/>
  <c r="P14" i="65" s="1"/>
  <c r="AH13" i="65"/>
  <c r="P13" i="65" s="1"/>
  <c r="AH23" i="65"/>
  <c r="P24" i="65" s="1"/>
  <c r="AH15" i="65"/>
  <c r="P15" i="65" s="1"/>
  <c r="AH24" i="65"/>
  <c r="P27" i="65" s="1"/>
  <c r="AH12" i="65"/>
  <c r="P12" i="65" s="1"/>
  <c r="AH9" i="65"/>
  <c r="P9" i="65" s="1"/>
  <c r="AH19" i="65"/>
  <c r="P19" i="65" s="1"/>
  <c r="AH11" i="65"/>
  <c r="P11" i="65" s="1"/>
  <c r="X40" i="65"/>
  <c r="Z40" i="65" s="1"/>
  <c r="AA70" i="65"/>
  <c r="Z70" i="65"/>
  <c r="Y70" i="65"/>
  <c r="X70" i="65"/>
  <c r="AK64" i="65"/>
  <c r="AP62" i="65" l="1"/>
  <c r="Z34" i="76"/>
  <c r="Y40" i="65"/>
  <c r="X99" i="64"/>
  <c r="X98" i="64"/>
  <c r="X97" i="64"/>
  <c r="X96" i="64"/>
  <c r="X95" i="64"/>
  <c r="X94" i="64"/>
  <c r="X93" i="64"/>
  <c r="X92" i="64"/>
  <c r="X91" i="64"/>
  <c r="X90" i="64"/>
  <c r="X89" i="64"/>
  <c r="X88" i="64"/>
  <c r="X87" i="64"/>
  <c r="X86" i="64"/>
  <c r="X85" i="64"/>
  <c r="X84" i="64"/>
  <c r="X83" i="64"/>
  <c r="X82" i="64"/>
  <c r="X81" i="64"/>
  <c r="X80" i="64"/>
  <c r="X79" i="64"/>
  <c r="X78" i="64"/>
  <c r="X77" i="64"/>
  <c r="X76" i="64"/>
  <c r="AB69" i="64"/>
  <c r="AA69" i="64"/>
  <c r="Z69" i="64"/>
  <c r="Y69" i="64"/>
  <c r="X69" i="64"/>
  <c r="AB68" i="64"/>
  <c r="X68" i="64"/>
  <c r="AB67" i="64"/>
  <c r="AB66" i="64"/>
  <c r="X66" i="64"/>
  <c r="AB65" i="64"/>
  <c r="AB64" i="64"/>
  <c r="AA64" i="64"/>
  <c r="Y64" i="64"/>
  <c r="AK63" i="64"/>
  <c r="AQ63" i="64" s="1"/>
  <c r="Y63" i="64"/>
  <c r="AK62" i="64"/>
  <c r="AA62" i="64"/>
  <c r="Y62" i="64"/>
  <c r="AK61" i="64"/>
  <c r="AA61" i="64"/>
  <c r="Y61" i="64"/>
  <c r="AK60" i="64"/>
  <c r="AA60" i="64"/>
  <c r="Y60" i="64"/>
  <c r="AK59" i="64"/>
  <c r="AA59" i="64"/>
  <c r="Y59" i="64"/>
  <c r="AK58" i="64"/>
  <c r="AA58" i="64"/>
  <c r="Y58" i="64"/>
  <c r="AK57" i="64"/>
  <c r="AA57" i="64"/>
  <c r="Y57" i="64"/>
  <c r="AK56" i="64"/>
  <c r="AA56" i="64"/>
  <c r="Y56" i="64"/>
  <c r="AK55" i="64"/>
  <c r="AA55" i="64"/>
  <c r="Y55" i="64"/>
  <c r="AK54" i="64"/>
  <c r="AA54" i="64"/>
  <c r="Y54" i="64"/>
  <c r="AK53" i="64"/>
  <c r="AA53" i="64"/>
  <c r="Y53" i="64"/>
  <c r="AK52" i="64"/>
  <c r="AA52" i="64"/>
  <c r="Y52" i="64"/>
  <c r="AK51" i="64"/>
  <c r="AA51" i="64"/>
  <c r="Y51" i="64"/>
  <c r="AK50" i="64"/>
  <c r="AA50" i="64"/>
  <c r="Y50" i="64"/>
  <c r="AK49" i="64"/>
  <c r="AA49" i="64"/>
  <c r="Y49" i="64"/>
  <c r="AK48" i="64"/>
  <c r="AA48" i="64"/>
  <c r="Y48" i="64"/>
  <c r="AK47" i="64"/>
  <c r="AA47" i="64"/>
  <c r="Y47" i="64"/>
  <c r="AK46" i="64"/>
  <c r="AA46" i="64"/>
  <c r="Y46" i="64"/>
  <c r="AK45" i="64"/>
  <c r="AA45" i="64"/>
  <c r="Y45" i="64"/>
  <c r="AK44" i="64"/>
  <c r="AA44" i="64"/>
  <c r="Y44" i="64"/>
  <c r="AK43" i="64"/>
  <c r="AA43" i="64"/>
  <c r="Y43" i="64"/>
  <c r="AK42" i="64"/>
  <c r="AA42" i="64"/>
  <c r="Y42" i="64"/>
  <c r="AK41" i="64"/>
  <c r="AA41" i="64"/>
  <c r="Y41" i="64"/>
  <c r="AK40" i="64"/>
  <c r="AP39" i="64"/>
  <c r="AO39" i="64"/>
  <c r="AN39" i="64"/>
  <c r="AM39" i="64"/>
  <c r="AL39" i="64"/>
  <c r="AD32" i="64"/>
  <c r="AC32" i="64"/>
  <c r="AB32" i="64"/>
  <c r="AA32" i="64"/>
  <c r="Z32" i="64"/>
  <c r="X32" i="64"/>
  <c r="AN63" i="64"/>
  <c r="AB31" i="64"/>
  <c r="M31" i="64" s="1"/>
  <c r="X31" i="64"/>
  <c r="AC31" i="64"/>
  <c r="N31" i="64" s="1"/>
  <c r="AD30" i="64"/>
  <c r="AC30" i="64"/>
  <c r="AB30" i="64"/>
  <c r="AA30" i="64"/>
  <c r="Z30" i="64"/>
  <c r="X30" i="64"/>
  <c r="R30" i="64"/>
  <c r="S30" i="64" s="1"/>
  <c r="AD29" i="64"/>
  <c r="AC29" i="64"/>
  <c r="AB29" i="64"/>
  <c r="AA29" i="64"/>
  <c r="Z29" i="64"/>
  <c r="X29" i="64"/>
  <c r="R29" i="64"/>
  <c r="AQ60" i="64" s="1"/>
  <c r="AD28" i="64"/>
  <c r="AC28" i="64"/>
  <c r="AB28" i="64"/>
  <c r="AA28" i="64"/>
  <c r="Z28" i="64"/>
  <c r="X28" i="64"/>
  <c r="R28" i="64"/>
  <c r="AQ59" i="64" s="1"/>
  <c r="AN59" i="64"/>
  <c r="AM59" i="64"/>
  <c r="AD27" i="64"/>
  <c r="AC27" i="64"/>
  <c r="AB27" i="64"/>
  <c r="AA27" i="64"/>
  <c r="Z27" i="64"/>
  <c r="X27" i="64"/>
  <c r="R27" i="64"/>
  <c r="S27" i="64" s="1"/>
  <c r="AD26" i="64"/>
  <c r="AC26" i="64"/>
  <c r="AB26" i="64"/>
  <c r="AA26" i="64"/>
  <c r="Z26" i="64"/>
  <c r="X26" i="64"/>
  <c r="R26" i="64"/>
  <c r="S26" i="64" s="1"/>
  <c r="AD25" i="64"/>
  <c r="AC25" i="64"/>
  <c r="AB25" i="64"/>
  <c r="AA25" i="64"/>
  <c r="Z25" i="64"/>
  <c r="X25" i="64"/>
  <c r="R25" i="64"/>
  <c r="S25" i="64" s="1"/>
  <c r="AD24" i="64"/>
  <c r="AC24" i="64"/>
  <c r="AB24" i="64"/>
  <c r="AA24" i="64"/>
  <c r="Z24" i="64"/>
  <c r="X24" i="64"/>
  <c r="R24" i="64"/>
  <c r="S24" i="64" s="1"/>
  <c r="AD23" i="64"/>
  <c r="AC23" i="64"/>
  <c r="AB23" i="64"/>
  <c r="AA23" i="64"/>
  <c r="Z23" i="64"/>
  <c r="X23" i="64"/>
  <c r="R23" i="64"/>
  <c r="S23" i="64" s="1"/>
  <c r="AM54" i="64"/>
  <c r="AL54" i="64"/>
  <c r="AD22" i="64"/>
  <c r="AC22" i="64"/>
  <c r="AB22" i="64"/>
  <c r="AA22" i="64"/>
  <c r="Z22" i="64"/>
  <c r="X22" i="64"/>
  <c r="R22" i="64"/>
  <c r="S22" i="64" s="1"/>
  <c r="AN53" i="64"/>
  <c r="AD21" i="64"/>
  <c r="AC21" i="64"/>
  <c r="AB21" i="64"/>
  <c r="AA21" i="64"/>
  <c r="Z21" i="64"/>
  <c r="X21" i="64"/>
  <c r="R21" i="64"/>
  <c r="S21" i="64" s="1"/>
  <c r="AN52" i="64"/>
  <c r="AM52" i="64"/>
  <c r="AD20" i="64"/>
  <c r="AC20" i="64"/>
  <c r="AB20" i="64"/>
  <c r="AA20" i="64"/>
  <c r="Z20" i="64"/>
  <c r="X20" i="64"/>
  <c r="R20" i="64"/>
  <c r="AQ51" i="64" s="1"/>
  <c r="AN51" i="64"/>
  <c r="AD19" i="64"/>
  <c r="AC19" i="64"/>
  <c r="AB19" i="64"/>
  <c r="AA19" i="64"/>
  <c r="Z19" i="64"/>
  <c r="X19" i="64"/>
  <c r="R19" i="64"/>
  <c r="S19" i="64" s="1"/>
  <c r="AM50" i="64"/>
  <c r="AD18" i="64"/>
  <c r="AC18" i="64"/>
  <c r="AB18" i="64"/>
  <c r="AA18" i="64"/>
  <c r="Z18" i="64"/>
  <c r="X18" i="64"/>
  <c r="R18" i="64"/>
  <c r="S18" i="64" s="1"/>
  <c r="AL49" i="64"/>
  <c r="AD17" i="64"/>
  <c r="AC17" i="64"/>
  <c r="AB17" i="64"/>
  <c r="AA17" i="64"/>
  <c r="Z17" i="64"/>
  <c r="X17" i="64"/>
  <c r="R17" i="64"/>
  <c r="S17" i="64" s="1"/>
  <c r="AD16" i="64"/>
  <c r="AC16" i="64"/>
  <c r="AB16" i="64"/>
  <c r="AA16" i="64"/>
  <c r="Z16" i="64"/>
  <c r="X16" i="64"/>
  <c r="R16" i="64"/>
  <c r="AQ47" i="64" s="1"/>
  <c r="AN47" i="64"/>
  <c r="AM47" i="64"/>
  <c r="AL47" i="64"/>
  <c r="AD15" i="64"/>
  <c r="AC15" i="64"/>
  <c r="AB15" i="64"/>
  <c r="AA15" i="64"/>
  <c r="Z15" i="64"/>
  <c r="X15" i="64"/>
  <c r="R15" i="64"/>
  <c r="S15" i="64" s="1"/>
  <c r="AD14" i="64"/>
  <c r="AC14" i="64"/>
  <c r="AB14" i="64"/>
  <c r="AA14" i="64"/>
  <c r="Z14" i="64"/>
  <c r="X14" i="64"/>
  <c r="R14" i="64"/>
  <c r="S14" i="64" s="1"/>
  <c r="AD13" i="64"/>
  <c r="AC13" i="64"/>
  <c r="AB13" i="64"/>
  <c r="AA13" i="64"/>
  <c r="Z13" i="64"/>
  <c r="X13" i="64"/>
  <c r="R13" i="64"/>
  <c r="S13" i="64" s="1"/>
  <c r="AD12" i="64"/>
  <c r="AC12" i="64"/>
  <c r="AB12" i="64"/>
  <c r="AA12" i="64"/>
  <c r="Z12" i="64"/>
  <c r="X12" i="64"/>
  <c r="R12" i="64"/>
  <c r="AQ43" i="64" s="1"/>
  <c r="AN43" i="64"/>
  <c r="AM43" i="64"/>
  <c r="AL43" i="64"/>
  <c r="AD11" i="64"/>
  <c r="AC11" i="64"/>
  <c r="AB11" i="64"/>
  <c r="AA11" i="64"/>
  <c r="Z11" i="64"/>
  <c r="X11" i="64"/>
  <c r="R11" i="64"/>
  <c r="S11" i="64" s="1"/>
  <c r="AD10" i="64"/>
  <c r="AC10" i="64"/>
  <c r="AB10" i="64"/>
  <c r="AA10" i="64"/>
  <c r="Z10" i="64"/>
  <c r="X10" i="64"/>
  <c r="R10" i="64"/>
  <c r="S10" i="64" s="1"/>
  <c r="AD9" i="64"/>
  <c r="AC9" i="64"/>
  <c r="AB9" i="64"/>
  <c r="AA9" i="64"/>
  <c r="Z9" i="64"/>
  <c r="X9" i="64"/>
  <c r="R9" i="64"/>
  <c r="S9" i="64" s="1"/>
  <c r="AD8" i="64"/>
  <c r="AC8" i="64"/>
  <c r="AB8" i="64"/>
  <c r="AA8" i="64"/>
  <c r="Z8" i="64"/>
  <c r="AO44" i="64" l="1"/>
  <c r="AO46" i="64"/>
  <c r="AO48" i="64"/>
  <c r="AM48" i="64"/>
  <c r="AL51" i="64"/>
  <c r="AP51" i="64"/>
  <c r="AN60" i="64"/>
  <c r="AQ54" i="64"/>
  <c r="AN48" i="64"/>
  <c r="AM51" i="64"/>
  <c r="AD31" i="64"/>
  <c r="T25" i="64"/>
  <c r="S16" i="64"/>
  <c r="T16" i="64" s="1"/>
  <c r="Z83" i="64" s="1"/>
  <c r="T9" i="64"/>
  <c r="T17" i="64"/>
  <c r="X4" i="64"/>
  <c r="X70" i="64" s="1"/>
  <c r="Z80" i="64"/>
  <c r="Z84" i="64"/>
  <c r="Z86" i="64"/>
  <c r="Z88" i="64"/>
  <c r="Z90" i="64"/>
  <c r="Z92" i="64"/>
  <c r="Z98" i="64"/>
  <c r="Y76" i="64"/>
  <c r="Y77" i="64"/>
  <c r="Y81" i="64"/>
  <c r="Y83" i="64"/>
  <c r="Y87" i="64"/>
  <c r="Y91" i="64"/>
  <c r="Y95" i="64"/>
  <c r="Y99" i="64"/>
  <c r="Z77" i="64"/>
  <c r="Z81" i="64"/>
  <c r="Z85" i="64"/>
  <c r="Z87" i="64"/>
  <c r="Z89" i="64"/>
  <c r="Z91" i="64"/>
  <c r="Z99" i="64"/>
  <c r="Y78" i="64"/>
  <c r="Y80" i="64"/>
  <c r="Y82" i="64"/>
  <c r="Y84" i="64"/>
  <c r="Y86" i="64"/>
  <c r="Y88" i="64"/>
  <c r="Y90" i="64"/>
  <c r="Y92" i="64"/>
  <c r="Y94" i="64"/>
  <c r="Y96" i="64"/>
  <c r="Y98" i="64"/>
  <c r="Z76" i="64"/>
  <c r="Y79" i="64"/>
  <c r="Y85" i="64"/>
  <c r="Y89" i="64"/>
  <c r="Y93" i="64"/>
  <c r="Y97" i="64"/>
  <c r="AL55" i="64"/>
  <c r="Z4" i="64"/>
  <c r="AK64" i="64" s="1"/>
  <c r="S12" i="64"/>
  <c r="T12" i="64" s="1"/>
  <c r="Z79" i="64" s="1"/>
  <c r="T14" i="64"/>
  <c r="AN49" i="64"/>
  <c r="AO50" i="64"/>
  <c r="S20" i="64"/>
  <c r="T20" i="64" s="1"/>
  <c r="AL53" i="64"/>
  <c r="T22" i="64"/>
  <c r="AM55" i="64"/>
  <c r="S28" i="64"/>
  <c r="T28" i="64" s="1"/>
  <c r="Z95" i="64" s="1"/>
  <c r="AL63" i="64"/>
  <c r="AP63" i="64"/>
  <c r="AO45" i="64"/>
  <c r="T15" i="64"/>
  <c r="Z82" i="64" s="1"/>
  <c r="AQ50" i="64"/>
  <c r="T23" i="64"/>
  <c r="T24" i="64"/>
  <c r="S29" i="64"/>
  <c r="T29" i="64" s="1"/>
  <c r="Z96" i="64" s="1"/>
  <c r="T30" i="64"/>
  <c r="Z97" i="64" s="1"/>
  <c r="AQ55" i="64"/>
  <c r="T11" i="64"/>
  <c r="Z78" i="64" s="1"/>
  <c r="AO49" i="64"/>
  <c r="AL50" i="64"/>
  <c r="T19" i="64"/>
  <c r="AN55" i="64"/>
  <c r="T27" i="64"/>
  <c r="Z94" i="64" s="1"/>
  <c r="AL59" i="64"/>
  <c r="AP59" i="64"/>
  <c r="AM60" i="64"/>
  <c r="AM63" i="64"/>
  <c r="AP43" i="64"/>
  <c r="AO62" i="64"/>
  <c r="AA31" i="64"/>
  <c r="L31" i="64" s="1"/>
  <c r="AM62" i="64" s="1"/>
  <c r="AM64" i="64"/>
  <c r="AO58" i="64"/>
  <c r="AA63" i="64"/>
  <c r="T10" i="64"/>
  <c r="T18" i="64"/>
  <c r="T26" i="64"/>
  <c r="Z93" i="64" s="1"/>
  <c r="T13" i="64"/>
  <c r="T21" i="64"/>
  <c r="AP40" i="64"/>
  <c r="AL40" i="64"/>
  <c r="AQ40" i="64"/>
  <c r="AP58" i="64"/>
  <c r="Z31" i="64"/>
  <c r="K31" i="64" s="1"/>
  <c r="AL62" i="64" s="1"/>
  <c r="AO40" i="64"/>
  <c r="AO41" i="64"/>
  <c r="AO42" i="64"/>
  <c r="AN44" i="64"/>
  <c r="AN45" i="64"/>
  <c r="AM46" i="64"/>
  <c r="AP52" i="64"/>
  <c r="AL52" i="64"/>
  <c r="AQ52" i="64"/>
  <c r="AQ53" i="64"/>
  <c r="AM53" i="64"/>
  <c r="AP53" i="64"/>
  <c r="AN54" i="64"/>
  <c r="AP54" i="64"/>
  <c r="AP55" i="64"/>
  <c r="AO56" i="64"/>
  <c r="AN42" i="64"/>
  <c r="AP56" i="64"/>
  <c r="AL56" i="64"/>
  <c r="AQ56" i="64"/>
  <c r="AM40" i="64"/>
  <c r="AL41" i="64"/>
  <c r="AL42" i="64"/>
  <c r="AQ42" i="64"/>
  <c r="AP44" i="64"/>
  <c r="AL44" i="64"/>
  <c r="AQ44" i="64"/>
  <c r="AQ45" i="64"/>
  <c r="AM45" i="64"/>
  <c r="AP45" i="64"/>
  <c r="AN46" i="64"/>
  <c r="AP46" i="64"/>
  <c r="AP47" i="64"/>
  <c r="AM56" i="64"/>
  <c r="AN57" i="64"/>
  <c r="AN58" i="64"/>
  <c r="AQ58" i="64"/>
  <c r="AM58" i="64"/>
  <c r="AQ61" i="64"/>
  <c r="AM61" i="64"/>
  <c r="AP61" i="64"/>
  <c r="AL61" i="64"/>
  <c r="AN61" i="64"/>
  <c r="AQ64" i="64"/>
  <c r="AQ41" i="64"/>
  <c r="AM41" i="64"/>
  <c r="AP41" i="64"/>
  <c r="AP42" i="64"/>
  <c r="AQ57" i="64"/>
  <c r="AM57" i="64"/>
  <c r="AP57" i="64"/>
  <c r="AL57" i="64"/>
  <c r="AO64" i="64"/>
  <c r="AN64" i="64"/>
  <c r="AP64" i="64"/>
  <c r="AL64" i="64"/>
  <c r="AN40" i="64"/>
  <c r="AN41" i="64"/>
  <c r="AM42" i="64"/>
  <c r="AM44" i="64"/>
  <c r="AL45" i="64"/>
  <c r="AL46" i="64"/>
  <c r="AQ46" i="64"/>
  <c r="AP48" i="64"/>
  <c r="AL48" i="64"/>
  <c r="AQ48" i="64"/>
  <c r="AQ49" i="64"/>
  <c r="AM49" i="64"/>
  <c r="AP49" i="64"/>
  <c r="AN50" i="64"/>
  <c r="AP50" i="64"/>
  <c r="AO52" i="64"/>
  <c r="AO53" i="64"/>
  <c r="AO54" i="64"/>
  <c r="AN56" i="64"/>
  <c r="AO57" i="64"/>
  <c r="AL58" i="64"/>
  <c r="AO61" i="64"/>
  <c r="AO60" i="64"/>
  <c r="AO43" i="64"/>
  <c r="AO47" i="64"/>
  <c r="AO51" i="64"/>
  <c r="AO55" i="64"/>
  <c r="AO59" i="64"/>
  <c r="AL60" i="64"/>
  <c r="AP60" i="64"/>
  <c r="AN62" i="64"/>
  <c r="AO63" i="64"/>
  <c r="O31" i="64" l="1"/>
  <c r="AH26" i="64"/>
  <c r="P29" i="64" s="1"/>
  <c r="AH21" i="64"/>
  <c r="P21" i="64" s="1"/>
  <c r="AH27" i="64"/>
  <c r="P30" i="64" s="1"/>
  <c r="AH15" i="64"/>
  <c r="P15" i="64" s="1"/>
  <c r="AH23" i="64"/>
  <c r="P24" i="64" s="1"/>
  <c r="AH18" i="64"/>
  <c r="P18" i="64" s="1"/>
  <c r="AH22" i="64"/>
  <c r="P23" i="64" s="1"/>
  <c r="AH24" i="64"/>
  <c r="P27" i="64" s="1"/>
  <c r="AH19" i="64"/>
  <c r="P19" i="64" s="1"/>
  <c r="AH16" i="64"/>
  <c r="P16" i="64" s="1"/>
  <c r="AH17" i="64"/>
  <c r="P17" i="64" s="1"/>
  <c r="AH13" i="64"/>
  <c r="P13" i="64" s="1"/>
  <c r="AH14" i="64"/>
  <c r="P14" i="64" s="1"/>
  <c r="AH20" i="64"/>
  <c r="P20" i="64" s="1"/>
  <c r="AH25" i="64"/>
  <c r="P28" i="64" s="1"/>
  <c r="AH11" i="64"/>
  <c r="P11" i="64" s="1"/>
  <c r="AH9" i="64"/>
  <c r="P9" i="64" s="1"/>
  <c r="AH12" i="64"/>
  <c r="P12" i="64" s="1"/>
  <c r="AH10" i="64"/>
  <c r="P10" i="64" s="1"/>
  <c r="AA70" i="64"/>
  <c r="AB70" i="64"/>
  <c r="Y70" i="64"/>
  <c r="M64" i="64"/>
  <c r="X40" i="64"/>
  <c r="Y40" i="64" s="1"/>
  <c r="Z70" i="64"/>
  <c r="AP62" i="64" l="1"/>
  <c r="Z33" i="76"/>
  <c r="Z40" i="64"/>
  <c r="X76" i="63" l="1"/>
  <c r="G150" i="63" l="1"/>
  <c r="G154" i="63"/>
  <c r="E156" i="63"/>
  <c r="E160" i="63"/>
  <c r="H164" i="63"/>
  <c r="E168" i="63"/>
  <c r="F168" i="63"/>
  <c r="Z144" i="63"/>
  <c r="AA144" i="63"/>
  <c r="AB144" i="63"/>
  <c r="AC144" i="63"/>
  <c r="Y144" i="63"/>
  <c r="AE146" i="63"/>
  <c r="AE147" i="63"/>
  <c r="AE148" i="63"/>
  <c r="AE149" i="63"/>
  <c r="AE150" i="63"/>
  <c r="AE151" i="63"/>
  <c r="AE152" i="63"/>
  <c r="AE153" i="63"/>
  <c r="AE154" i="63"/>
  <c r="AE155" i="63"/>
  <c r="AE156" i="63"/>
  <c r="AE157" i="63"/>
  <c r="AE158" i="63"/>
  <c r="AE159" i="63"/>
  <c r="AE160" i="63"/>
  <c r="AE161" i="63"/>
  <c r="AE162" i="63"/>
  <c r="AE163" i="63"/>
  <c r="AE164" i="63"/>
  <c r="AE166" i="63"/>
  <c r="G145" i="63"/>
  <c r="G146" i="63" l="1"/>
  <c r="D164" i="63"/>
  <c r="G158" i="63"/>
  <c r="E152" i="63"/>
  <c r="E148" i="63"/>
  <c r="F166" i="63"/>
  <c r="D157" i="63"/>
  <c r="D153" i="63"/>
  <c r="D149" i="63"/>
  <c r="D166" i="63"/>
  <c r="H160" i="63"/>
  <c r="H157" i="63"/>
  <c r="H156" i="63"/>
  <c r="H153" i="63"/>
  <c r="H152" i="63"/>
  <c r="H149" i="63"/>
  <c r="H148" i="63"/>
  <c r="H166" i="63"/>
  <c r="G157" i="63"/>
  <c r="G153" i="63"/>
  <c r="G149" i="63"/>
  <c r="G166" i="63"/>
  <c r="E164" i="63"/>
  <c r="D160" i="63"/>
  <c r="E157" i="63"/>
  <c r="D156" i="63"/>
  <c r="E153" i="63"/>
  <c r="D152" i="63"/>
  <c r="E149" i="63"/>
  <c r="D148" i="63"/>
  <c r="G162" i="63"/>
  <c r="D161" i="63"/>
  <c r="H161" i="63"/>
  <c r="G161" i="63"/>
  <c r="E161" i="63"/>
  <c r="H167" i="63"/>
  <c r="F163" i="63"/>
  <c r="F159" i="63"/>
  <c r="F151" i="63"/>
  <c r="F147" i="63"/>
  <c r="E163" i="63"/>
  <c r="F162" i="63"/>
  <c r="E159" i="63"/>
  <c r="F158" i="63"/>
  <c r="E155" i="63"/>
  <c r="F154" i="63"/>
  <c r="E151" i="63"/>
  <c r="F150" i="63"/>
  <c r="E147" i="63"/>
  <c r="F146" i="63"/>
  <c r="E166" i="63"/>
  <c r="G164" i="63"/>
  <c r="H163" i="63"/>
  <c r="D163" i="63"/>
  <c r="E162" i="63"/>
  <c r="F161" i="63"/>
  <c r="G160" i="63"/>
  <c r="H159" i="63"/>
  <c r="D159" i="63"/>
  <c r="E158" i="63"/>
  <c r="F157" i="63"/>
  <c r="G156" i="63"/>
  <c r="H155" i="63"/>
  <c r="D155" i="63"/>
  <c r="E154" i="63"/>
  <c r="F153" i="63"/>
  <c r="G152" i="63"/>
  <c r="H151" i="63"/>
  <c r="D151" i="63"/>
  <c r="E150" i="63"/>
  <c r="F149" i="63"/>
  <c r="G148" i="63"/>
  <c r="H147" i="63"/>
  <c r="D147" i="63"/>
  <c r="E146" i="63"/>
  <c r="F145" i="63"/>
  <c r="AE145" i="63"/>
  <c r="F155" i="63"/>
  <c r="D168" i="63"/>
  <c r="AE168" i="63"/>
  <c r="G168" i="63"/>
  <c r="F164" i="63"/>
  <c r="G163" i="63"/>
  <c r="H162" i="63"/>
  <c r="D162" i="63"/>
  <c r="F160" i="63"/>
  <c r="G159" i="63"/>
  <c r="H158" i="63"/>
  <c r="D158" i="63"/>
  <c r="F156" i="63"/>
  <c r="G155" i="63"/>
  <c r="H154" i="63"/>
  <c r="D154" i="63"/>
  <c r="F152" i="63"/>
  <c r="G151" i="63"/>
  <c r="H150" i="63"/>
  <c r="D150" i="63"/>
  <c r="F148" i="63"/>
  <c r="G147" i="63"/>
  <c r="H146" i="63"/>
  <c r="D146" i="63"/>
  <c r="H145" i="63"/>
  <c r="D145" i="63"/>
  <c r="E145" i="63"/>
  <c r="H168" i="63"/>
  <c r="F167" i="63" l="1"/>
  <c r="AE167" i="63"/>
  <c r="G167" i="63"/>
  <c r="E167" i="63"/>
  <c r="D167" i="63"/>
  <c r="AE165" i="63"/>
  <c r="E165" i="63"/>
  <c r="D165" i="63"/>
  <c r="F165" i="63"/>
  <c r="G165" i="63"/>
  <c r="H165" i="63"/>
  <c r="B167" i="63"/>
  <c r="B166" i="63"/>
  <c r="A166" i="63" s="1"/>
  <c r="B165" i="63"/>
  <c r="A165" i="63" s="1"/>
  <c r="B164" i="63"/>
  <c r="A164" i="63" s="1"/>
  <c r="B163" i="63"/>
  <c r="A163" i="63" s="1"/>
  <c r="B162" i="63"/>
  <c r="A162" i="63" s="1"/>
  <c r="B161" i="63"/>
  <c r="A161" i="63" s="1"/>
  <c r="B160" i="63"/>
  <c r="A160" i="63" s="1"/>
  <c r="B159" i="63"/>
  <c r="A159" i="63" s="1"/>
  <c r="B158" i="63"/>
  <c r="A158" i="63" s="1"/>
  <c r="B157" i="63"/>
  <c r="A157" i="63" s="1"/>
  <c r="B156" i="63"/>
  <c r="A156" i="63" s="1"/>
  <c r="B155" i="63"/>
  <c r="A155" i="63" s="1"/>
  <c r="B154" i="63"/>
  <c r="A154" i="63" s="1"/>
  <c r="B153" i="63"/>
  <c r="A153" i="63" s="1"/>
  <c r="B152" i="63"/>
  <c r="A152" i="63" s="1"/>
  <c r="B151" i="63"/>
  <c r="A151" i="63" s="1"/>
  <c r="B150" i="63"/>
  <c r="A150" i="63" s="1"/>
  <c r="B149" i="63"/>
  <c r="A149" i="63" s="1"/>
  <c r="B148" i="63"/>
  <c r="A148" i="63" s="1"/>
  <c r="B147" i="63"/>
  <c r="A147" i="63" s="1"/>
  <c r="B146" i="63"/>
  <c r="A146" i="63" s="1"/>
  <c r="B145" i="63"/>
  <c r="D30" i="76" s="1"/>
  <c r="X99" i="63"/>
  <c r="X98" i="63"/>
  <c r="X97" i="63"/>
  <c r="X96" i="63"/>
  <c r="X95" i="63"/>
  <c r="X94" i="63"/>
  <c r="X93" i="63"/>
  <c r="X92" i="63"/>
  <c r="X91" i="63"/>
  <c r="X90" i="63"/>
  <c r="X89" i="63"/>
  <c r="X88" i="63"/>
  <c r="X87" i="63"/>
  <c r="X86" i="63"/>
  <c r="X85" i="63"/>
  <c r="X84" i="63"/>
  <c r="X83" i="63"/>
  <c r="X82" i="63"/>
  <c r="X81" i="63"/>
  <c r="X80" i="63"/>
  <c r="X79" i="63"/>
  <c r="X78" i="63"/>
  <c r="X77" i="63"/>
  <c r="AB69" i="63"/>
  <c r="AA69" i="63"/>
  <c r="Z69" i="63"/>
  <c r="Y69" i="63"/>
  <c r="X69" i="63"/>
  <c r="AB68" i="63"/>
  <c r="X68" i="63"/>
  <c r="AB67" i="63"/>
  <c r="AB66" i="63"/>
  <c r="X66" i="63"/>
  <c r="AB65" i="63"/>
  <c r="AB64" i="63"/>
  <c r="AA64" i="63"/>
  <c r="Y64" i="63"/>
  <c r="AL63" i="63"/>
  <c r="Y63" i="63"/>
  <c r="AL62" i="63"/>
  <c r="AA62" i="63"/>
  <c r="Y62" i="63"/>
  <c r="AL61" i="63"/>
  <c r="AN61" i="63" s="1"/>
  <c r="AA61" i="63"/>
  <c r="Y61" i="63"/>
  <c r="AL60" i="63"/>
  <c r="AA60" i="63"/>
  <c r="Y60" i="63"/>
  <c r="AL59" i="63"/>
  <c r="AA59" i="63"/>
  <c r="Y59" i="63"/>
  <c r="AL58" i="63"/>
  <c r="AA58" i="63"/>
  <c r="Y58" i="63"/>
  <c r="AL57" i="63"/>
  <c r="AA57" i="63"/>
  <c r="Y57" i="63"/>
  <c r="AL56" i="63"/>
  <c r="AA56" i="63"/>
  <c r="Y56" i="63"/>
  <c r="AL55" i="63"/>
  <c r="AA55" i="63"/>
  <c r="Y55" i="63"/>
  <c r="AL54" i="63"/>
  <c r="AA54" i="63"/>
  <c r="Y54" i="63"/>
  <c r="AL53" i="63"/>
  <c r="AA53" i="63"/>
  <c r="Y53" i="63"/>
  <c r="AL52" i="63"/>
  <c r="AA52" i="63"/>
  <c r="Y52" i="63"/>
  <c r="AL51" i="63"/>
  <c r="AA51" i="63"/>
  <c r="Y51" i="63"/>
  <c r="AL50" i="63"/>
  <c r="AA50" i="63"/>
  <c r="Y50" i="63"/>
  <c r="AL49" i="63"/>
  <c r="AQ49" i="63" s="1"/>
  <c r="AA49" i="63"/>
  <c r="Y49" i="63"/>
  <c r="AL48" i="63"/>
  <c r="AA48" i="63"/>
  <c r="Y48" i="63"/>
  <c r="AL47" i="63"/>
  <c r="AA47" i="63"/>
  <c r="Y47" i="63"/>
  <c r="AL46" i="63"/>
  <c r="AA46" i="63"/>
  <c r="Y46" i="63"/>
  <c r="AL45" i="63"/>
  <c r="AM45" i="63" s="1"/>
  <c r="AA45" i="63"/>
  <c r="Y45" i="63"/>
  <c r="AL44" i="63"/>
  <c r="AA44" i="63"/>
  <c r="Y44" i="63"/>
  <c r="AL43" i="63"/>
  <c r="AA43" i="63"/>
  <c r="Y43" i="63"/>
  <c r="AL42" i="63"/>
  <c r="AA42" i="63"/>
  <c r="Y42" i="63"/>
  <c r="AL41" i="63"/>
  <c r="AA41" i="63"/>
  <c r="Y41" i="63"/>
  <c r="AL40" i="63"/>
  <c r="AQ39" i="63"/>
  <c r="AP39" i="63"/>
  <c r="AO39" i="63"/>
  <c r="AN39" i="63"/>
  <c r="AM39" i="63"/>
  <c r="AD32" i="63"/>
  <c r="AC32" i="63"/>
  <c r="AB32" i="63"/>
  <c r="AA32" i="63"/>
  <c r="Z32" i="63"/>
  <c r="X32" i="63"/>
  <c r="X31" i="63"/>
  <c r="AD30" i="63"/>
  <c r="AC30" i="63"/>
  <c r="AB30" i="63"/>
  <c r="AA30" i="63"/>
  <c r="Z30" i="63"/>
  <c r="X30" i="63"/>
  <c r="R30" i="63"/>
  <c r="AD29" i="63"/>
  <c r="AC29" i="63"/>
  <c r="AB29" i="63"/>
  <c r="AA29" i="63"/>
  <c r="Z29" i="63"/>
  <c r="X29" i="63"/>
  <c r="R29" i="63"/>
  <c r="AD28" i="63"/>
  <c r="AC28" i="63"/>
  <c r="AB28" i="63"/>
  <c r="AA28" i="63"/>
  <c r="Z28" i="63"/>
  <c r="X28" i="63"/>
  <c r="R28" i="63"/>
  <c r="S28" i="63" s="1"/>
  <c r="AD27" i="63"/>
  <c r="AC27" i="63"/>
  <c r="AB27" i="63"/>
  <c r="AA27" i="63"/>
  <c r="Z27" i="63"/>
  <c r="X27" i="63"/>
  <c r="R27" i="63"/>
  <c r="S27" i="63" s="1"/>
  <c r="AD26" i="63"/>
  <c r="AC26" i="63"/>
  <c r="AB26" i="63"/>
  <c r="AA26" i="63"/>
  <c r="Z26" i="63"/>
  <c r="X26" i="63"/>
  <c r="R26" i="63"/>
  <c r="AD25" i="63"/>
  <c r="AC25" i="63"/>
  <c r="AB25" i="63"/>
  <c r="AA25" i="63"/>
  <c r="Z25" i="63"/>
  <c r="X25" i="63"/>
  <c r="R25" i="63"/>
  <c r="S25" i="63" s="1"/>
  <c r="AD24" i="63"/>
  <c r="AC24" i="63"/>
  <c r="AB24" i="63"/>
  <c r="AA24" i="63"/>
  <c r="Z24" i="63"/>
  <c r="X24" i="63"/>
  <c r="R24" i="63"/>
  <c r="S24" i="63" s="1"/>
  <c r="AD23" i="63"/>
  <c r="AC23" i="63"/>
  <c r="AB23" i="63"/>
  <c r="AA23" i="63"/>
  <c r="Z23" i="63"/>
  <c r="X23" i="63"/>
  <c r="R23" i="63"/>
  <c r="S23" i="63" s="1"/>
  <c r="AD22" i="63"/>
  <c r="AC22" i="63"/>
  <c r="AB22" i="63"/>
  <c r="AA22" i="63"/>
  <c r="Z22" i="63"/>
  <c r="X22" i="63"/>
  <c r="R22" i="63"/>
  <c r="AD21" i="63"/>
  <c r="AC21" i="63"/>
  <c r="AB21" i="63"/>
  <c r="AA21" i="63"/>
  <c r="Z21" i="63"/>
  <c r="X21" i="63"/>
  <c r="R21" i="63"/>
  <c r="S21" i="63" s="1"/>
  <c r="AD20" i="63"/>
  <c r="AC20" i="63"/>
  <c r="AB20" i="63"/>
  <c r="AA20" i="63"/>
  <c r="Z20" i="63"/>
  <c r="X20" i="63"/>
  <c r="R20" i="63"/>
  <c r="S20" i="63" s="1"/>
  <c r="AO51" i="63"/>
  <c r="AD19" i="63"/>
  <c r="AC19" i="63"/>
  <c r="AB19" i="63"/>
  <c r="AA19" i="63"/>
  <c r="Z19" i="63"/>
  <c r="X19" i="63"/>
  <c r="R19" i="63"/>
  <c r="S19" i="63" s="1"/>
  <c r="AD18" i="63"/>
  <c r="AC18" i="63"/>
  <c r="AB18" i="63"/>
  <c r="AA18" i="63"/>
  <c r="Z18" i="63"/>
  <c r="X18" i="63"/>
  <c r="R18" i="63"/>
  <c r="S18" i="63" s="1"/>
  <c r="AD17" i="63"/>
  <c r="AC17" i="63"/>
  <c r="AB17" i="63"/>
  <c r="AA17" i="63"/>
  <c r="Z17" i="63"/>
  <c r="X17" i="63"/>
  <c r="R17" i="63"/>
  <c r="S17" i="63" s="1"/>
  <c r="AD16" i="63"/>
  <c r="AC16" i="63"/>
  <c r="AB16" i="63"/>
  <c r="AA16" i="63"/>
  <c r="Z16" i="63"/>
  <c r="X16" i="63"/>
  <c r="R16" i="63"/>
  <c r="S16" i="63" s="1"/>
  <c r="AD15" i="63"/>
  <c r="AC15" i="63"/>
  <c r="AB15" i="63"/>
  <c r="AA15" i="63"/>
  <c r="Z15" i="63"/>
  <c r="X15" i="63"/>
  <c r="R15" i="63"/>
  <c r="S15" i="63" s="1"/>
  <c r="AN46" i="63"/>
  <c r="AD14" i="63"/>
  <c r="AC14" i="63"/>
  <c r="AB14" i="63"/>
  <c r="AA14" i="63"/>
  <c r="Z14" i="63"/>
  <c r="X14" i="63"/>
  <c r="R14" i="63"/>
  <c r="AD13" i="63"/>
  <c r="AC13" i="63"/>
  <c r="AB13" i="63"/>
  <c r="AA13" i="63"/>
  <c r="Z13" i="63"/>
  <c r="X13" i="63"/>
  <c r="R13" i="63"/>
  <c r="S13" i="63" s="1"/>
  <c r="AD12" i="63"/>
  <c r="AC12" i="63"/>
  <c r="AB12" i="63"/>
  <c r="AA12" i="63"/>
  <c r="Z12" i="63"/>
  <c r="X12" i="63"/>
  <c r="R12" i="63"/>
  <c r="S12" i="63" s="1"/>
  <c r="AO43" i="63"/>
  <c r="AD11" i="63"/>
  <c r="AC11" i="63"/>
  <c r="AB11" i="63"/>
  <c r="AA11" i="63"/>
  <c r="Z11" i="63"/>
  <c r="X11" i="63"/>
  <c r="R11" i="63"/>
  <c r="S11" i="63" s="1"/>
  <c r="AD10" i="63"/>
  <c r="AC10" i="63"/>
  <c r="AB10" i="63"/>
  <c r="AA10" i="63"/>
  <c r="Z10" i="63"/>
  <c r="X10" i="63"/>
  <c r="R10" i="63"/>
  <c r="S10" i="63" s="1"/>
  <c r="AD9" i="63"/>
  <c r="AC9" i="63"/>
  <c r="AB9" i="63"/>
  <c r="AA9" i="63"/>
  <c r="Z9" i="63"/>
  <c r="X9" i="63"/>
  <c r="R9" i="63"/>
  <c r="S9" i="63" s="1"/>
  <c r="AD8" i="63"/>
  <c r="AC8" i="63"/>
  <c r="AB8" i="63"/>
  <c r="AA8" i="63"/>
  <c r="Z8" i="63"/>
  <c r="AB67" i="62"/>
  <c r="AB68" i="62"/>
  <c r="X68" i="62"/>
  <c r="AB68" i="49"/>
  <c r="AB67" i="49"/>
  <c r="X68" i="49"/>
  <c r="X66" i="49"/>
  <c r="E31" i="76" l="1"/>
  <c r="F29" i="76"/>
  <c r="Z29" i="76"/>
  <c r="G32" i="76"/>
  <c r="T32" i="76"/>
  <c r="M29" i="76"/>
  <c r="T31" i="76"/>
  <c r="G30" i="76"/>
  <c r="R28" i="76"/>
  <c r="P32" i="76"/>
  <c r="Q30" i="76"/>
  <c r="Q29" i="76"/>
  <c r="I32" i="76"/>
  <c r="W28" i="76"/>
  <c r="G28" i="76"/>
  <c r="K30" i="76"/>
  <c r="W29" i="76"/>
  <c r="V31" i="76"/>
  <c r="AM49" i="63"/>
  <c r="A145" i="63"/>
  <c r="O29" i="76"/>
  <c r="S29" i="76"/>
  <c r="AA30" i="76"/>
  <c r="AA29" i="76"/>
  <c r="W32" i="76"/>
  <c r="I31" i="76"/>
  <c r="M31" i="76"/>
  <c r="D31" i="76"/>
  <c r="X32" i="76"/>
  <c r="Z31" i="76"/>
  <c r="H31" i="76"/>
  <c r="V32" i="76"/>
  <c r="J28" i="76"/>
  <c r="U30" i="76"/>
  <c r="Q31" i="76"/>
  <c r="K31" i="76"/>
  <c r="H32" i="76"/>
  <c r="I30" i="76"/>
  <c r="U32" i="76"/>
  <c r="Y30" i="76"/>
  <c r="N31" i="76"/>
  <c r="AQ45" i="63"/>
  <c r="X30" i="76"/>
  <c r="Z28" i="76"/>
  <c r="Z30" i="76"/>
  <c r="O32" i="76"/>
  <c r="H29" i="76"/>
  <c r="N29" i="76"/>
  <c r="P30" i="76"/>
  <c r="I28" i="76"/>
  <c r="O28" i="76"/>
  <c r="R32" i="76"/>
  <c r="O30" i="76"/>
  <c r="P31" i="76"/>
  <c r="Y29" i="76"/>
  <c r="R31" i="76"/>
  <c r="L28" i="76"/>
  <c r="S28" i="76"/>
  <c r="F30" i="76"/>
  <c r="T30" i="76"/>
  <c r="G31" i="76"/>
  <c r="M32" i="76"/>
  <c r="F32" i="76"/>
  <c r="E28" i="76"/>
  <c r="Y31" i="76"/>
  <c r="V28" i="76"/>
  <c r="S30" i="76"/>
  <c r="K32" i="76"/>
  <c r="J29" i="76"/>
  <c r="AA28" i="76"/>
  <c r="X28" i="76"/>
  <c r="AA32" i="76"/>
  <c r="L30" i="76"/>
  <c r="L29" i="76"/>
  <c r="J31" i="76"/>
  <c r="K28" i="76"/>
  <c r="AA31" i="76"/>
  <c r="O31" i="76"/>
  <c r="U29" i="76"/>
  <c r="X29" i="76"/>
  <c r="G29" i="76"/>
  <c r="V30" i="76"/>
  <c r="Y28" i="76"/>
  <c r="F28" i="76"/>
  <c r="T29" i="76"/>
  <c r="D28" i="76"/>
  <c r="T28" i="76"/>
  <c r="N28" i="76"/>
  <c r="E32" i="76"/>
  <c r="Q28" i="76"/>
  <c r="R30" i="76"/>
  <c r="I29" i="76"/>
  <c r="D32" i="76"/>
  <c r="U31" i="76"/>
  <c r="N32" i="76"/>
  <c r="X31" i="76"/>
  <c r="H28" i="76"/>
  <c r="P29" i="76"/>
  <c r="V29" i="76"/>
  <c r="S31" i="76"/>
  <c r="U28" i="76"/>
  <c r="Y32" i="76"/>
  <c r="E30" i="76"/>
  <c r="W30" i="76"/>
  <c r="S32" i="76"/>
  <c r="R29" i="76"/>
  <c r="E29" i="76"/>
  <c r="K29" i="76"/>
  <c r="L31" i="76"/>
  <c r="Z32" i="76"/>
  <c r="W31" i="76"/>
  <c r="J32" i="76"/>
  <c r="Q32" i="76"/>
  <c r="D29" i="76"/>
  <c r="M28" i="76"/>
  <c r="L32" i="76"/>
  <c r="M30" i="76"/>
  <c r="N30" i="76"/>
  <c r="P28" i="76"/>
  <c r="J30" i="76"/>
  <c r="H30" i="76"/>
  <c r="F31" i="76"/>
  <c r="AH26" i="63"/>
  <c r="P29" i="63" s="1"/>
  <c r="AH21" i="63"/>
  <c r="P21" i="63" s="1"/>
  <c r="AH27" i="63"/>
  <c r="P30" i="63" s="1"/>
  <c r="AH9" i="63"/>
  <c r="P9" i="63" s="1"/>
  <c r="AH11" i="63"/>
  <c r="P11" i="63" s="1"/>
  <c r="AH20" i="63"/>
  <c r="P20" i="63" s="1"/>
  <c r="BE44" i="63"/>
  <c r="BG44" i="63"/>
  <c r="BC44" i="63"/>
  <c r="BD44" i="63"/>
  <c r="BF44" i="63"/>
  <c r="BF48" i="63"/>
  <c r="BE48" i="63"/>
  <c r="BG48" i="63"/>
  <c r="BD48" i="63"/>
  <c r="BC48" i="63"/>
  <c r="BG55" i="63"/>
  <c r="BF55" i="63"/>
  <c r="BC55" i="63"/>
  <c r="BD55" i="63"/>
  <c r="BE55" i="63"/>
  <c r="AH22" i="63"/>
  <c r="P23" i="63" s="1"/>
  <c r="BF47" i="63"/>
  <c r="BD47" i="63"/>
  <c r="BG47" i="63"/>
  <c r="BE47" i="63"/>
  <c r="BC47" i="63"/>
  <c r="BF59" i="63"/>
  <c r="BE59" i="63"/>
  <c r="BC59" i="63"/>
  <c r="BD59" i="63"/>
  <c r="BG59" i="63"/>
  <c r="BD63" i="63"/>
  <c r="BC63" i="63"/>
  <c r="BE63" i="63"/>
  <c r="BF63" i="63"/>
  <c r="BG63" i="63"/>
  <c r="AH10" i="63"/>
  <c r="P10" i="63" s="1"/>
  <c r="AH12" i="63"/>
  <c r="P12" i="63" s="1"/>
  <c r="AH14" i="63"/>
  <c r="P14" i="63" s="1"/>
  <c r="AH16" i="63"/>
  <c r="P16" i="63" s="1"/>
  <c r="AH18" i="63"/>
  <c r="P18" i="63" s="1"/>
  <c r="AH23" i="63"/>
  <c r="P24" i="63" s="1"/>
  <c r="BF42" i="63"/>
  <c r="BG42" i="63"/>
  <c r="BE42" i="63"/>
  <c r="BD42" i="63"/>
  <c r="BC42" i="63"/>
  <c r="BG46" i="63"/>
  <c r="BF46" i="63"/>
  <c r="BD46" i="63"/>
  <c r="BC46" i="63"/>
  <c r="BE46" i="63"/>
  <c r="BD52" i="63"/>
  <c r="BF52" i="63"/>
  <c r="BG52" i="63"/>
  <c r="BC52" i="63"/>
  <c r="BE52" i="63"/>
  <c r="BD53" i="63"/>
  <c r="BF53" i="63"/>
  <c r="BC53" i="63"/>
  <c r="BG53" i="63"/>
  <c r="BE53" i="63"/>
  <c r="BF58" i="63"/>
  <c r="BD58" i="63"/>
  <c r="BE58" i="63"/>
  <c r="BG58" i="63"/>
  <c r="BC58" i="63"/>
  <c r="AH13" i="63"/>
  <c r="P13" i="63" s="1"/>
  <c r="AH15" i="63"/>
  <c r="P15" i="63" s="1"/>
  <c r="AH17" i="63"/>
  <c r="P17" i="63" s="1"/>
  <c r="AH25" i="63"/>
  <c r="P28" i="63" s="1"/>
  <c r="BF40" i="63"/>
  <c r="BC40" i="63"/>
  <c r="BD40" i="63"/>
  <c r="BE40" i="63"/>
  <c r="BG40" i="63"/>
  <c r="BE60" i="63"/>
  <c r="BC60" i="63"/>
  <c r="BF60" i="63"/>
  <c r="BD60" i="63"/>
  <c r="BG60" i="63"/>
  <c r="AH19" i="63"/>
  <c r="P19" i="63" s="1"/>
  <c r="BF43" i="63"/>
  <c r="BC43" i="63"/>
  <c r="BE43" i="63"/>
  <c r="BG43" i="63"/>
  <c r="BD43" i="63"/>
  <c r="BC54" i="63"/>
  <c r="BD54" i="63"/>
  <c r="BE54" i="63"/>
  <c r="BG54" i="63"/>
  <c r="BF54" i="63"/>
  <c r="BD64" i="63"/>
  <c r="BC64" i="63"/>
  <c r="BF64" i="63"/>
  <c r="BE64" i="63"/>
  <c r="BG64" i="63"/>
  <c r="AH24" i="63"/>
  <c r="P27" i="63" s="1"/>
  <c r="BD41" i="63"/>
  <c r="BF41" i="63"/>
  <c r="BE41" i="63"/>
  <c r="BG41" i="63"/>
  <c r="BC41" i="63"/>
  <c r="BF45" i="63"/>
  <c r="BG45" i="63"/>
  <c r="BC45" i="63"/>
  <c r="BE45" i="63"/>
  <c r="BD45" i="63"/>
  <c r="BE49" i="63"/>
  <c r="BD49" i="63"/>
  <c r="BG49" i="63"/>
  <c r="BF49" i="63"/>
  <c r="BC49" i="63"/>
  <c r="BC50" i="63"/>
  <c r="BG50" i="63"/>
  <c r="BE50" i="63"/>
  <c r="BD50" i="63"/>
  <c r="BF50" i="63"/>
  <c r="BE51" i="63"/>
  <c r="BD51" i="63"/>
  <c r="BG51" i="63"/>
  <c r="BC51" i="63"/>
  <c r="BF51" i="63"/>
  <c r="BE56" i="63"/>
  <c r="BG56" i="63"/>
  <c r="BF56" i="63"/>
  <c r="BD56" i="63"/>
  <c r="BC56" i="63"/>
  <c r="BD57" i="63"/>
  <c r="BG57" i="63"/>
  <c r="BC57" i="63"/>
  <c r="BE57" i="63"/>
  <c r="BF57" i="63"/>
  <c r="BF61" i="63"/>
  <c r="BC61" i="63"/>
  <c r="BG61" i="63"/>
  <c r="BE61" i="63"/>
  <c r="BD61" i="63"/>
  <c r="BG62" i="63"/>
  <c r="BC62" i="63"/>
  <c r="BF62" i="63"/>
  <c r="BD62" i="63"/>
  <c r="BE62" i="63"/>
  <c r="AZ44" i="63"/>
  <c r="BA44" i="63"/>
  <c r="AX44" i="63"/>
  <c r="BB44" i="63"/>
  <c r="AY44" i="63"/>
  <c r="AZ48" i="63"/>
  <c r="BA48" i="63"/>
  <c r="AX48" i="63"/>
  <c r="BB48" i="63"/>
  <c r="AY48" i="63"/>
  <c r="BA55" i="63"/>
  <c r="AX55" i="63"/>
  <c r="BB55" i="63"/>
  <c r="AY55" i="63"/>
  <c r="AZ55" i="63"/>
  <c r="AZ60" i="63"/>
  <c r="AY60" i="63"/>
  <c r="BA60" i="63"/>
  <c r="AX60" i="63"/>
  <c r="BB60" i="63"/>
  <c r="BA43" i="63"/>
  <c r="AX43" i="63"/>
  <c r="BB43" i="63"/>
  <c r="AY43" i="63"/>
  <c r="AZ43" i="63"/>
  <c r="BA47" i="63"/>
  <c r="AX47" i="63"/>
  <c r="BB47" i="63"/>
  <c r="AY47" i="63"/>
  <c r="AZ47" i="63"/>
  <c r="AX54" i="63"/>
  <c r="BB54" i="63"/>
  <c r="BA54" i="63"/>
  <c r="AY54" i="63"/>
  <c r="AZ54" i="63"/>
  <c r="BA59" i="63"/>
  <c r="AX59" i="63"/>
  <c r="BB59" i="63"/>
  <c r="AY59" i="63"/>
  <c r="AZ59" i="63"/>
  <c r="AX63" i="63"/>
  <c r="BB63" i="63"/>
  <c r="BA63" i="63"/>
  <c r="AY63" i="63"/>
  <c r="AZ63" i="63"/>
  <c r="AX42" i="63"/>
  <c r="BB42" i="63"/>
  <c r="AY42" i="63"/>
  <c r="AZ42" i="63"/>
  <c r="BA42" i="63"/>
  <c r="AX46" i="63"/>
  <c r="BB46" i="63"/>
  <c r="AY46" i="63"/>
  <c r="AZ46" i="63"/>
  <c r="BA46" i="63"/>
  <c r="AZ52" i="63"/>
  <c r="BA52" i="63"/>
  <c r="AX52" i="63"/>
  <c r="BB52" i="63"/>
  <c r="AY52" i="63"/>
  <c r="AY53" i="63"/>
  <c r="AX53" i="63"/>
  <c r="AZ53" i="63"/>
  <c r="BA53" i="63"/>
  <c r="BB53" i="63"/>
  <c r="AX58" i="63"/>
  <c r="BB58" i="63"/>
  <c r="BA58" i="63"/>
  <c r="AY58" i="63"/>
  <c r="AZ58" i="63"/>
  <c r="AY41" i="63"/>
  <c r="AZ41" i="63"/>
  <c r="BA41" i="63"/>
  <c r="AX41" i="63"/>
  <c r="BB41" i="63"/>
  <c r="AY45" i="63"/>
  <c r="AZ45" i="63"/>
  <c r="BA45" i="63"/>
  <c r="AX45" i="63"/>
  <c r="BB45" i="63"/>
  <c r="AY49" i="63"/>
  <c r="AZ49" i="63"/>
  <c r="BA49" i="63"/>
  <c r="AX49" i="63"/>
  <c r="BB49" i="63"/>
  <c r="AX50" i="63"/>
  <c r="BB50" i="63"/>
  <c r="BA50" i="63"/>
  <c r="AY50" i="63"/>
  <c r="AZ50" i="63"/>
  <c r="BA51" i="63"/>
  <c r="AX51" i="63"/>
  <c r="BB51" i="63"/>
  <c r="AY51" i="63"/>
  <c r="AZ51" i="63"/>
  <c r="AZ56" i="63"/>
  <c r="AY56" i="63"/>
  <c r="BA56" i="63"/>
  <c r="AX56" i="63"/>
  <c r="BB56" i="63"/>
  <c r="AY57" i="63"/>
  <c r="AZ57" i="63"/>
  <c r="BA57" i="63"/>
  <c r="AX57" i="63"/>
  <c r="BB57" i="63"/>
  <c r="AY61" i="63"/>
  <c r="BB61" i="63"/>
  <c r="AZ61" i="63"/>
  <c r="BA61" i="63"/>
  <c r="AX61" i="63"/>
  <c r="AX62" i="63"/>
  <c r="AY62" i="63"/>
  <c r="AZ62" i="63"/>
  <c r="BA62" i="63"/>
  <c r="BB62" i="63"/>
  <c r="AD31" i="63"/>
  <c r="O31" i="63" s="1"/>
  <c r="AY64" i="63"/>
  <c r="AX64" i="63"/>
  <c r="AZ64" i="63"/>
  <c r="BA64" i="63"/>
  <c r="BB64" i="63"/>
  <c r="Y79" i="63"/>
  <c r="AT43" i="63"/>
  <c r="AW57" i="63"/>
  <c r="AP40" i="63"/>
  <c r="AS40" i="63"/>
  <c r="AM40" i="63"/>
  <c r="AN49" i="63"/>
  <c r="Z84" i="63"/>
  <c r="Y84" i="63"/>
  <c r="Z92" i="63"/>
  <c r="Y92" i="63"/>
  <c r="Y96" i="63"/>
  <c r="Z4" i="63"/>
  <c r="M64" i="63" s="1"/>
  <c r="Z76" i="63"/>
  <c r="Y76" i="63"/>
  <c r="AO45" i="63"/>
  <c r="AP46" i="63"/>
  <c r="AM47" i="63"/>
  <c r="AO49" i="63"/>
  <c r="AN52" i="63"/>
  <c r="Y77" i="63"/>
  <c r="Z77" i="63"/>
  <c r="Y81" i="63"/>
  <c r="Z81" i="63"/>
  <c r="Y85" i="63"/>
  <c r="Z85" i="63"/>
  <c r="Y89" i="63"/>
  <c r="Z89" i="63"/>
  <c r="Y93" i="63"/>
  <c r="Y97" i="63"/>
  <c r="AT52" i="63"/>
  <c r="Y83" i="63"/>
  <c r="Y87" i="63"/>
  <c r="Z87" i="63"/>
  <c r="Y91" i="63"/>
  <c r="Z91" i="63"/>
  <c r="Y95" i="63"/>
  <c r="Y99" i="63"/>
  <c r="Z99" i="63"/>
  <c r="AN45" i="63"/>
  <c r="AP47" i="63"/>
  <c r="Z80" i="63"/>
  <c r="Y80" i="63"/>
  <c r="Z88" i="63"/>
  <c r="Y88" i="63"/>
  <c r="AO57" i="63"/>
  <c r="AP58" i="63"/>
  <c r="AM61" i="63"/>
  <c r="AQ61" i="63"/>
  <c r="Y78" i="63"/>
  <c r="Y82" i="63"/>
  <c r="Y86" i="63"/>
  <c r="Z86" i="63"/>
  <c r="Y90" i="63"/>
  <c r="Z90" i="63"/>
  <c r="Y94" i="63"/>
  <c r="Y98" i="63"/>
  <c r="Z98" i="63"/>
  <c r="BK41" i="63"/>
  <c r="X149" i="63"/>
  <c r="AQ53" i="63"/>
  <c r="AW41" i="63"/>
  <c r="X162" i="63"/>
  <c r="AO41" i="63"/>
  <c r="AM57" i="63"/>
  <c r="AQ57" i="63"/>
  <c r="AO61" i="63"/>
  <c r="AT44" i="63"/>
  <c r="X147" i="63"/>
  <c r="X151" i="63"/>
  <c r="X155" i="63"/>
  <c r="X159" i="63"/>
  <c r="X163" i="63"/>
  <c r="X167" i="63"/>
  <c r="AW53" i="63"/>
  <c r="AW49" i="63"/>
  <c r="X145" i="63"/>
  <c r="AM53" i="63"/>
  <c r="AU59" i="63"/>
  <c r="X146" i="63"/>
  <c r="X150" i="63"/>
  <c r="X154" i="63"/>
  <c r="X158" i="63"/>
  <c r="X166" i="63"/>
  <c r="AN40" i="63"/>
  <c r="AN57" i="63"/>
  <c r="AN60" i="63"/>
  <c r="AS47" i="63"/>
  <c r="AT63" i="63"/>
  <c r="X148" i="63"/>
  <c r="X152" i="63"/>
  <c r="X156" i="63"/>
  <c r="X160" i="63"/>
  <c r="X164" i="63"/>
  <c r="X153" i="63"/>
  <c r="X157" i="63"/>
  <c r="X161" i="63"/>
  <c r="X165" i="63"/>
  <c r="AR56" i="63"/>
  <c r="AR42" i="63"/>
  <c r="AR58" i="63"/>
  <c r="AR48" i="63"/>
  <c r="AW62" i="63"/>
  <c r="T13" i="63"/>
  <c r="AR40" i="63"/>
  <c r="AT42" i="63"/>
  <c r="AU64" i="63"/>
  <c r="AS45" i="63"/>
  <c r="AU47" i="63"/>
  <c r="AU55" i="63"/>
  <c r="AV56" i="63"/>
  <c r="AS57" i="63"/>
  <c r="AV60" i="63"/>
  <c r="AM64" i="63"/>
  <c r="AQ64" i="63"/>
  <c r="AN44" i="63"/>
  <c r="AP48" i="63"/>
  <c r="T20" i="63"/>
  <c r="AN53" i="63"/>
  <c r="AO55" i="63"/>
  <c r="AP56" i="63"/>
  <c r="AM59" i="63"/>
  <c r="AQ59" i="63"/>
  <c r="AO63" i="63"/>
  <c r="AU41" i="63"/>
  <c r="AS53" i="63"/>
  <c r="AS61" i="63"/>
  <c r="AS63" i="63"/>
  <c r="AW63" i="63"/>
  <c r="T21" i="63"/>
  <c r="T9" i="63"/>
  <c r="X4" i="63"/>
  <c r="AA70" i="63" s="1"/>
  <c r="AM41" i="63"/>
  <c r="AQ41" i="63"/>
  <c r="AM48" i="63"/>
  <c r="T17" i="63"/>
  <c r="AO53" i="63"/>
  <c r="T25" i="63"/>
  <c r="AS46" i="63"/>
  <c r="AU49" i="63"/>
  <c r="AW61" i="63"/>
  <c r="AN41" i="63"/>
  <c r="AO42" i="63"/>
  <c r="AM55" i="63"/>
  <c r="AQ55" i="63"/>
  <c r="AN56" i="63"/>
  <c r="AO59" i="63"/>
  <c r="AM63" i="63"/>
  <c r="AV46" i="63"/>
  <c r="AU40" i="63"/>
  <c r="AV45" i="63"/>
  <c r="AU48" i="63"/>
  <c r="AT51" i="63"/>
  <c r="AT61" i="63"/>
  <c r="AT50" i="63"/>
  <c r="AU51" i="63"/>
  <c r="AT53" i="63"/>
  <c r="T15" i="63"/>
  <c r="Z82" i="63" s="1"/>
  <c r="T16" i="63"/>
  <c r="Z83" i="63" s="1"/>
  <c r="T23" i="63"/>
  <c r="T11" i="63"/>
  <c r="Z78" i="63" s="1"/>
  <c r="T19" i="63"/>
  <c r="T27" i="63"/>
  <c r="Z94" i="63" s="1"/>
  <c r="AU63" i="63"/>
  <c r="Z31" i="63"/>
  <c r="K31" i="63" s="1"/>
  <c r="AM62" i="63" s="1"/>
  <c r="AQ44" i="63"/>
  <c r="AU52" i="63"/>
  <c r="AB31" i="63"/>
  <c r="M31" i="63" s="1"/>
  <c r="AO62" i="63" s="1"/>
  <c r="AT45" i="63"/>
  <c r="AT57" i="63"/>
  <c r="AR45" i="63"/>
  <c r="S14" i="63"/>
  <c r="T14" i="63" s="1"/>
  <c r="AR53" i="63"/>
  <c r="S22" i="63"/>
  <c r="T22" i="63" s="1"/>
  <c r="AR57" i="63"/>
  <c r="S26" i="63"/>
  <c r="T26" i="63" s="1"/>
  <c r="Z93" i="63" s="1"/>
  <c r="AR49" i="63"/>
  <c r="AR50" i="63"/>
  <c r="T10" i="63"/>
  <c r="T12" i="63"/>
  <c r="Z79" i="63" s="1"/>
  <c r="T18" i="63"/>
  <c r="T24" i="63"/>
  <c r="T28" i="63"/>
  <c r="Z95" i="63" s="1"/>
  <c r="AC31" i="63"/>
  <c r="N31" i="63" s="1"/>
  <c r="Z27" i="76" s="1"/>
  <c r="AU42" i="63"/>
  <c r="AQ42" i="63"/>
  <c r="AM42" i="63"/>
  <c r="AV42" i="63"/>
  <c r="AP42" i="63"/>
  <c r="AS42" i="63"/>
  <c r="AN42" i="63"/>
  <c r="AW42" i="63"/>
  <c r="AV43" i="63"/>
  <c r="AR43" i="63"/>
  <c r="AN43" i="63"/>
  <c r="AU43" i="63"/>
  <c r="AP43" i="63"/>
  <c r="AS43" i="63"/>
  <c r="AM43" i="63"/>
  <c r="AW43" i="63"/>
  <c r="AW44" i="63"/>
  <c r="AS44" i="63"/>
  <c r="AO44" i="63"/>
  <c r="AU44" i="63"/>
  <c r="AP44" i="63"/>
  <c r="AR44" i="63"/>
  <c r="AM44" i="63"/>
  <c r="AV44" i="63"/>
  <c r="AR61" i="63"/>
  <c r="S30" i="63"/>
  <c r="T30" i="63" s="1"/>
  <c r="Z97" i="63" s="1"/>
  <c r="AU50" i="63"/>
  <c r="AQ50" i="63"/>
  <c r="AM50" i="63"/>
  <c r="AS50" i="63"/>
  <c r="AN50" i="63"/>
  <c r="AW50" i="63"/>
  <c r="AV50" i="63"/>
  <c r="AP50" i="63"/>
  <c r="S29" i="63"/>
  <c r="T29" i="63" s="1"/>
  <c r="Z96" i="63" s="1"/>
  <c r="AR60" i="63"/>
  <c r="AA31" i="63"/>
  <c r="L31" i="63" s="1"/>
  <c r="AN62" i="63" s="1"/>
  <c r="AQ63" i="63"/>
  <c r="AR41" i="63"/>
  <c r="AQ43" i="63"/>
  <c r="AO50" i="63"/>
  <c r="AW54" i="63"/>
  <c r="AS54" i="63"/>
  <c r="AO54" i="63"/>
  <c r="AU54" i="63"/>
  <c r="AQ54" i="63"/>
  <c r="AM54" i="63"/>
  <c r="AT54" i="63"/>
  <c r="AS62" i="63"/>
  <c r="AU62" i="63"/>
  <c r="AT62" i="63"/>
  <c r="AT64" i="63"/>
  <c r="AP64" i="63"/>
  <c r="AV64" i="63"/>
  <c r="AR64" i="63"/>
  <c r="AN64" i="63"/>
  <c r="AT40" i="63"/>
  <c r="AS41" i="63"/>
  <c r="AW45" i="63"/>
  <c r="AU46" i="63"/>
  <c r="AQ46" i="63"/>
  <c r="AM46" i="63"/>
  <c r="AR46" i="63"/>
  <c r="AW46" i="63"/>
  <c r="AV47" i="63"/>
  <c r="AR47" i="63"/>
  <c r="AN47" i="63"/>
  <c r="AQ47" i="63"/>
  <c r="AW47" i="63"/>
  <c r="AW48" i="63"/>
  <c r="AS48" i="63"/>
  <c r="AO48" i="63"/>
  <c r="AQ48" i="63"/>
  <c r="AV48" i="63"/>
  <c r="AT49" i="63"/>
  <c r="AV49" i="63"/>
  <c r="AP51" i="63"/>
  <c r="AP52" i="63"/>
  <c r="AN54" i="63"/>
  <c r="AV54" i="63"/>
  <c r="AT55" i="63"/>
  <c r="AS55" i="63"/>
  <c r="AU57" i="63"/>
  <c r="AW59" i="63"/>
  <c r="AU60" i="63"/>
  <c r="AQ60" i="63"/>
  <c r="AM60" i="63"/>
  <c r="AW60" i="63"/>
  <c r="AS60" i="63"/>
  <c r="AO60" i="63"/>
  <c r="AT60" i="63"/>
  <c r="AV62" i="63"/>
  <c r="AS64" i="63"/>
  <c r="AV51" i="63"/>
  <c r="AR51" i="63"/>
  <c r="AN51" i="63"/>
  <c r="AQ51" i="63"/>
  <c r="AW51" i="63"/>
  <c r="AW52" i="63"/>
  <c r="AS52" i="63"/>
  <c r="AO52" i="63"/>
  <c r="AQ52" i="63"/>
  <c r="AV52" i="63"/>
  <c r="AP54" i="63"/>
  <c r="AW58" i="63"/>
  <c r="AS58" i="63"/>
  <c r="AO58" i="63"/>
  <c r="AU58" i="63"/>
  <c r="AQ58" i="63"/>
  <c r="AM58" i="63"/>
  <c r="AT58" i="63"/>
  <c r="AP62" i="63"/>
  <c r="AV61" i="63"/>
  <c r="AV57" i="63"/>
  <c r="AV53" i="63"/>
  <c r="AW40" i="63"/>
  <c r="AO40" i="63"/>
  <c r="AQ40" i="63"/>
  <c r="AV40" i="63"/>
  <c r="AT41" i="63"/>
  <c r="AV41" i="63"/>
  <c r="AU45" i="63"/>
  <c r="AO46" i="63"/>
  <c r="AT46" i="63"/>
  <c r="AO47" i="63"/>
  <c r="AT47" i="63"/>
  <c r="AN48" i="63"/>
  <c r="AT48" i="63"/>
  <c r="AS49" i="63"/>
  <c r="AM51" i="63"/>
  <c r="AS51" i="63"/>
  <c r="AM52" i="63"/>
  <c r="AR52" i="63"/>
  <c r="AU53" i="63"/>
  <c r="AR54" i="63"/>
  <c r="AA63" i="63"/>
  <c r="AW55" i="63"/>
  <c r="AU56" i="63"/>
  <c r="AQ56" i="63"/>
  <c r="AM56" i="63"/>
  <c r="AW56" i="63"/>
  <c r="AS56" i="63"/>
  <c r="AO56" i="63"/>
  <c r="AT56" i="63"/>
  <c r="AN58" i="63"/>
  <c r="AV58" i="63"/>
  <c r="AT59" i="63"/>
  <c r="AS59" i="63"/>
  <c r="AP60" i="63"/>
  <c r="AU61" i="63"/>
  <c r="AO64" i="63"/>
  <c r="AW64" i="63"/>
  <c r="AP41" i="63"/>
  <c r="AP45" i="63"/>
  <c r="AP49" i="63"/>
  <c r="AP53" i="63"/>
  <c r="AN55" i="63"/>
  <c r="AR55" i="63"/>
  <c r="AV55" i="63"/>
  <c r="AP57" i="63"/>
  <c r="AN59" i="63"/>
  <c r="AR59" i="63"/>
  <c r="AV59" i="63"/>
  <c r="AP61" i="63"/>
  <c r="AN63" i="63"/>
  <c r="AR63" i="63"/>
  <c r="AV63" i="63"/>
  <c r="AP55" i="63"/>
  <c r="AP59" i="63"/>
  <c r="AP63" i="63"/>
  <c r="BL46" i="63" l="1"/>
  <c r="BI59" i="63"/>
  <c r="BK49" i="63"/>
  <c r="BH45" i="63"/>
  <c r="BH42" i="63"/>
  <c r="BH52" i="63"/>
  <c r="BL41" i="63"/>
  <c r="BK44" i="63"/>
  <c r="BH49" i="63"/>
  <c r="BJ40" i="63"/>
  <c r="BI40" i="63"/>
  <c r="BJ42" i="63"/>
  <c r="BK47" i="63"/>
  <c r="BK48" i="63"/>
  <c r="BK62" i="63"/>
  <c r="BL57" i="63"/>
  <c r="BH57" i="63"/>
  <c r="BJ56" i="63"/>
  <c r="BL51" i="63"/>
  <c r="BH64" i="63"/>
  <c r="BH54" i="63"/>
  <c r="BK54" i="63"/>
  <c r="BL58" i="63"/>
  <c r="BI53" i="63"/>
  <c r="BK52" i="63"/>
  <c r="BH63" i="63"/>
  <c r="BI55" i="63"/>
  <c r="BL55" i="63"/>
  <c r="BI62" i="63"/>
  <c r="BJ61" i="63"/>
  <c r="BK57" i="63"/>
  <c r="BL50" i="63"/>
  <c r="BK50" i="63"/>
  <c r="BJ45" i="63"/>
  <c r="BL54" i="63"/>
  <c r="BJ58" i="63"/>
  <c r="BJ53" i="63"/>
  <c r="BK46" i="63"/>
  <c r="BI63" i="63"/>
  <c r="BH59" i="63"/>
  <c r="BL47" i="63"/>
  <c r="BJ47" i="63"/>
  <c r="BH55" i="63"/>
  <c r="BK55" i="63"/>
  <c r="BJ55" i="63"/>
  <c r="BJ48" i="63"/>
  <c r="BI44" i="63"/>
  <c r="BL62" i="63"/>
  <c r="BI61" i="63"/>
  <c r="BL61" i="63"/>
  <c r="BH56" i="63"/>
  <c r="BJ51" i="63"/>
  <c r="BJ50" i="63"/>
  <c r="BI49" i="63"/>
  <c r="BI45" i="63"/>
  <c r="BL45" i="63"/>
  <c r="BJ41" i="63"/>
  <c r="BL64" i="63"/>
  <c r="BJ64" i="63"/>
  <c r="BJ43" i="63"/>
  <c r="BL43" i="63"/>
  <c r="BL60" i="63"/>
  <c r="BH40" i="63"/>
  <c r="BI58" i="63"/>
  <c r="BK58" i="63"/>
  <c r="BH53" i="63"/>
  <c r="BL52" i="63"/>
  <c r="BI52" i="63"/>
  <c r="BI46" i="63"/>
  <c r="BH46" i="63"/>
  <c r="BL42" i="63"/>
  <c r="BI42" i="63"/>
  <c r="BK42" i="63"/>
  <c r="BJ63" i="63"/>
  <c r="BK63" i="63"/>
  <c r="BK59" i="63"/>
  <c r="BH47" i="63"/>
  <c r="BL48" i="63"/>
  <c r="BH48" i="63"/>
  <c r="BH44" i="63"/>
  <c r="BL44" i="63"/>
  <c r="BH61" i="63"/>
  <c r="BJ57" i="63"/>
  <c r="BL56" i="63"/>
  <c r="BH51" i="63"/>
  <c r="BI64" i="63"/>
  <c r="BI54" i="63"/>
  <c r="BH60" i="63"/>
  <c r="BH58" i="63"/>
  <c r="BJ59" i="63"/>
  <c r="BK61" i="63"/>
  <c r="BI56" i="63"/>
  <c r="BH50" i="63"/>
  <c r="BJ49" i="63"/>
  <c r="BH43" i="63"/>
  <c r="BK43" i="63"/>
  <c r="BJ60" i="63"/>
  <c r="BI60" i="63"/>
  <c r="BK53" i="63"/>
  <c r="BJ62" i="63"/>
  <c r="BH62" i="63"/>
  <c r="BI57" i="63"/>
  <c r="BK56" i="63"/>
  <c r="BK51" i="63"/>
  <c r="BI51" i="63"/>
  <c r="BI50" i="63"/>
  <c r="BL49" i="63"/>
  <c r="BK45" i="63"/>
  <c r="BI41" i="63"/>
  <c r="BH41" i="63"/>
  <c r="BK64" i="63"/>
  <c r="BJ54" i="63"/>
  <c r="BI43" i="63"/>
  <c r="BK60" i="63"/>
  <c r="BK40" i="63"/>
  <c r="BL40" i="63"/>
  <c r="BL53" i="63"/>
  <c r="BJ52" i="63"/>
  <c r="BJ46" i="63"/>
  <c r="BL63" i="63"/>
  <c r="BL59" i="63"/>
  <c r="BI47" i="63"/>
  <c r="BI48" i="63"/>
  <c r="BJ44" i="63"/>
  <c r="AL64" i="63"/>
  <c r="X40" i="63"/>
  <c r="Z40" i="63" s="1"/>
  <c r="Z70" i="63"/>
  <c r="Y70" i="63"/>
  <c r="AB70" i="63"/>
  <c r="AC70" i="63"/>
  <c r="X70" i="63"/>
  <c r="AQ62" i="63"/>
  <c r="Y40" i="63" l="1"/>
  <c r="D111" i="62"/>
  <c r="E111" i="62"/>
  <c r="F111" i="62"/>
  <c r="G111" i="62"/>
  <c r="H111" i="62"/>
  <c r="D112" i="62"/>
  <c r="E112" i="62"/>
  <c r="F112" i="62"/>
  <c r="G112" i="62"/>
  <c r="H112" i="62"/>
  <c r="D113" i="62"/>
  <c r="E113" i="62"/>
  <c r="F113" i="62"/>
  <c r="G113" i="62"/>
  <c r="H113" i="62"/>
  <c r="D114" i="62"/>
  <c r="E114" i="62"/>
  <c r="F114" i="62"/>
  <c r="G114" i="62"/>
  <c r="H114" i="62"/>
  <c r="D115" i="62"/>
  <c r="E115" i="62"/>
  <c r="F115" i="62"/>
  <c r="G115" i="62"/>
  <c r="H115" i="62"/>
  <c r="D116" i="62"/>
  <c r="E116" i="62"/>
  <c r="F116" i="62"/>
  <c r="G116" i="62"/>
  <c r="H116" i="62"/>
  <c r="D117" i="62"/>
  <c r="E117" i="62"/>
  <c r="F117" i="62"/>
  <c r="G117" i="62"/>
  <c r="H117" i="62"/>
  <c r="D118" i="62"/>
  <c r="E118" i="62"/>
  <c r="F118" i="62"/>
  <c r="G118" i="62"/>
  <c r="H118" i="62"/>
  <c r="D119" i="62"/>
  <c r="E119" i="62"/>
  <c r="F119" i="62"/>
  <c r="G119" i="62"/>
  <c r="H119" i="62"/>
  <c r="D120" i="62"/>
  <c r="E120" i="62"/>
  <c r="F120" i="62"/>
  <c r="G120" i="62"/>
  <c r="H120" i="62"/>
  <c r="D121" i="62"/>
  <c r="E121" i="62"/>
  <c r="F121" i="62"/>
  <c r="G121" i="62"/>
  <c r="H121" i="62"/>
  <c r="D122" i="62"/>
  <c r="E122" i="62"/>
  <c r="F122" i="62"/>
  <c r="G122" i="62"/>
  <c r="H122" i="62"/>
  <c r="D123" i="62"/>
  <c r="E123" i="62"/>
  <c r="F123" i="62"/>
  <c r="G123" i="62"/>
  <c r="H123" i="62"/>
  <c r="D124" i="62"/>
  <c r="E124" i="62"/>
  <c r="F124" i="62"/>
  <c r="G124" i="62"/>
  <c r="H124" i="62"/>
  <c r="D125" i="62"/>
  <c r="E125" i="62"/>
  <c r="F125" i="62"/>
  <c r="G125" i="62"/>
  <c r="H125" i="62"/>
  <c r="D126" i="62"/>
  <c r="E126" i="62"/>
  <c r="F126" i="62"/>
  <c r="G126" i="62"/>
  <c r="H126" i="62"/>
  <c r="D127" i="62"/>
  <c r="E127" i="62"/>
  <c r="F127" i="62"/>
  <c r="G127" i="62"/>
  <c r="H127" i="62"/>
  <c r="D128" i="62"/>
  <c r="E128" i="62"/>
  <c r="F128" i="62"/>
  <c r="G128" i="62"/>
  <c r="H128" i="62"/>
  <c r="D129" i="62"/>
  <c r="E129" i="62"/>
  <c r="F129" i="62"/>
  <c r="G129" i="62"/>
  <c r="H129" i="62"/>
  <c r="D130" i="62"/>
  <c r="E130" i="62"/>
  <c r="F130" i="62"/>
  <c r="G130" i="62"/>
  <c r="H130" i="62"/>
  <c r="D131" i="62"/>
  <c r="E131" i="62"/>
  <c r="F131" i="62"/>
  <c r="G131" i="62"/>
  <c r="H131" i="62"/>
  <c r="D133" i="62"/>
  <c r="E133" i="62"/>
  <c r="F133" i="62"/>
  <c r="G133" i="62"/>
  <c r="H133" i="62"/>
  <c r="E110" i="62"/>
  <c r="F110" i="62"/>
  <c r="G110" i="62"/>
  <c r="H110" i="62"/>
  <c r="B133" i="62"/>
  <c r="B132" i="62"/>
  <c r="B131" i="62"/>
  <c r="A131" i="62" s="1"/>
  <c r="B130" i="62"/>
  <c r="A130" i="62" s="1"/>
  <c r="B129" i="62"/>
  <c r="A129" i="62" s="1"/>
  <c r="B128" i="62"/>
  <c r="A128" i="62" s="1"/>
  <c r="B127" i="62"/>
  <c r="A127" i="62" s="1"/>
  <c r="B126" i="62"/>
  <c r="A126" i="62" s="1"/>
  <c r="B125" i="62"/>
  <c r="A125" i="62" s="1"/>
  <c r="B124" i="62"/>
  <c r="A124" i="62" s="1"/>
  <c r="B123" i="62"/>
  <c r="A123" i="62" s="1"/>
  <c r="B122" i="62"/>
  <c r="A122" i="62" s="1"/>
  <c r="B121" i="62"/>
  <c r="A121" i="62" s="1"/>
  <c r="B120" i="62"/>
  <c r="A120" i="62" s="1"/>
  <c r="B119" i="62"/>
  <c r="A119" i="62" s="1"/>
  <c r="B118" i="62"/>
  <c r="A118" i="62" s="1"/>
  <c r="B117" i="62"/>
  <c r="A117" i="62" s="1"/>
  <c r="B116" i="62"/>
  <c r="A116" i="62" s="1"/>
  <c r="B115" i="62"/>
  <c r="A115" i="62" s="1"/>
  <c r="B114" i="62"/>
  <c r="A114" i="62" s="1"/>
  <c r="B113" i="62"/>
  <c r="A113" i="62" s="1"/>
  <c r="B112" i="62"/>
  <c r="A112" i="62" s="1"/>
  <c r="B111" i="62"/>
  <c r="A111" i="62" s="1"/>
  <c r="B110" i="62"/>
  <c r="A110" i="62" s="1"/>
  <c r="X99" i="62"/>
  <c r="X98" i="62"/>
  <c r="X97" i="62"/>
  <c r="X96" i="62"/>
  <c r="X95" i="62"/>
  <c r="X94" i="62"/>
  <c r="X93" i="62"/>
  <c r="X92" i="62"/>
  <c r="X91" i="62"/>
  <c r="X90" i="62"/>
  <c r="X89" i="62"/>
  <c r="X88" i="62"/>
  <c r="X87" i="62"/>
  <c r="X86" i="62"/>
  <c r="X85" i="62"/>
  <c r="X84" i="62"/>
  <c r="X83" i="62"/>
  <c r="X82" i="62"/>
  <c r="X81" i="62"/>
  <c r="X80" i="62"/>
  <c r="X79" i="62"/>
  <c r="X78" i="62"/>
  <c r="X77" i="62"/>
  <c r="X76" i="62"/>
  <c r="AB69" i="62"/>
  <c r="AA69" i="62"/>
  <c r="Z69" i="62"/>
  <c r="Y69" i="62"/>
  <c r="X69" i="62"/>
  <c r="AB66" i="62"/>
  <c r="X66" i="62"/>
  <c r="AB65" i="62"/>
  <c r="AB64" i="62"/>
  <c r="AA64" i="62"/>
  <c r="Y64" i="62"/>
  <c r="AK63" i="62"/>
  <c r="AQ63" i="62" s="1"/>
  <c r="Y63" i="62"/>
  <c r="AK62" i="62"/>
  <c r="AA62" i="62"/>
  <c r="Y62" i="62"/>
  <c r="AK61" i="62"/>
  <c r="AA61" i="62"/>
  <c r="Y61" i="62"/>
  <c r="AK60" i="62"/>
  <c r="AA60" i="62"/>
  <c r="Y60" i="62"/>
  <c r="AK59" i="62"/>
  <c r="AA59" i="62"/>
  <c r="Y59" i="62"/>
  <c r="AK58" i="62"/>
  <c r="AA58" i="62"/>
  <c r="Y58" i="62"/>
  <c r="AK57" i="62"/>
  <c r="AA57" i="62"/>
  <c r="Y57" i="62"/>
  <c r="AK56" i="62"/>
  <c r="AA56" i="62"/>
  <c r="Y56" i="62"/>
  <c r="AK55" i="62"/>
  <c r="AA55" i="62"/>
  <c r="Y55" i="62"/>
  <c r="AK54" i="62"/>
  <c r="AA54" i="62"/>
  <c r="Y54" i="62"/>
  <c r="AK53" i="62"/>
  <c r="AA53" i="62"/>
  <c r="Y53" i="62"/>
  <c r="AK52" i="62"/>
  <c r="AA52" i="62"/>
  <c r="Y52" i="62"/>
  <c r="AK51" i="62"/>
  <c r="AA51" i="62"/>
  <c r="Y51" i="62"/>
  <c r="AK50" i="62"/>
  <c r="AA50" i="62"/>
  <c r="Y50" i="62"/>
  <c r="AK49" i="62"/>
  <c r="AA49" i="62"/>
  <c r="Y49" i="62"/>
  <c r="AK48" i="62"/>
  <c r="AA48" i="62"/>
  <c r="Y48" i="62"/>
  <c r="AK47" i="62"/>
  <c r="AA47" i="62"/>
  <c r="Y47" i="62"/>
  <c r="AK46" i="62"/>
  <c r="AA46" i="62"/>
  <c r="Y46" i="62"/>
  <c r="AK45" i="62"/>
  <c r="AA45" i="62"/>
  <c r="Y45" i="62"/>
  <c r="AK44" i="62"/>
  <c r="AA44" i="62"/>
  <c r="Y44" i="62"/>
  <c r="AK43" i="62"/>
  <c r="AA43" i="62"/>
  <c r="Y43" i="62"/>
  <c r="AK42" i="62"/>
  <c r="AA42" i="62"/>
  <c r="Y42" i="62"/>
  <c r="AK41" i="62"/>
  <c r="AA41" i="62"/>
  <c r="Y41" i="62"/>
  <c r="AK40" i="62"/>
  <c r="AV39" i="62"/>
  <c r="AU39" i="62"/>
  <c r="AT39" i="62"/>
  <c r="AS39" i="62"/>
  <c r="AR39" i="62"/>
  <c r="AP39" i="62"/>
  <c r="AO39" i="62"/>
  <c r="AN39" i="62"/>
  <c r="AM39" i="62"/>
  <c r="AL39" i="62"/>
  <c r="AD32" i="62"/>
  <c r="AC32" i="62"/>
  <c r="AB32" i="62"/>
  <c r="AA32" i="62"/>
  <c r="Z32" i="62"/>
  <c r="X32" i="62"/>
  <c r="X31" i="62"/>
  <c r="G132" i="62"/>
  <c r="AB31" i="62"/>
  <c r="M31" i="62" s="1"/>
  <c r="AD30" i="62"/>
  <c r="AC30" i="62"/>
  <c r="AB30" i="62"/>
  <c r="AA30" i="62"/>
  <c r="Z30" i="62"/>
  <c r="X30" i="62"/>
  <c r="R30" i="62"/>
  <c r="S30" i="62" s="1"/>
  <c r="AN61" i="62"/>
  <c r="AD29" i="62"/>
  <c r="AC29" i="62"/>
  <c r="AB29" i="62"/>
  <c r="AA29" i="62"/>
  <c r="Z29" i="62"/>
  <c r="X29" i="62"/>
  <c r="R29" i="62"/>
  <c r="AN60" i="62"/>
  <c r="AM60" i="62"/>
  <c r="AD28" i="62"/>
  <c r="AC28" i="62"/>
  <c r="AB28" i="62"/>
  <c r="AA28" i="62"/>
  <c r="Z28" i="62"/>
  <c r="X28" i="62"/>
  <c r="R28" i="62"/>
  <c r="AD27" i="62"/>
  <c r="AC27" i="62"/>
  <c r="AB27" i="62"/>
  <c r="AA27" i="62"/>
  <c r="Z27" i="62"/>
  <c r="X27" i="62"/>
  <c r="R27" i="62"/>
  <c r="S27" i="62" s="1"/>
  <c r="AD26" i="62"/>
  <c r="AC26" i="62"/>
  <c r="AB26" i="62"/>
  <c r="AA26" i="62"/>
  <c r="Z26" i="62"/>
  <c r="X26" i="62"/>
  <c r="R26" i="62"/>
  <c r="S26" i="62" s="1"/>
  <c r="AD25" i="62"/>
  <c r="AC25" i="62"/>
  <c r="AB25" i="62"/>
  <c r="AA25" i="62"/>
  <c r="Z25" i="62"/>
  <c r="X25" i="62"/>
  <c r="R25" i="62"/>
  <c r="S25" i="62" s="1"/>
  <c r="AM56" i="62"/>
  <c r="AD24" i="62"/>
  <c r="AC24" i="62"/>
  <c r="AB24" i="62"/>
  <c r="AA24" i="62"/>
  <c r="Z24" i="62"/>
  <c r="X24" i="62"/>
  <c r="R24" i="62"/>
  <c r="AP55" i="62"/>
  <c r="AN55" i="62"/>
  <c r="AM55" i="62"/>
  <c r="AL55" i="62"/>
  <c r="AD23" i="62"/>
  <c r="AC23" i="62"/>
  <c r="AB23" i="62"/>
  <c r="AA23" i="62"/>
  <c r="Z23" i="62"/>
  <c r="X23" i="62"/>
  <c r="R23" i="62"/>
  <c r="S23" i="62" s="1"/>
  <c r="AD22" i="62"/>
  <c r="AC22" i="62"/>
  <c r="AB22" i="62"/>
  <c r="AA22" i="62"/>
  <c r="Z22" i="62"/>
  <c r="X22" i="62"/>
  <c r="R22" i="62"/>
  <c r="S22" i="62" s="1"/>
  <c r="AD21" i="62"/>
  <c r="AC21" i="62"/>
  <c r="AB21" i="62"/>
  <c r="AA21" i="62"/>
  <c r="Z21" i="62"/>
  <c r="X21" i="62"/>
  <c r="R21" i="62"/>
  <c r="S21" i="62" s="1"/>
  <c r="AD20" i="62"/>
  <c r="AC20" i="62"/>
  <c r="AB20" i="62"/>
  <c r="AA20" i="62"/>
  <c r="Z20" i="62"/>
  <c r="X20" i="62"/>
  <c r="R20" i="62"/>
  <c r="AN51" i="62"/>
  <c r="AD19" i="62"/>
  <c r="AC19" i="62"/>
  <c r="AB19" i="62"/>
  <c r="AA19" i="62"/>
  <c r="Z19" i="62"/>
  <c r="X19" i="62"/>
  <c r="R19" i="62"/>
  <c r="AL50" i="62"/>
  <c r="AD18" i="62"/>
  <c r="AC18" i="62"/>
  <c r="AB18" i="62"/>
  <c r="AA18" i="62"/>
  <c r="Z18" i="62"/>
  <c r="X18" i="62"/>
  <c r="R18" i="62"/>
  <c r="S18" i="62" s="1"/>
  <c r="AL49" i="62"/>
  <c r="AD17" i="62"/>
  <c r="AC17" i="62"/>
  <c r="AB17" i="62"/>
  <c r="AA17" i="62"/>
  <c r="Z17" i="62"/>
  <c r="X17" i="62"/>
  <c r="R17" i="62"/>
  <c r="S17" i="62" s="1"/>
  <c r="AN48" i="62"/>
  <c r="AM48" i="62"/>
  <c r="AD16" i="62"/>
  <c r="AC16" i="62"/>
  <c r="AB16" i="62"/>
  <c r="AA16" i="62"/>
  <c r="Z16" i="62"/>
  <c r="X16" i="62"/>
  <c r="R16" i="62"/>
  <c r="AN47" i="62"/>
  <c r="AD15" i="62"/>
  <c r="AC15" i="62"/>
  <c r="AB15" i="62"/>
  <c r="AA15" i="62"/>
  <c r="Z15" i="62"/>
  <c r="X15" i="62"/>
  <c r="R15" i="62"/>
  <c r="S15" i="62" s="1"/>
  <c r="AD14" i="62"/>
  <c r="AC14" i="62"/>
  <c r="AB14" i="62"/>
  <c r="AA14" i="62"/>
  <c r="Z14" i="62"/>
  <c r="X14" i="62"/>
  <c r="R14" i="62"/>
  <c r="S14" i="62" s="1"/>
  <c r="AD13" i="62"/>
  <c r="AC13" i="62"/>
  <c r="AB13" i="62"/>
  <c r="AA13" i="62"/>
  <c r="Z13" i="62"/>
  <c r="X13" i="62"/>
  <c r="R13" i="62"/>
  <c r="S13" i="62" s="1"/>
  <c r="AD12" i="62"/>
  <c r="AC12" i="62"/>
  <c r="AB12" i="62"/>
  <c r="AA12" i="62"/>
  <c r="Z12" i="62"/>
  <c r="X12" i="62"/>
  <c r="R12" i="62"/>
  <c r="S12" i="62" s="1"/>
  <c r="AD11" i="62"/>
  <c r="AC11" i="62"/>
  <c r="AB11" i="62"/>
  <c r="AA11" i="62"/>
  <c r="Z11" i="62"/>
  <c r="X11" i="62"/>
  <c r="R11" i="62"/>
  <c r="S11" i="62" s="1"/>
  <c r="AD10" i="62"/>
  <c r="AC10" i="62"/>
  <c r="AB10" i="62"/>
  <c r="AA10" i="62"/>
  <c r="Z10" i="62"/>
  <c r="X10" i="62"/>
  <c r="R10" i="62"/>
  <c r="S10" i="62" s="1"/>
  <c r="AD9" i="62"/>
  <c r="AC9" i="62"/>
  <c r="AB9" i="62"/>
  <c r="AA9" i="62"/>
  <c r="Z9" i="62"/>
  <c r="X9" i="62"/>
  <c r="R9" i="62"/>
  <c r="S9" i="62" s="1"/>
  <c r="AD8" i="62"/>
  <c r="AC8" i="62"/>
  <c r="AB8" i="62"/>
  <c r="AA8" i="62"/>
  <c r="Z8" i="62"/>
  <c r="AN52" i="62" l="1"/>
  <c r="AM51" i="62"/>
  <c r="AO53" i="62"/>
  <c r="AR51" i="62"/>
  <c r="AT45" i="62"/>
  <c r="AU44" i="62"/>
  <c r="AN49" i="62"/>
  <c r="AM50" i="62"/>
  <c r="AL51" i="62"/>
  <c r="AP51" i="62"/>
  <c r="AN56" i="62"/>
  <c r="AO49" i="62"/>
  <c r="AO61" i="62"/>
  <c r="AL43" i="62"/>
  <c r="AO48" i="62"/>
  <c r="AO50" i="62"/>
  <c r="AM43" i="62"/>
  <c r="AL59" i="62"/>
  <c r="AS49" i="62"/>
  <c r="AU43" i="62"/>
  <c r="AN43" i="62"/>
  <c r="AO46" i="62"/>
  <c r="AL47" i="62"/>
  <c r="AP47" i="62"/>
  <c r="AO58" i="62"/>
  <c r="AM59" i="62"/>
  <c r="AM63" i="62"/>
  <c r="AP59" i="62"/>
  <c r="AM47" i="62"/>
  <c r="AM52" i="62"/>
  <c r="AN53" i="62"/>
  <c r="AL58" i="62"/>
  <c r="AP58" i="62"/>
  <c r="AN59" i="62"/>
  <c r="AN63" i="62"/>
  <c r="AU52" i="62"/>
  <c r="AD31" i="62"/>
  <c r="O31" i="62" s="1"/>
  <c r="Z26" i="76" s="1"/>
  <c r="T18" i="62"/>
  <c r="T21" i="62"/>
  <c r="T10" i="62"/>
  <c r="AQ60" i="62"/>
  <c r="S29" i="62"/>
  <c r="AQ55" i="62"/>
  <c r="S24" i="62"/>
  <c r="T24" i="62" s="1"/>
  <c r="AQ40" i="62"/>
  <c r="AQ59" i="62"/>
  <c r="S28" i="62"/>
  <c r="T28" i="62" s="1"/>
  <c r="AQ47" i="62"/>
  <c r="S16" i="62"/>
  <c r="T16" i="62" s="1"/>
  <c r="Z83" i="62" s="1"/>
  <c r="AQ50" i="62"/>
  <c r="S19" i="62"/>
  <c r="T19" i="62" s="1"/>
  <c r="T11" i="62"/>
  <c r="AQ51" i="62"/>
  <c r="S20" i="62"/>
  <c r="T20" i="62" s="1"/>
  <c r="AL63" i="62"/>
  <c r="AP63" i="62"/>
  <c r="Z80" i="62"/>
  <c r="Z84" i="62"/>
  <c r="Z88" i="62"/>
  <c r="Z92" i="62"/>
  <c r="Z76" i="62"/>
  <c r="Z87" i="62"/>
  <c r="Z91" i="62"/>
  <c r="Z95" i="62"/>
  <c r="Z99" i="62"/>
  <c r="Z77" i="62"/>
  <c r="Z81" i="62"/>
  <c r="Z85" i="62"/>
  <c r="Z89" i="62"/>
  <c r="Z78" i="62"/>
  <c r="Z86" i="62"/>
  <c r="Z90" i="62"/>
  <c r="Z98" i="62"/>
  <c r="Y86" i="62"/>
  <c r="Y97" i="62"/>
  <c r="Z4" i="62"/>
  <c r="M64" i="62" s="1"/>
  <c r="AP64" i="62"/>
  <c r="Y76" i="62"/>
  <c r="Y83" i="62"/>
  <c r="Y87" i="62"/>
  <c r="Y94" i="62"/>
  <c r="Y81" i="62"/>
  <c r="Y84" i="62"/>
  <c r="Y91" i="62"/>
  <c r="Y95" i="62"/>
  <c r="AQ64" i="62"/>
  <c r="Y78" i="62"/>
  <c r="Y89" i="62"/>
  <c r="Y99" i="62"/>
  <c r="AP43" i="62"/>
  <c r="T9" i="62"/>
  <c r="T22" i="62"/>
  <c r="T23" i="62"/>
  <c r="T30" i="62"/>
  <c r="Z97" i="62" s="1"/>
  <c r="F132" i="62"/>
  <c r="AT62" i="62" s="1"/>
  <c r="AR62" i="62"/>
  <c r="AA31" i="62"/>
  <c r="L31" i="62" s="1"/>
  <c r="E132" i="62"/>
  <c r="AS62" i="62" s="1"/>
  <c r="T14" i="62"/>
  <c r="T15" i="62"/>
  <c r="Z82" i="62" s="1"/>
  <c r="T26" i="62"/>
  <c r="Z93" i="62" s="1"/>
  <c r="AS43" i="62"/>
  <c r="AS63" i="62"/>
  <c r="AN62" i="62"/>
  <c r="AP42" i="62"/>
  <c r="AO45" i="62"/>
  <c r="Z31" i="62"/>
  <c r="K31" i="62" s="1"/>
  <c r="AL62" i="62" s="1"/>
  <c r="AU41" i="62"/>
  <c r="AQ41" i="62"/>
  <c r="AM41" i="62"/>
  <c r="AT41" i="62"/>
  <c r="AO41" i="62"/>
  <c r="AS41" i="62"/>
  <c r="AN41" i="62"/>
  <c r="AV41" i="62"/>
  <c r="AA63" i="62"/>
  <c r="AV63" i="62"/>
  <c r="AR63" i="62"/>
  <c r="AV59" i="62"/>
  <c r="AR59" i="62"/>
  <c r="AV55" i="62"/>
  <c r="AR55" i="62"/>
  <c r="AV60" i="62"/>
  <c r="AT58" i="62"/>
  <c r="AR56" i="62"/>
  <c r="AU55" i="62"/>
  <c r="AV51" i="62"/>
  <c r="AR49" i="62"/>
  <c r="AR48" i="62"/>
  <c r="AR47" i="62"/>
  <c r="AT43" i="62"/>
  <c r="AT63" i="62"/>
  <c r="AR60" i="62"/>
  <c r="AU59" i="62"/>
  <c r="AV56" i="62"/>
  <c r="AS52" i="62"/>
  <c r="AU48" i="62"/>
  <c r="AU47" i="62"/>
  <c r="AU63" i="62"/>
  <c r="AU60" i="62"/>
  <c r="AT55" i="62"/>
  <c r="AU51" i="62"/>
  <c r="AV47" i="62"/>
  <c r="AR43" i="62"/>
  <c r="AT51" i="62"/>
  <c r="AT50" i="62"/>
  <c r="AT49" i="62"/>
  <c r="AT64" i="62"/>
  <c r="AC31" i="62"/>
  <c r="N31" i="62" s="1"/>
  <c r="AO62" i="62" s="1"/>
  <c r="AM40" i="62"/>
  <c r="AV43" i="62"/>
  <c r="AT44" i="62"/>
  <c r="AP44" i="62"/>
  <c r="AL44" i="62"/>
  <c r="AS44" i="62"/>
  <c r="AN44" i="62"/>
  <c r="AR44" i="62"/>
  <c r="AM44" i="62"/>
  <c r="AV44" i="62"/>
  <c r="AV45" i="62"/>
  <c r="AV53" i="62"/>
  <c r="AV54" i="62"/>
  <c r="AR54" i="62"/>
  <c r="AN54" i="62"/>
  <c r="AU54" i="62"/>
  <c r="AQ54" i="62"/>
  <c r="AM54" i="62"/>
  <c r="AP54" i="62"/>
  <c r="AT54" i="62"/>
  <c r="AO54" i="62"/>
  <c r="AL54" i="62"/>
  <c r="AU62" i="62"/>
  <c r="AM62" i="62"/>
  <c r="T13" i="62"/>
  <c r="AP41" i="62"/>
  <c r="AO44" i="62"/>
  <c r="AT47" i="62"/>
  <c r="AS50" i="62"/>
  <c r="AR52" i="62"/>
  <c r="AR53" i="62"/>
  <c r="AS54" i="62"/>
  <c r="AR57" i="62"/>
  <c r="AT59" i="62"/>
  <c r="AT40" i="62"/>
  <c r="AP40" i="62"/>
  <c r="AL40" i="62"/>
  <c r="AU40" i="62"/>
  <c r="AO40" i="62"/>
  <c r="AS40" i="62"/>
  <c r="AN40" i="62"/>
  <c r="AV40" i="62"/>
  <c r="AV42" i="62"/>
  <c r="AR42" i="62"/>
  <c r="AN42" i="62"/>
  <c r="AT42" i="62"/>
  <c r="AO42" i="62"/>
  <c r="AS42" i="62"/>
  <c r="AM42" i="62"/>
  <c r="AU42" i="62"/>
  <c r="T12" i="62"/>
  <c r="Z79" i="62" s="1"/>
  <c r="T27" i="62"/>
  <c r="Z94" i="62" s="1"/>
  <c r="T29" i="62"/>
  <c r="Z96" i="62" s="1"/>
  <c r="AL41" i="62"/>
  <c r="AL42" i="62"/>
  <c r="AU45" i="62"/>
  <c r="AQ45" i="62"/>
  <c r="AM45" i="62"/>
  <c r="AS45" i="62"/>
  <c r="AN45" i="62"/>
  <c r="AR45" i="62"/>
  <c r="AL45" i="62"/>
  <c r="AS48" i="62"/>
  <c r="AU56" i="62"/>
  <c r="AV61" i="62"/>
  <c r="Y79" i="62"/>
  <c r="T17" i="62"/>
  <c r="AQ56" i="62"/>
  <c r="T25" i="62"/>
  <c r="AR40" i="62"/>
  <c r="AR41" i="62"/>
  <c r="AQ42" i="62"/>
  <c r="AQ43" i="62"/>
  <c r="AQ44" i="62"/>
  <c r="AP45" i="62"/>
  <c r="AT46" i="62"/>
  <c r="AR61" i="62"/>
  <c r="AV46" i="62"/>
  <c r="AR46" i="62"/>
  <c r="AN46" i="62"/>
  <c r="AU57" i="62"/>
  <c r="AQ57" i="62"/>
  <c r="AM57" i="62"/>
  <c r="AT57" i="62"/>
  <c r="AP57" i="62"/>
  <c r="AL57" i="62"/>
  <c r="AS57" i="62"/>
  <c r="Y92" i="62"/>
  <c r="X4" i="62"/>
  <c r="X70" i="62" s="1"/>
  <c r="AL46" i="62"/>
  <c r="AQ46" i="62"/>
  <c r="AT48" i="62"/>
  <c r="AP48" i="62"/>
  <c r="AL48" i="62"/>
  <c r="AQ48" i="62"/>
  <c r="AV48" i="62"/>
  <c r="AU49" i="62"/>
  <c r="AQ49" i="62"/>
  <c r="AM49" i="62"/>
  <c r="AP49" i="62"/>
  <c r="AV49" i="62"/>
  <c r="AV50" i="62"/>
  <c r="AR50" i="62"/>
  <c r="AN50" i="62"/>
  <c r="AP50" i="62"/>
  <c r="AU50" i="62"/>
  <c r="AS51" i="62"/>
  <c r="AO52" i="62"/>
  <c r="AN57" i="62"/>
  <c r="AV57" i="62"/>
  <c r="AV58" i="62"/>
  <c r="AR58" i="62"/>
  <c r="AN58" i="62"/>
  <c r="AU58" i="62"/>
  <c r="AQ58" i="62"/>
  <c r="AM58" i="62"/>
  <c r="AS58" i="62"/>
  <c r="AL64" i="62"/>
  <c r="Y82" i="62"/>
  <c r="Y90" i="62"/>
  <c r="Y98" i="62"/>
  <c r="AP46" i="62"/>
  <c r="AU46" i="62"/>
  <c r="AS47" i="62"/>
  <c r="AS55" i="62"/>
  <c r="AT60" i="62"/>
  <c r="AS64" i="62"/>
  <c r="AO64" i="62"/>
  <c r="AV64" i="62"/>
  <c r="AR64" i="62"/>
  <c r="AN64" i="62"/>
  <c r="AM46" i="62"/>
  <c r="AS46" i="62"/>
  <c r="AT52" i="62"/>
  <c r="AP52" i="62"/>
  <c r="AL52" i="62"/>
  <c r="AQ52" i="62"/>
  <c r="AV52" i="62"/>
  <c r="AU53" i="62"/>
  <c r="AQ53" i="62"/>
  <c r="AM53" i="62"/>
  <c r="AT53" i="62"/>
  <c r="AP53" i="62"/>
  <c r="AL53" i="62"/>
  <c r="AS53" i="62"/>
  <c r="AT56" i="62"/>
  <c r="AO57" i="62"/>
  <c r="AS59" i="62"/>
  <c r="AU61" i="62"/>
  <c r="AQ61" i="62"/>
  <c r="AM61" i="62"/>
  <c r="AT61" i="62"/>
  <c r="AP61" i="62"/>
  <c r="AL61" i="62"/>
  <c r="AS61" i="62"/>
  <c r="AM64" i="62"/>
  <c r="AU64" i="62"/>
  <c r="Y77" i="62"/>
  <c r="Y80" i="62"/>
  <c r="Y85" i="62"/>
  <c r="Y88" i="62"/>
  <c r="Y93" i="62"/>
  <c r="Y96" i="62"/>
  <c r="AO56" i="62"/>
  <c r="AS56" i="62"/>
  <c r="AO60" i="62"/>
  <c r="AS60" i="62"/>
  <c r="AO43" i="62"/>
  <c r="AO47" i="62"/>
  <c r="AO51" i="62"/>
  <c r="AO55" i="62"/>
  <c r="AL56" i="62"/>
  <c r="AP56" i="62"/>
  <c r="AO59" i="62"/>
  <c r="AL60" i="62"/>
  <c r="AP60" i="62"/>
  <c r="AO63" i="62"/>
  <c r="X99" i="49"/>
  <c r="X98" i="49"/>
  <c r="X77" i="49"/>
  <c r="X78" i="49"/>
  <c r="X79" i="49"/>
  <c r="X80" i="49"/>
  <c r="X81" i="49"/>
  <c r="X82" i="49"/>
  <c r="X83" i="49"/>
  <c r="X84" i="49"/>
  <c r="X85" i="49"/>
  <c r="X86" i="49"/>
  <c r="X87" i="49"/>
  <c r="X88" i="49"/>
  <c r="X89" i="49"/>
  <c r="X90" i="49"/>
  <c r="X91" i="49"/>
  <c r="X92" i="49"/>
  <c r="X93" i="49"/>
  <c r="X94" i="49"/>
  <c r="X95" i="49"/>
  <c r="X96" i="49"/>
  <c r="X97" i="49"/>
  <c r="X76" i="49"/>
  <c r="AH21" i="62" l="1"/>
  <c r="P21" i="62" s="1"/>
  <c r="AH26" i="62"/>
  <c r="P29" i="62" s="1"/>
  <c r="AH27" i="62"/>
  <c r="P30" i="62" s="1"/>
  <c r="AH11" i="62"/>
  <c r="P11" i="62" s="1"/>
  <c r="AH18" i="62"/>
  <c r="P18" i="62" s="1"/>
  <c r="AH14" i="62"/>
  <c r="P14" i="62" s="1"/>
  <c r="AH17" i="62"/>
  <c r="P17" i="62" s="1"/>
  <c r="AH9" i="62"/>
  <c r="P9" i="62" s="1"/>
  <c r="AH15" i="62"/>
  <c r="P15" i="62" s="1"/>
  <c r="AH20" i="62"/>
  <c r="P20" i="62" s="1"/>
  <c r="AH24" i="62"/>
  <c r="P27" i="62" s="1"/>
  <c r="AH22" i="62"/>
  <c r="P23" i="62" s="1"/>
  <c r="AH16" i="62"/>
  <c r="P16" i="62" s="1"/>
  <c r="AH19" i="62"/>
  <c r="P19" i="62" s="1"/>
  <c r="AH13" i="62"/>
  <c r="P13" i="62" s="1"/>
  <c r="AH25" i="62"/>
  <c r="P28" i="62" s="1"/>
  <c r="AH23" i="62"/>
  <c r="P24" i="62" s="1"/>
  <c r="AH10" i="62"/>
  <c r="P10" i="62" s="1"/>
  <c r="AH12" i="62"/>
  <c r="P12" i="62" s="1"/>
  <c r="AK64" i="62"/>
  <c r="Z70" i="62"/>
  <c r="X40" i="62"/>
  <c r="Y70" i="62"/>
  <c r="AA70" i="62"/>
  <c r="AB70" i="62"/>
  <c r="AP62" i="62"/>
  <c r="B133" i="49"/>
  <c r="X131" i="49"/>
  <c r="X31" i="49"/>
  <c r="X32" i="49"/>
  <c r="AA9" i="49"/>
  <c r="AB9" i="49"/>
  <c r="AC9" i="49"/>
  <c r="AD9" i="49"/>
  <c r="AA10" i="49"/>
  <c r="AB10" i="49"/>
  <c r="AC10" i="49"/>
  <c r="AD10" i="49"/>
  <c r="AA11" i="49"/>
  <c r="AB11" i="49"/>
  <c r="AC11" i="49"/>
  <c r="AD11" i="49"/>
  <c r="AA12" i="49"/>
  <c r="AB12" i="49"/>
  <c r="AC12" i="49"/>
  <c r="AD12" i="49"/>
  <c r="AA13" i="49"/>
  <c r="AB13" i="49"/>
  <c r="AC13" i="49"/>
  <c r="AD13" i="49"/>
  <c r="AA14" i="49"/>
  <c r="AB14" i="49"/>
  <c r="AC14" i="49"/>
  <c r="AD14" i="49"/>
  <c r="AA15" i="49"/>
  <c r="AB15" i="49"/>
  <c r="AC15" i="49"/>
  <c r="AD15" i="49"/>
  <c r="AA16" i="49"/>
  <c r="AB16" i="49"/>
  <c r="AC16" i="49"/>
  <c r="AD16" i="49"/>
  <c r="AA17" i="49"/>
  <c r="AB17" i="49"/>
  <c r="AC17" i="49"/>
  <c r="AD17" i="49"/>
  <c r="AA18" i="49"/>
  <c r="AB18" i="49"/>
  <c r="AC18" i="49"/>
  <c r="AD18" i="49"/>
  <c r="AA19" i="49"/>
  <c r="AB19" i="49"/>
  <c r="AC19" i="49"/>
  <c r="AD19" i="49"/>
  <c r="AA20" i="49"/>
  <c r="AB20" i="49"/>
  <c r="AC20" i="49"/>
  <c r="AD20" i="49"/>
  <c r="AA21" i="49"/>
  <c r="AB21" i="49"/>
  <c r="AC21" i="49"/>
  <c r="AD21" i="49"/>
  <c r="AA22" i="49"/>
  <c r="AB22" i="49"/>
  <c r="AC22" i="49"/>
  <c r="AD22" i="49"/>
  <c r="AA23" i="49"/>
  <c r="AB23" i="49"/>
  <c r="AC23" i="49"/>
  <c r="AD23" i="49"/>
  <c r="AA24" i="49"/>
  <c r="AB24" i="49"/>
  <c r="AC24" i="49"/>
  <c r="AD24" i="49"/>
  <c r="AA25" i="49"/>
  <c r="AB25" i="49"/>
  <c r="AC25" i="49"/>
  <c r="AD25" i="49"/>
  <c r="AA26" i="49"/>
  <c r="AB26" i="49"/>
  <c r="AC26" i="49"/>
  <c r="AD26" i="49"/>
  <c r="AA27" i="49"/>
  <c r="AB27" i="49"/>
  <c r="AC27" i="49"/>
  <c r="AD27" i="49"/>
  <c r="AA28" i="49"/>
  <c r="AB28" i="49"/>
  <c r="AC28" i="49"/>
  <c r="AD28" i="49"/>
  <c r="AA29" i="49"/>
  <c r="AB29" i="49"/>
  <c r="AC29" i="49"/>
  <c r="AD29" i="49"/>
  <c r="AA30" i="49"/>
  <c r="AB30" i="49"/>
  <c r="AC30" i="49"/>
  <c r="AD30" i="49"/>
  <c r="AA32" i="49"/>
  <c r="AB32" i="49"/>
  <c r="AC32" i="49"/>
  <c r="AD32" i="49"/>
  <c r="Z10" i="49"/>
  <c r="Z11" i="49"/>
  <c r="Z12" i="49"/>
  <c r="Z13" i="49"/>
  <c r="Z14" i="49"/>
  <c r="Z15" i="49"/>
  <c r="Z16" i="49"/>
  <c r="Z17" i="49"/>
  <c r="Z18" i="49"/>
  <c r="Z19" i="49"/>
  <c r="Z20" i="49"/>
  <c r="Z21" i="49"/>
  <c r="Z22" i="49"/>
  <c r="Z23" i="49"/>
  <c r="Z24" i="49"/>
  <c r="Z25" i="49"/>
  <c r="Z26" i="49"/>
  <c r="Z27" i="49"/>
  <c r="Z28" i="49"/>
  <c r="Z29" i="49"/>
  <c r="Z30" i="49"/>
  <c r="Z32" i="49"/>
  <c r="Z9" i="49"/>
  <c r="AK63" i="49"/>
  <c r="AB64" i="49"/>
  <c r="AA64" i="49"/>
  <c r="Y64" i="49"/>
  <c r="C32" i="44"/>
  <c r="R32" i="49" s="1"/>
  <c r="S32" i="49" s="1"/>
  <c r="T32" i="49" s="1"/>
  <c r="R10" i="49"/>
  <c r="S10" i="49" s="1"/>
  <c r="R11" i="49"/>
  <c r="S11" i="49" s="1"/>
  <c r="R12" i="49"/>
  <c r="S12" i="49" s="1"/>
  <c r="R13" i="49"/>
  <c r="S13" i="49" s="1"/>
  <c r="R14" i="49"/>
  <c r="S14" i="49" s="1"/>
  <c r="R15" i="49"/>
  <c r="S15" i="49" s="1"/>
  <c r="R16" i="49"/>
  <c r="S16" i="49" s="1"/>
  <c r="R17" i="49"/>
  <c r="S17" i="49" s="1"/>
  <c r="R18" i="49"/>
  <c r="S18" i="49" s="1"/>
  <c r="R19" i="49"/>
  <c r="S19" i="49" s="1"/>
  <c r="R20" i="49"/>
  <c r="S20" i="49" s="1"/>
  <c r="R21" i="49"/>
  <c r="S21" i="49" s="1"/>
  <c r="R22" i="49"/>
  <c r="S22" i="49" s="1"/>
  <c r="R23" i="49"/>
  <c r="S23" i="49" s="1"/>
  <c r="R24" i="49"/>
  <c r="S24" i="49" s="1"/>
  <c r="R25" i="49"/>
  <c r="S25" i="49" s="1"/>
  <c r="R26" i="49"/>
  <c r="S26" i="49" s="1"/>
  <c r="R27" i="49"/>
  <c r="S27" i="49" s="1"/>
  <c r="R28" i="49"/>
  <c r="S28" i="49" s="1"/>
  <c r="R29" i="49"/>
  <c r="S29" i="49" s="1"/>
  <c r="R30" i="49"/>
  <c r="S30" i="49" s="1"/>
  <c r="AG10" i="49"/>
  <c r="AG11" i="49"/>
  <c r="AG12" i="49"/>
  <c r="AG13" i="49"/>
  <c r="AG14" i="49"/>
  <c r="AG15" i="49"/>
  <c r="AG16" i="49"/>
  <c r="AG17" i="49"/>
  <c r="AG18" i="49"/>
  <c r="AG19" i="49"/>
  <c r="AG20" i="49"/>
  <c r="AG21" i="49"/>
  <c r="AG22" i="49"/>
  <c r="AG23" i="49"/>
  <c r="AG24" i="49"/>
  <c r="AG25" i="49"/>
  <c r="AG26" i="49"/>
  <c r="AG27" i="49"/>
  <c r="AQ63" i="49" l="1"/>
  <c r="BA63" i="49"/>
  <c r="AX63" i="49"/>
  <c r="AW63" i="49"/>
  <c r="AZ63" i="49"/>
  <c r="AY63" i="49"/>
  <c r="T9" i="49"/>
  <c r="AH13" i="49"/>
  <c r="P13" i="49" s="1"/>
  <c r="AD31" i="49"/>
  <c r="O31" i="49" s="1"/>
  <c r="Z14" i="76" s="1"/>
  <c r="R32" i="70"/>
  <c r="R32" i="69"/>
  <c r="S32" i="69" s="1"/>
  <c r="T32" i="69" s="1"/>
  <c r="R32" i="68"/>
  <c r="S32" i="68" s="1"/>
  <c r="T32" i="68" s="1"/>
  <c r="R32" i="67"/>
  <c r="S32" i="67" s="1"/>
  <c r="T32" i="67" s="1"/>
  <c r="R32" i="66"/>
  <c r="S32" i="66" s="1"/>
  <c r="T32" i="66" s="1"/>
  <c r="R32" i="65"/>
  <c r="S32" i="65" s="1"/>
  <c r="T32" i="65" s="1"/>
  <c r="R32" i="64"/>
  <c r="S32" i="64" s="1"/>
  <c r="T32" i="64" s="1"/>
  <c r="R32" i="63"/>
  <c r="S32" i="63" s="1"/>
  <c r="T32" i="63" s="1"/>
  <c r="R32" i="62"/>
  <c r="S32" i="62" s="1"/>
  <c r="T32" i="62" s="1"/>
  <c r="Z40" i="62"/>
  <c r="Y40" i="62"/>
  <c r="T30" i="49"/>
  <c r="T26" i="49"/>
  <c r="T22" i="49"/>
  <c r="T18" i="49"/>
  <c r="T14" i="49"/>
  <c r="T10" i="49"/>
  <c r="AO63" i="49"/>
  <c r="AP63" i="49"/>
  <c r="T29" i="49"/>
  <c r="T25" i="49"/>
  <c r="T21" i="49"/>
  <c r="T13" i="49"/>
  <c r="T28" i="49"/>
  <c r="T24" i="49"/>
  <c r="T20" i="49"/>
  <c r="T16" i="49"/>
  <c r="T12" i="49"/>
  <c r="T27" i="49"/>
  <c r="T19" i="49"/>
  <c r="T11" i="49"/>
  <c r="AN63" i="49"/>
  <c r="T17" i="49"/>
  <c r="T23" i="49"/>
  <c r="T15" i="49"/>
  <c r="AM63" i="49"/>
  <c r="AL63" i="49"/>
  <c r="AH16" i="49" l="1"/>
  <c r="P16" i="49" s="1"/>
  <c r="AH12" i="49"/>
  <c r="P12" i="49" s="1"/>
  <c r="AH21" i="49"/>
  <c r="P21" i="49" s="1"/>
  <c r="AH27" i="49"/>
  <c r="P30" i="49" s="1"/>
  <c r="AH26" i="49"/>
  <c r="P29" i="49" s="1"/>
  <c r="AH22" i="49"/>
  <c r="P23" i="49" s="1"/>
  <c r="AH25" i="49"/>
  <c r="P28" i="49" s="1"/>
  <c r="AH14" i="49"/>
  <c r="P14" i="49" s="1"/>
  <c r="AH15" i="49"/>
  <c r="P15" i="49" s="1"/>
  <c r="AH17" i="49"/>
  <c r="P17" i="49" s="1"/>
  <c r="AH19" i="49"/>
  <c r="P19" i="49" s="1"/>
  <c r="AH18" i="49"/>
  <c r="P18" i="49" s="1"/>
  <c r="AH20" i="49"/>
  <c r="P20" i="49" s="1"/>
  <c r="AH10" i="49"/>
  <c r="P10" i="49" s="1"/>
  <c r="AH24" i="49"/>
  <c r="P27" i="49" s="1"/>
  <c r="AH9" i="49"/>
  <c r="P9" i="49" s="1"/>
  <c r="AH23" i="49"/>
  <c r="P24" i="49" s="1"/>
  <c r="AH11" i="49"/>
  <c r="P11" i="49" s="1"/>
  <c r="H132" i="62" l="1"/>
  <c r="AV62" i="62" s="1"/>
  <c r="W12" i="22" l="1"/>
  <c r="W13" i="22"/>
  <c r="W14" i="22"/>
  <c r="W15" i="22"/>
  <c r="W16" i="22"/>
  <c r="W17" i="22"/>
  <c r="W18" i="22"/>
  <c r="W19" i="22"/>
  <c r="W20" i="22"/>
  <c r="W21" i="22"/>
  <c r="W22" i="22"/>
  <c r="W23" i="22"/>
  <c r="W24" i="22"/>
  <c r="W25" i="22"/>
  <c r="W26" i="22"/>
  <c r="W27" i="22"/>
  <c r="W28" i="22"/>
  <c r="W29" i="22"/>
  <c r="W30" i="22"/>
  <c r="W11" i="22"/>
  <c r="W10" i="22"/>
  <c r="W9" i="22"/>
  <c r="W8" i="22"/>
  <c r="R9" i="22" l="1"/>
  <c r="R10" i="22"/>
  <c r="R11" i="22"/>
  <c r="R12" i="22"/>
  <c r="R13" i="22"/>
  <c r="R14" i="22"/>
  <c r="R15" i="22"/>
  <c r="R16" i="22"/>
  <c r="R17" i="22"/>
  <c r="R18" i="22"/>
  <c r="R19" i="22"/>
  <c r="R20" i="22"/>
  <c r="R21" i="22"/>
  <c r="R22" i="22"/>
  <c r="R23" i="22"/>
  <c r="R24" i="22"/>
  <c r="R25" i="22"/>
  <c r="R26" i="22"/>
  <c r="R27" i="22"/>
  <c r="R28" i="22"/>
  <c r="R29" i="22"/>
  <c r="R8" i="22"/>
  <c r="AA31" i="49" l="1"/>
  <c r="L31" i="49" s="1"/>
  <c r="AC31" i="49"/>
  <c r="N31" i="49" s="1"/>
  <c r="Z31" i="49"/>
  <c r="K31" i="49" s="1"/>
  <c r="AB31" i="49"/>
  <c r="M31" i="49" s="1"/>
  <c r="B37" i="50" l="1"/>
  <c r="B41" i="50"/>
  <c r="A41" i="50" s="1"/>
  <c r="B42" i="50"/>
  <c r="A42" i="50" s="1"/>
  <c r="B43" i="50"/>
  <c r="A43" i="50" s="1"/>
  <c r="B44" i="50"/>
  <c r="A44" i="50" s="1"/>
  <c r="B45" i="50"/>
  <c r="A45" i="50" s="1"/>
  <c r="B46" i="50"/>
  <c r="A46" i="50" s="1"/>
  <c r="B47" i="50"/>
  <c r="A47" i="50" s="1"/>
  <c r="B48" i="50"/>
  <c r="A48" i="50" s="1"/>
  <c r="B49" i="50"/>
  <c r="A49" i="50" s="1"/>
  <c r="AB47" i="50" l="1"/>
  <c r="AD47" i="50" l="1"/>
  <c r="AE47" i="50"/>
  <c r="BC47" i="50"/>
  <c r="AA53" i="49" l="1"/>
  <c r="AA54" i="49"/>
  <c r="AA55" i="49"/>
  <c r="AA56" i="49"/>
  <c r="AA57" i="49"/>
  <c r="AA58" i="49"/>
  <c r="AA59" i="49"/>
  <c r="AA60" i="49"/>
  <c r="AA61" i="49"/>
  <c r="AA62" i="49"/>
  <c r="AC101" i="50" l="1"/>
  <c r="AC99" i="50"/>
  <c r="AC97" i="50"/>
  <c r="AC95" i="50"/>
  <c r="AC93" i="50"/>
  <c r="AC91" i="50"/>
  <c r="AC89" i="50"/>
  <c r="AC87" i="50"/>
  <c r="AC85" i="50"/>
  <c r="B63" i="50"/>
  <c r="B57" i="50"/>
  <c r="A57" i="50" s="1"/>
  <c r="B58" i="50"/>
  <c r="A58" i="50" s="1"/>
  <c r="B59" i="50"/>
  <c r="A59" i="50" s="1"/>
  <c r="B60" i="50"/>
  <c r="A60" i="50" s="1"/>
  <c r="B61" i="50"/>
  <c r="A61" i="50" s="1"/>
  <c r="B62" i="50"/>
  <c r="A62" i="50" s="1"/>
  <c r="B50" i="50"/>
  <c r="A50" i="50" s="1"/>
  <c r="B51" i="50"/>
  <c r="A51" i="50" s="1"/>
  <c r="B52" i="50"/>
  <c r="A52" i="50" s="1"/>
  <c r="B53" i="50"/>
  <c r="A53" i="50" s="1"/>
  <c r="B54" i="50"/>
  <c r="A54" i="50" s="1"/>
  <c r="B55" i="50"/>
  <c r="A55" i="50" s="1"/>
  <c r="B56" i="50"/>
  <c r="A56" i="50" s="1"/>
  <c r="AB79" i="50"/>
  <c r="AB73" i="50"/>
  <c r="AB74" i="50"/>
  <c r="AB75" i="50"/>
  <c r="AB76" i="50"/>
  <c r="AB77" i="50"/>
  <c r="AB78" i="50"/>
  <c r="AB58" i="50"/>
  <c r="AB59" i="50"/>
  <c r="AB60" i="50"/>
  <c r="AB61" i="50"/>
  <c r="AB62" i="50"/>
  <c r="AB63" i="50"/>
  <c r="AB64" i="50"/>
  <c r="AB65" i="50"/>
  <c r="AB66" i="50"/>
  <c r="AB67" i="50"/>
  <c r="AB68" i="50"/>
  <c r="AB69" i="50"/>
  <c r="AB70" i="50"/>
  <c r="AB71" i="50"/>
  <c r="AB72" i="50"/>
  <c r="AB57" i="50"/>
  <c r="AB51" i="50"/>
  <c r="AB52" i="50"/>
  <c r="AB53" i="50"/>
  <c r="AB54" i="50"/>
  <c r="AB55" i="50"/>
  <c r="AB34" i="50"/>
  <c r="AB35" i="50"/>
  <c r="AB36" i="50"/>
  <c r="AB37" i="50"/>
  <c r="AB38" i="50"/>
  <c r="AB39" i="50"/>
  <c r="AB40" i="50"/>
  <c r="AB41" i="50"/>
  <c r="AB42" i="50"/>
  <c r="AB43" i="50"/>
  <c r="AB44" i="50"/>
  <c r="AB45" i="50"/>
  <c r="AB46" i="50"/>
  <c r="AB48" i="50"/>
  <c r="AB49" i="50"/>
  <c r="AB50" i="50"/>
  <c r="AB33" i="50"/>
  <c r="AB31" i="50"/>
  <c r="AB10" i="50"/>
  <c r="AB11" i="50"/>
  <c r="AB12" i="50"/>
  <c r="AB13" i="50"/>
  <c r="AB14" i="50"/>
  <c r="AB15" i="50"/>
  <c r="AB16" i="50"/>
  <c r="AB17" i="50"/>
  <c r="AB18" i="50"/>
  <c r="AB19" i="50"/>
  <c r="AB20" i="50"/>
  <c r="AB21" i="50"/>
  <c r="AB22" i="50"/>
  <c r="AB23" i="50"/>
  <c r="AB24" i="50"/>
  <c r="AB25" i="50"/>
  <c r="AB26" i="50"/>
  <c r="AB27" i="50"/>
  <c r="AB28" i="50"/>
  <c r="AB29" i="50"/>
  <c r="AB30" i="50"/>
  <c r="AB9" i="50"/>
  <c r="Y58" i="49"/>
  <c r="Y59" i="49"/>
  <c r="Y60" i="49"/>
  <c r="Y61" i="49"/>
  <c r="Y62" i="49"/>
  <c r="Y56" i="49"/>
  <c r="Y57" i="49"/>
  <c r="X109" i="49"/>
  <c r="X110" i="49"/>
  <c r="X111" i="49"/>
  <c r="X112" i="49"/>
  <c r="X113" i="49"/>
  <c r="X114" i="49"/>
  <c r="X115" i="49"/>
  <c r="X116" i="49"/>
  <c r="X117" i="49"/>
  <c r="X118" i="49"/>
  <c r="X119" i="49"/>
  <c r="X120" i="49"/>
  <c r="X121" i="49"/>
  <c r="X122" i="49"/>
  <c r="X123" i="49"/>
  <c r="X124" i="49"/>
  <c r="X125" i="49"/>
  <c r="X126" i="49"/>
  <c r="X127" i="49"/>
  <c r="X128" i="49"/>
  <c r="X129" i="49"/>
  <c r="X130" i="49"/>
  <c r="X108" i="49"/>
  <c r="AE18" i="50" l="1"/>
  <c r="AD18" i="50"/>
  <c r="AE27" i="50"/>
  <c r="AD27" i="50"/>
  <c r="AE19" i="50"/>
  <c r="AD19" i="50"/>
  <c r="BC50" i="50"/>
  <c r="AE50" i="50"/>
  <c r="AD50" i="50"/>
  <c r="AE41" i="50"/>
  <c r="AD41" i="50"/>
  <c r="AD37" i="50"/>
  <c r="AE37" i="50"/>
  <c r="AE70" i="50"/>
  <c r="AD70" i="50"/>
  <c r="AE62" i="50"/>
  <c r="AD62" i="50"/>
  <c r="AE49" i="50"/>
  <c r="AD49" i="50"/>
  <c r="AD57" i="50"/>
  <c r="AE57" i="50"/>
  <c r="AD61" i="50"/>
  <c r="AE61" i="50"/>
  <c r="AD28" i="50"/>
  <c r="AE28" i="50"/>
  <c r="AD24" i="50"/>
  <c r="AE24" i="50"/>
  <c r="AE20" i="50"/>
  <c r="AD20" i="50"/>
  <c r="AE16" i="50"/>
  <c r="AD16" i="50"/>
  <c r="AE12" i="50"/>
  <c r="AD12" i="50"/>
  <c r="BC33" i="50"/>
  <c r="AD33" i="50"/>
  <c r="AE33" i="50"/>
  <c r="BC46" i="50"/>
  <c r="AE46" i="50"/>
  <c r="AD46" i="50"/>
  <c r="BC42" i="50"/>
  <c r="AE42" i="50"/>
  <c r="AD42" i="50"/>
  <c r="BC38" i="50"/>
  <c r="AE38" i="50"/>
  <c r="AD38" i="50"/>
  <c r="BC34" i="50"/>
  <c r="AE34" i="50"/>
  <c r="AD34" i="50"/>
  <c r="AE52" i="50"/>
  <c r="AD52" i="50"/>
  <c r="AD71" i="50"/>
  <c r="AE71" i="50"/>
  <c r="AD67" i="50"/>
  <c r="AE67" i="50"/>
  <c r="AE63" i="50"/>
  <c r="AD63" i="50"/>
  <c r="AE59" i="50"/>
  <c r="AD59" i="50"/>
  <c r="AE76" i="50"/>
  <c r="AD76" i="50"/>
  <c r="AE79" i="50"/>
  <c r="AD79" i="50"/>
  <c r="AE9" i="50"/>
  <c r="AD9" i="50"/>
  <c r="AB4" i="50"/>
  <c r="AE23" i="50"/>
  <c r="AD23" i="50"/>
  <c r="AE15" i="50"/>
  <c r="AD15" i="50"/>
  <c r="AE11" i="50"/>
  <c r="AD11" i="50"/>
  <c r="AE45" i="50"/>
  <c r="AD45" i="50"/>
  <c r="AE55" i="50"/>
  <c r="AD55" i="50"/>
  <c r="AE51" i="50"/>
  <c r="AD51" i="50"/>
  <c r="AE66" i="50"/>
  <c r="AD66" i="50"/>
  <c r="AE58" i="50"/>
  <c r="AD58" i="50"/>
  <c r="AE75" i="50"/>
  <c r="AD75" i="50"/>
  <c r="AD30" i="50"/>
  <c r="AE30" i="50"/>
  <c r="AE26" i="50"/>
  <c r="AD26" i="50"/>
  <c r="AE22" i="50"/>
  <c r="AD22" i="50"/>
  <c r="AE14" i="50"/>
  <c r="AD14" i="50"/>
  <c r="AE10" i="50"/>
  <c r="AD10" i="50"/>
  <c r="AE44" i="50"/>
  <c r="AD44" i="50"/>
  <c r="AE40" i="50"/>
  <c r="AD40" i="50"/>
  <c r="AE36" i="50"/>
  <c r="AD36" i="50"/>
  <c r="BC54" i="50"/>
  <c r="AE54" i="50"/>
  <c r="AD54" i="50"/>
  <c r="AE69" i="50"/>
  <c r="AD69" i="50"/>
  <c r="AE65" i="50"/>
  <c r="AD65" i="50"/>
  <c r="AE78" i="50"/>
  <c r="AD78" i="50"/>
  <c r="AE74" i="50"/>
  <c r="AD74" i="50"/>
  <c r="AE29" i="50"/>
  <c r="AD29" i="50"/>
  <c r="AE25" i="50"/>
  <c r="AD25" i="50"/>
  <c r="AE21" i="50"/>
  <c r="AD21" i="50"/>
  <c r="AE17" i="50"/>
  <c r="AD17" i="50"/>
  <c r="AE13" i="50"/>
  <c r="AD13" i="50"/>
  <c r="AD31" i="50"/>
  <c r="AE31" i="50"/>
  <c r="AE48" i="50"/>
  <c r="AD48" i="50"/>
  <c r="AD43" i="50"/>
  <c r="AE43" i="50"/>
  <c r="AE39" i="50"/>
  <c r="AD39" i="50"/>
  <c r="AE35" i="50"/>
  <c r="AD35" i="50"/>
  <c r="AD53" i="50"/>
  <c r="AE53" i="50"/>
  <c r="AE72" i="50"/>
  <c r="AD72" i="50"/>
  <c r="AE68" i="50"/>
  <c r="AD68" i="50"/>
  <c r="AE64" i="50"/>
  <c r="AD64" i="50"/>
  <c r="AE60" i="50"/>
  <c r="AD60" i="50"/>
  <c r="AD77" i="50"/>
  <c r="AE77" i="50"/>
  <c r="AE73" i="50"/>
  <c r="AD73" i="50"/>
  <c r="BC49" i="50"/>
  <c r="BC40" i="50"/>
  <c r="BC36" i="50"/>
  <c r="BC48" i="50"/>
  <c r="BC39" i="50"/>
  <c r="BC53" i="50"/>
  <c r="BC52" i="50"/>
  <c r="BC44" i="50"/>
  <c r="BC43" i="50"/>
  <c r="BC35" i="50"/>
  <c r="BC45" i="50"/>
  <c r="BC41" i="50"/>
  <c r="BC37" i="50"/>
  <c r="BC55" i="50"/>
  <c r="BC51" i="50"/>
  <c r="B111" i="49"/>
  <c r="A111" i="49" s="1"/>
  <c r="B112" i="49"/>
  <c r="A112" i="49" s="1"/>
  <c r="B113" i="49"/>
  <c r="A113" i="49" s="1"/>
  <c r="B114" i="49"/>
  <c r="A114" i="49" s="1"/>
  <c r="B115" i="49"/>
  <c r="A115" i="49" s="1"/>
  <c r="B116" i="49"/>
  <c r="A116" i="49" s="1"/>
  <c r="B117" i="49"/>
  <c r="A117" i="49" s="1"/>
  <c r="B118" i="49"/>
  <c r="A118" i="49" s="1"/>
  <c r="B119" i="49"/>
  <c r="A119" i="49" s="1"/>
  <c r="B120" i="49"/>
  <c r="A120" i="49" s="1"/>
  <c r="B121" i="49"/>
  <c r="A121" i="49" s="1"/>
  <c r="B122" i="49"/>
  <c r="A122" i="49" s="1"/>
  <c r="B123" i="49"/>
  <c r="A123" i="49" s="1"/>
  <c r="B124" i="49"/>
  <c r="A124" i="49" s="1"/>
  <c r="B125" i="49"/>
  <c r="A125" i="49" s="1"/>
  <c r="B126" i="49"/>
  <c r="A126" i="49" s="1"/>
  <c r="B127" i="49"/>
  <c r="B128" i="49"/>
  <c r="A128" i="49" s="1"/>
  <c r="B129" i="49"/>
  <c r="A129" i="49" s="1"/>
  <c r="B130" i="49"/>
  <c r="A130" i="49" s="1"/>
  <c r="B131" i="49"/>
  <c r="A131" i="49" s="1"/>
  <c r="B132" i="49"/>
  <c r="B110" i="49"/>
  <c r="AK56" i="49"/>
  <c r="AK57" i="49"/>
  <c r="X26" i="49"/>
  <c r="X25" i="49"/>
  <c r="D31" i="44"/>
  <c r="E26" i="44"/>
  <c r="E25" i="44"/>
  <c r="D18" i="50" l="1"/>
  <c r="D50" i="50" s="1"/>
  <c r="V28" i="50"/>
  <c r="U29" i="50"/>
  <c r="H28" i="50"/>
  <c r="Q28" i="50"/>
  <c r="P21" i="50"/>
  <c r="H20" i="50"/>
  <c r="W13" i="50"/>
  <c r="J28" i="50"/>
  <c r="Q18" i="50"/>
  <c r="J12" i="50"/>
  <c r="X32" i="50"/>
  <c r="P30" i="50"/>
  <c r="W18" i="50"/>
  <c r="H26" i="50"/>
  <c r="J30" i="50"/>
  <c r="H62" i="50" s="1"/>
  <c r="V27" i="50"/>
  <c r="W12" i="50"/>
  <c r="J17" i="50"/>
  <c r="U16" i="50"/>
  <c r="I18" i="50"/>
  <c r="V22" i="50"/>
  <c r="X25" i="50"/>
  <c r="V32" i="50"/>
  <c r="X19" i="50"/>
  <c r="H23" i="50"/>
  <c r="P18" i="50"/>
  <c r="T28" i="50"/>
  <c r="P11" i="50"/>
  <c r="Q27" i="50"/>
  <c r="V24" i="50"/>
  <c r="P28" i="50"/>
  <c r="H13" i="50"/>
  <c r="T9" i="50"/>
  <c r="Q14" i="50"/>
  <c r="I21" i="50"/>
  <c r="T29" i="50"/>
  <c r="W22" i="50"/>
  <c r="U30" i="50"/>
  <c r="X15" i="50"/>
  <c r="P32" i="50"/>
  <c r="P17" i="50"/>
  <c r="I15" i="50"/>
  <c r="H16" i="50"/>
  <c r="Q17" i="50"/>
  <c r="U17" i="50"/>
  <c r="V19" i="50"/>
  <c r="P22" i="50"/>
  <c r="U27" i="50"/>
  <c r="W10" i="50"/>
  <c r="P10" i="50"/>
  <c r="I9" i="50"/>
  <c r="V21" i="50"/>
  <c r="U10" i="50"/>
  <c r="P25" i="50"/>
  <c r="I28" i="50"/>
  <c r="F60" i="50" s="1"/>
  <c r="U13" i="50"/>
  <c r="U28" i="50"/>
  <c r="T10" i="50"/>
  <c r="Q25" i="50"/>
  <c r="L57" i="50" s="1"/>
  <c r="T27" i="50"/>
  <c r="H9" i="50"/>
  <c r="Q13" i="50"/>
  <c r="J24" i="50"/>
  <c r="V29" i="50"/>
  <c r="H25" i="50"/>
  <c r="T12" i="50"/>
  <c r="I19" i="50"/>
  <c r="U14" i="50"/>
  <c r="T30" i="50"/>
  <c r="Q19" i="50"/>
  <c r="L51" i="50" s="1"/>
  <c r="X20" i="50"/>
  <c r="D15" i="50"/>
  <c r="D47" i="50" s="1"/>
  <c r="X10" i="50"/>
  <c r="I10" i="50"/>
  <c r="D22" i="50"/>
  <c r="D54" i="50" s="1"/>
  <c r="Q20" i="50"/>
  <c r="P12" i="50"/>
  <c r="Q29" i="50"/>
  <c r="L61" i="50" s="1"/>
  <c r="W16" i="50"/>
  <c r="V25" i="50"/>
  <c r="I32" i="50"/>
  <c r="W19" i="50"/>
  <c r="Q11" i="50"/>
  <c r="L43" i="50" s="1"/>
  <c r="H12" i="50"/>
  <c r="T32" i="50"/>
  <c r="J22" i="50"/>
  <c r="H54" i="50" s="1"/>
  <c r="H15" i="50"/>
  <c r="I20" i="50"/>
  <c r="I22" i="50"/>
  <c r="I13" i="50"/>
  <c r="Q24" i="50"/>
  <c r="V14" i="50"/>
  <c r="Q10" i="50"/>
  <c r="L42" i="50" s="1"/>
  <c r="I27" i="50"/>
  <c r="P9" i="50"/>
  <c r="I23" i="50"/>
  <c r="V30" i="50"/>
  <c r="W15" i="50"/>
  <c r="V17" i="50"/>
  <c r="U19" i="50"/>
  <c r="V10" i="50"/>
  <c r="D10" i="50"/>
  <c r="D42" i="50" s="1"/>
  <c r="I11" i="50"/>
  <c r="J27" i="50"/>
  <c r="H59" i="50" s="1"/>
  <c r="H11" i="50"/>
  <c r="X12" i="50"/>
  <c r="D17" i="50"/>
  <c r="U21" i="50"/>
  <c r="P24" i="50"/>
  <c r="D16" i="50"/>
  <c r="D48" i="50" s="1"/>
  <c r="D32" i="50"/>
  <c r="D64" i="50" s="1"/>
  <c r="J23" i="50"/>
  <c r="P27" i="50"/>
  <c r="J14" i="50"/>
  <c r="J25" i="50"/>
  <c r="H57" i="50" s="1"/>
  <c r="X9" i="50"/>
  <c r="W27" i="50"/>
  <c r="J26" i="50"/>
  <c r="H58" i="50" s="1"/>
  <c r="H30" i="50"/>
  <c r="T14" i="50"/>
  <c r="X21" i="50"/>
  <c r="W24" i="50"/>
  <c r="U24" i="50"/>
  <c r="T18" i="50"/>
  <c r="I29" i="50"/>
  <c r="P20" i="50"/>
  <c r="V9" i="50"/>
  <c r="Q22" i="50"/>
  <c r="L54" i="50" s="1"/>
  <c r="J20" i="50"/>
  <c r="H52" i="50" s="1"/>
  <c r="U11" i="50"/>
  <c r="U22" i="50"/>
  <c r="Q12" i="50"/>
  <c r="L44" i="50" s="1"/>
  <c r="Q30" i="50"/>
  <c r="L62" i="50" s="1"/>
  <c r="T24" i="50"/>
  <c r="X23" i="50"/>
  <c r="V16" i="50"/>
  <c r="D30" i="50"/>
  <c r="D62" i="50" s="1"/>
  <c r="U25" i="50"/>
  <c r="P15" i="50"/>
  <c r="H32" i="50"/>
  <c r="X17" i="50"/>
  <c r="T25" i="50"/>
  <c r="H22" i="50"/>
  <c r="T20" i="50"/>
  <c r="D11" i="50"/>
  <c r="D43" i="50" s="1"/>
  <c r="W30" i="50"/>
  <c r="U12" i="50"/>
  <c r="I16" i="50"/>
  <c r="I24" i="50"/>
  <c r="X16" i="50"/>
  <c r="W20" i="50"/>
  <c r="Q26" i="50"/>
  <c r="L58" i="50" s="1"/>
  <c r="H27" i="50"/>
  <c r="H18" i="50"/>
  <c r="T16" i="50"/>
  <c r="D26" i="50"/>
  <c r="D58" i="50" s="1"/>
  <c r="H24" i="50"/>
  <c r="H14" i="50"/>
  <c r="P29" i="50"/>
  <c r="J29" i="50"/>
  <c r="H61" i="50" s="1"/>
  <c r="T21" i="50"/>
  <c r="W32" i="50"/>
  <c r="X30" i="50"/>
  <c r="V11" i="50"/>
  <c r="X26" i="50"/>
  <c r="T23" i="50"/>
  <c r="I17" i="50"/>
  <c r="T19" i="50"/>
  <c r="H19" i="50"/>
  <c r="D12" i="50"/>
  <c r="X29" i="50"/>
  <c r="Q21" i="50"/>
  <c r="L53" i="50" s="1"/>
  <c r="D21" i="50"/>
  <c r="D53" i="50" s="1"/>
  <c r="H29" i="50"/>
  <c r="V23" i="50"/>
  <c r="T15" i="50"/>
  <c r="W26" i="50"/>
  <c r="J16" i="50"/>
  <c r="H48" i="50" s="1"/>
  <c r="H17" i="50"/>
  <c r="F49" i="50" s="1"/>
  <c r="Q32" i="50"/>
  <c r="L64" i="50" s="1"/>
  <c r="W21" i="50"/>
  <c r="W23" i="50"/>
  <c r="I25" i="50"/>
  <c r="J21" i="50"/>
  <c r="H53" i="50" s="1"/>
  <c r="U18" i="50"/>
  <c r="P13" i="50"/>
  <c r="D27" i="50"/>
  <c r="W28" i="50"/>
  <c r="T13" i="50"/>
  <c r="T11" i="50"/>
  <c r="Q15" i="50"/>
  <c r="D9" i="50"/>
  <c r="I30" i="50"/>
  <c r="J18" i="50"/>
  <c r="U26" i="50"/>
  <c r="V20" i="50"/>
  <c r="D13" i="50"/>
  <c r="V26" i="50"/>
  <c r="T17" i="50"/>
  <c r="U20" i="50"/>
  <c r="U32" i="50"/>
  <c r="T22" i="50"/>
  <c r="U9" i="50"/>
  <c r="D28" i="50"/>
  <c r="D25" i="50"/>
  <c r="D57" i="50" s="1"/>
  <c r="P19" i="50"/>
  <c r="P14" i="50"/>
  <c r="X28" i="50"/>
  <c r="X27" i="50"/>
  <c r="W11" i="50"/>
  <c r="H10" i="50"/>
  <c r="J13" i="50"/>
  <c r="H45" i="50" s="1"/>
  <c r="X22" i="50"/>
  <c r="X13" i="50"/>
  <c r="W17" i="50"/>
  <c r="J11" i="50"/>
  <c r="P16" i="50"/>
  <c r="V12" i="50"/>
  <c r="P26" i="50"/>
  <c r="Q16" i="50"/>
  <c r="L48" i="50" s="1"/>
  <c r="X18" i="50"/>
  <c r="J10" i="50"/>
  <c r="H42" i="50" s="1"/>
  <c r="I26" i="50"/>
  <c r="U23" i="50"/>
  <c r="V13" i="50"/>
  <c r="I12" i="50"/>
  <c r="P23" i="50"/>
  <c r="Q9" i="50"/>
  <c r="L41" i="50" s="1"/>
  <c r="D24" i="50"/>
  <c r="D20" i="50"/>
  <c r="D52" i="50" s="1"/>
  <c r="I14" i="50"/>
  <c r="X11" i="50"/>
  <c r="V15" i="50"/>
  <c r="W29" i="50"/>
  <c r="U15" i="50"/>
  <c r="W25" i="50"/>
  <c r="D14" i="50"/>
  <c r="W9" i="50"/>
  <c r="H21" i="50"/>
  <c r="V18" i="50"/>
  <c r="W14" i="50"/>
  <c r="J15" i="50"/>
  <c r="J9" i="50"/>
  <c r="H41" i="50" s="1"/>
  <c r="D23" i="50"/>
  <c r="Q23" i="50"/>
  <c r="X24" i="50"/>
  <c r="J19" i="50"/>
  <c r="H51" i="50" s="1"/>
  <c r="T26" i="50"/>
  <c r="J32" i="50"/>
  <c r="H64" i="50" s="1"/>
  <c r="D19" i="50"/>
  <c r="D51" i="50" s="1"/>
  <c r="D29" i="50"/>
  <c r="D61" i="50" s="1"/>
  <c r="X14" i="50"/>
  <c r="X31" i="50"/>
  <c r="H31" i="50"/>
  <c r="T31" i="50"/>
  <c r="W31" i="50"/>
  <c r="I31" i="50"/>
  <c r="J31" i="50"/>
  <c r="P31" i="50"/>
  <c r="Q31" i="50"/>
  <c r="L63" i="50" s="1"/>
  <c r="AD90" i="50" s="1"/>
  <c r="D31" i="50"/>
  <c r="V31" i="50"/>
  <c r="U31" i="50"/>
  <c r="BA56" i="49"/>
  <c r="AY56" i="49"/>
  <c r="AW56" i="49"/>
  <c r="AZ56" i="49"/>
  <c r="AX56" i="49"/>
  <c r="AZ57" i="49"/>
  <c r="AW57" i="49"/>
  <c r="AX57" i="49"/>
  <c r="AY57" i="49"/>
  <c r="BA57" i="49"/>
  <c r="A110" i="49"/>
  <c r="W15" i="76"/>
  <c r="X15" i="76"/>
  <c r="AA15" i="76"/>
  <c r="N15" i="76"/>
  <c r="O15" i="76"/>
  <c r="M15" i="76"/>
  <c r="H15" i="76"/>
  <c r="L15" i="76"/>
  <c r="I15" i="76"/>
  <c r="S15" i="76"/>
  <c r="F15" i="76"/>
  <c r="P15" i="76"/>
  <c r="V15" i="76"/>
  <c r="D15" i="76"/>
  <c r="G15" i="76"/>
  <c r="J15" i="76"/>
  <c r="K15" i="76"/>
  <c r="E15" i="76"/>
  <c r="Q15" i="76"/>
  <c r="T15" i="76"/>
  <c r="R15" i="76"/>
  <c r="Y15" i="76"/>
  <c r="U15" i="76"/>
  <c r="Z15" i="76"/>
  <c r="AB57" i="68"/>
  <c r="AC58" i="70"/>
  <c r="AB57" i="69"/>
  <c r="AB57" i="67"/>
  <c r="AB57" i="66"/>
  <c r="AB57" i="65"/>
  <c r="AB57" i="64"/>
  <c r="AB57" i="63"/>
  <c r="AB57" i="62"/>
  <c r="AB57" i="49"/>
  <c r="A127" i="49"/>
  <c r="AC59" i="70"/>
  <c r="AB58" i="69"/>
  <c r="AB58" i="68"/>
  <c r="AB58" i="66"/>
  <c r="AB58" i="67"/>
  <c r="AB58" i="65"/>
  <c r="AB58" i="64"/>
  <c r="AB58" i="63"/>
  <c r="AB58" i="62"/>
  <c r="AB58" i="49"/>
  <c r="AQ56" i="49"/>
  <c r="AT56" i="49"/>
  <c r="AV56" i="49"/>
  <c r="AU56" i="49"/>
  <c r="AR56" i="49"/>
  <c r="AS56" i="49"/>
  <c r="AR63" i="49"/>
  <c r="AV63" i="49"/>
  <c r="AT63" i="49"/>
  <c r="AS63" i="49"/>
  <c r="AU63" i="49"/>
  <c r="AQ57" i="49"/>
  <c r="AS57" i="49"/>
  <c r="AR57" i="49"/>
  <c r="AT57" i="49"/>
  <c r="AU57" i="49"/>
  <c r="AV57" i="49"/>
  <c r="AL56" i="49"/>
  <c r="AP56" i="49"/>
  <c r="AM56" i="49"/>
  <c r="AO56" i="49"/>
  <c r="AN56" i="49"/>
  <c r="AO57" i="49"/>
  <c r="AP57" i="49"/>
  <c r="AN57" i="49"/>
  <c r="AL57" i="49"/>
  <c r="AM57" i="49"/>
  <c r="F47" i="50" l="1"/>
  <c r="F54" i="50"/>
  <c r="F62" i="50"/>
  <c r="F61" i="50"/>
  <c r="F53" i="50"/>
  <c r="F52" i="50"/>
  <c r="F44" i="50"/>
  <c r="F51" i="50"/>
  <c r="F43" i="50"/>
  <c r="F41" i="50"/>
  <c r="F55" i="50"/>
  <c r="L45" i="50"/>
  <c r="L49" i="50"/>
  <c r="H44" i="50"/>
  <c r="H47" i="50"/>
  <c r="D60" i="50"/>
  <c r="H55" i="50"/>
  <c r="D41" i="50"/>
  <c r="H49" i="50"/>
  <c r="H60" i="50"/>
  <c r="H43" i="50"/>
  <c r="L47" i="50"/>
  <c r="H46" i="50"/>
  <c r="L50" i="50"/>
  <c r="D63" i="50"/>
  <c r="AD82" i="50" s="1"/>
  <c r="F63" i="50"/>
  <c r="AD84" i="50" s="1"/>
  <c r="H50" i="50"/>
  <c r="F46" i="50"/>
  <c r="F50" i="50"/>
  <c r="F64" i="50"/>
  <c r="D49" i="50"/>
  <c r="L52" i="50"/>
  <c r="F48" i="50"/>
  <c r="L46" i="50"/>
  <c r="F45" i="50"/>
  <c r="F58" i="50"/>
  <c r="L56" i="50"/>
  <c r="L55" i="50"/>
  <c r="F42" i="50"/>
  <c r="D59" i="50"/>
  <c r="F57" i="50"/>
  <c r="H63" i="50"/>
  <c r="AD86" i="50" s="1"/>
  <c r="D55" i="50"/>
  <c r="D46" i="50"/>
  <c r="D56" i="50"/>
  <c r="D45" i="50"/>
  <c r="D44" i="50"/>
  <c r="F56" i="50"/>
  <c r="F59" i="50"/>
  <c r="H56" i="50"/>
  <c r="L59" i="50"/>
  <c r="L60" i="50"/>
  <c r="B72" i="50"/>
  <c r="AV39" i="49" l="1"/>
  <c r="BA39" i="49" s="1"/>
  <c r="AU39" i="49"/>
  <c r="AZ39" i="49" s="1"/>
  <c r="AT39" i="49"/>
  <c r="AY39" i="49" s="1"/>
  <c r="AS39" i="49"/>
  <c r="AX39" i="49" s="1"/>
  <c r="AR39" i="49"/>
  <c r="AW39" i="49" s="1"/>
  <c r="AM39" i="49"/>
  <c r="AN39" i="49"/>
  <c r="AO39" i="49"/>
  <c r="AP39" i="49"/>
  <c r="AL39" i="49"/>
  <c r="AD4" i="50" l="1"/>
  <c r="AC107" i="49"/>
  <c r="AB69" i="49"/>
  <c r="AA69" i="49"/>
  <c r="Z69" i="49"/>
  <c r="Y69" i="49"/>
  <c r="X69" i="49"/>
  <c r="AB66" i="49"/>
  <c r="AB65" i="49"/>
  <c r="Y63" i="49"/>
  <c r="AK62" i="49"/>
  <c r="AK61" i="49"/>
  <c r="AK60" i="49"/>
  <c r="AK59" i="49"/>
  <c r="AK58" i="49"/>
  <c r="AK55" i="49"/>
  <c r="Y55" i="49"/>
  <c r="AK54" i="49"/>
  <c r="Y54" i="49"/>
  <c r="AK53" i="49"/>
  <c r="Y53" i="49"/>
  <c r="AK52" i="49"/>
  <c r="AA52" i="49"/>
  <c r="Y52" i="49"/>
  <c r="AK51" i="49"/>
  <c r="AA51" i="49"/>
  <c r="Y51" i="49"/>
  <c r="AK50" i="49"/>
  <c r="AA50" i="49"/>
  <c r="Y50" i="49"/>
  <c r="AK49" i="49"/>
  <c r="AA49" i="49"/>
  <c r="Y49" i="49"/>
  <c r="AK48" i="49"/>
  <c r="AA48" i="49"/>
  <c r="Y48" i="49"/>
  <c r="AK47" i="49"/>
  <c r="AA47" i="49"/>
  <c r="Y47" i="49"/>
  <c r="AK46" i="49"/>
  <c r="AA46" i="49"/>
  <c r="Y46" i="49"/>
  <c r="AK45" i="49"/>
  <c r="AA45" i="49"/>
  <c r="Y45" i="49"/>
  <c r="AK44" i="49"/>
  <c r="AA44" i="49"/>
  <c r="Y44" i="49"/>
  <c r="AK43" i="49"/>
  <c r="AA43" i="49"/>
  <c r="Y43" i="49"/>
  <c r="AK42" i="49"/>
  <c r="AA42" i="49"/>
  <c r="Y42" i="49"/>
  <c r="AK41" i="49"/>
  <c r="AA41" i="49"/>
  <c r="Y41" i="49"/>
  <c r="AK40" i="49"/>
  <c r="X30" i="49"/>
  <c r="X29" i="49"/>
  <c r="X28" i="49"/>
  <c r="X27" i="49"/>
  <c r="X24" i="49"/>
  <c r="X23" i="49"/>
  <c r="X22" i="49"/>
  <c r="X21" i="49"/>
  <c r="X20" i="49"/>
  <c r="X19" i="49"/>
  <c r="X18" i="49"/>
  <c r="X17" i="49"/>
  <c r="X16" i="49"/>
  <c r="X15" i="49"/>
  <c r="X14" i="49"/>
  <c r="X13" i="49"/>
  <c r="X12" i="49"/>
  <c r="X11" i="49"/>
  <c r="X10" i="49"/>
  <c r="X9" i="49"/>
  <c r="AD8" i="49"/>
  <c r="AC8" i="49"/>
  <c r="AB8" i="49"/>
  <c r="AA8" i="49"/>
  <c r="Z8" i="49"/>
  <c r="AW42" i="49" l="1"/>
  <c r="BA42" i="49"/>
  <c r="AX42" i="49"/>
  <c r="AZ42" i="49"/>
  <c r="AY42" i="49"/>
  <c r="AY46" i="49"/>
  <c r="AX46" i="49"/>
  <c r="AW46" i="49"/>
  <c r="AZ46" i="49"/>
  <c r="BA46" i="49"/>
  <c r="AZ50" i="49"/>
  <c r="AX50" i="49"/>
  <c r="AW50" i="49"/>
  <c r="AY50" i="49"/>
  <c r="BA50" i="49"/>
  <c r="AY53" i="49"/>
  <c r="AX53" i="49"/>
  <c r="AW53" i="49"/>
  <c r="AZ53" i="49"/>
  <c r="BA53" i="49"/>
  <c r="AX55" i="49"/>
  <c r="AZ55" i="49"/>
  <c r="AW55" i="49"/>
  <c r="AY55" i="49"/>
  <c r="BA55" i="49"/>
  <c r="AZ61" i="49"/>
  <c r="BA61" i="49"/>
  <c r="AX61" i="49"/>
  <c r="AW61" i="49"/>
  <c r="AY61" i="49"/>
  <c r="AX41" i="49"/>
  <c r="AZ41" i="49"/>
  <c r="AY41" i="49"/>
  <c r="AW41" i="49"/>
  <c r="BA41" i="49"/>
  <c r="BA45" i="49"/>
  <c r="AZ45" i="49"/>
  <c r="AW45" i="49"/>
  <c r="AX45" i="49"/>
  <c r="AY45" i="49"/>
  <c r="AX49" i="49"/>
  <c r="AZ49" i="49"/>
  <c r="AY49" i="49"/>
  <c r="AW49" i="49"/>
  <c r="BA49" i="49"/>
  <c r="AW58" i="49"/>
  <c r="AX58" i="49"/>
  <c r="BA58" i="49"/>
  <c r="AY58" i="49"/>
  <c r="AZ58" i="49"/>
  <c r="AY62" i="49"/>
  <c r="AX62" i="49"/>
  <c r="AZ62" i="49"/>
  <c r="BA62" i="49"/>
  <c r="AW62" i="49"/>
  <c r="BA40" i="49"/>
  <c r="AZ40" i="49"/>
  <c r="AW40" i="49"/>
  <c r="AY40" i="49"/>
  <c r="AX40" i="49"/>
  <c r="AR40" i="49"/>
  <c r="AX44" i="49"/>
  <c r="AY44" i="49"/>
  <c r="AZ44" i="49"/>
  <c r="AW44" i="49"/>
  <c r="BA44" i="49"/>
  <c r="AY48" i="49"/>
  <c r="AW48" i="49"/>
  <c r="AX48" i="49"/>
  <c r="AZ48" i="49"/>
  <c r="BA48" i="49"/>
  <c r="AW52" i="49"/>
  <c r="AX52" i="49"/>
  <c r="BA52" i="49"/>
  <c r="AY52" i="49"/>
  <c r="AZ52" i="49"/>
  <c r="AY54" i="49"/>
  <c r="AW54" i="49"/>
  <c r="BA54" i="49"/>
  <c r="AZ54" i="49"/>
  <c r="AX54" i="49"/>
  <c r="AZ59" i="49"/>
  <c r="AW59" i="49"/>
  <c r="AY59" i="49"/>
  <c r="BA59" i="49"/>
  <c r="AX59" i="49"/>
  <c r="AY43" i="49"/>
  <c r="AW43" i="49"/>
  <c r="AZ43" i="49"/>
  <c r="AX43" i="49"/>
  <c r="BA43" i="49"/>
  <c r="AY47" i="49"/>
  <c r="AW47" i="49"/>
  <c r="AX47" i="49"/>
  <c r="AZ47" i="49"/>
  <c r="BA47" i="49"/>
  <c r="AY51" i="49"/>
  <c r="AX51" i="49"/>
  <c r="AW51" i="49"/>
  <c r="AZ51" i="49"/>
  <c r="BA51" i="49"/>
  <c r="BA60" i="49"/>
  <c r="AZ60" i="49"/>
  <c r="AX60" i="49"/>
  <c r="AY60" i="49"/>
  <c r="AW60" i="49"/>
  <c r="Z80" i="49"/>
  <c r="Z84" i="49"/>
  <c r="Z88" i="49"/>
  <c r="Z92" i="49"/>
  <c r="Z96" i="49"/>
  <c r="Z76" i="49"/>
  <c r="Z78" i="49"/>
  <c r="Z82" i="49"/>
  <c r="Z86" i="49"/>
  <c r="Z94" i="49"/>
  <c r="Z79" i="49"/>
  <c r="Z83" i="49"/>
  <c r="Z87" i="49"/>
  <c r="Z91" i="49"/>
  <c r="Z99" i="49"/>
  <c r="Z77" i="49"/>
  <c r="Z81" i="49"/>
  <c r="Z85" i="49"/>
  <c r="Z89" i="49"/>
  <c r="Z93" i="49"/>
  <c r="Z97" i="49"/>
  <c r="Y76" i="49"/>
  <c r="Z90" i="49"/>
  <c r="Z98" i="49"/>
  <c r="Z95" i="49"/>
  <c r="Y77" i="49"/>
  <c r="Y82" i="49"/>
  <c r="Y86" i="49"/>
  <c r="Y90" i="49"/>
  <c r="Y94" i="49"/>
  <c r="Y78" i="49"/>
  <c r="Y83" i="49"/>
  <c r="Y87" i="49"/>
  <c r="Y91" i="49"/>
  <c r="Y95" i="49"/>
  <c r="Y98" i="49"/>
  <c r="Y80" i="49"/>
  <c r="Y84" i="49"/>
  <c r="Y88" i="49"/>
  <c r="Y92" i="49"/>
  <c r="Y96" i="49"/>
  <c r="Y99" i="49"/>
  <c r="Y81" i="49"/>
  <c r="Y85" i="49"/>
  <c r="Y89" i="49"/>
  <c r="Y93" i="49"/>
  <c r="Y97" i="49"/>
  <c r="Y79" i="49"/>
  <c r="AQ44" i="49"/>
  <c r="AT44" i="49"/>
  <c r="AR44" i="49"/>
  <c r="AS44" i="49"/>
  <c r="AU44" i="49"/>
  <c r="AV44" i="49"/>
  <c r="AQ48" i="49"/>
  <c r="AT48" i="49"/>
  <c r="AR48" i="49"/>
  <c r="AS48" i="49"/>
  <c r="AU48" i="49"/>
  <c r="AV48" i="49"/>
  <c r="AQ52" i="49"/>
  <c r="AT52" i="49"/>
  <c r="AR52" i="49"/>
  <c r="AU52" i="49"/>
  <c r="AV52" i="49"/>
  <c r="AS52" i="49"/>
  <c r="AQ59" i="49"/>
  <c r="AU59" i="49"/>
  <c r="AR59" i="49"/>
  <c r="AV59" i="49"/>
  <c r="AS59" i="49"/>
  <c r="AT59" i="49"/>
  <c r="AQ51" i="49"/>
  <c r="AU51" i="49"/>
  <c r="AT51" i="49"/>
  <c r="AR51" i="49"/>
  <c r="AV51" i="49"/>
  <c r="AS51" i="49"/>
  <c r="AQ60" i="49"/>
  <c r="AT60" i="49"/>
  <c r="AR60" i="49"/>
  <c r="AS60" i="49"/>
  <c r="AU60" i="49"/>
  <c r="AV60" i="49"/>
  <c r="AQ46" i="49"/>
  <c r="AR46" i="49"/>
  <c r="AV46" i="49"/>
  <c r="AT46" i="49"/>
  <c r="AU46" i="49"/>
  <c r="AS46" i="49"/>
  <c r="AQ41" i="49"/>
  <c r="AS41" i="49"/>
  <c r="AR41" i="49"/>
  <c r="AV41" i="49"/>
  <c r="AT41" i="49"/>
  <c r="AU41" i="49"/>
  <c r="AQ45" i="49"/>
  <c r="AS45" i="49"/>
  <c r="AR45" i="49"/>
  <c r="AT45" i="49"/>
  <c r="AU45" i="49"/>
  <c r="AV45" i="49"/>
  <c r="AQ49" i="49"/>
  <c r="AS49" i="49"/>
  <c r="AV49" i="49"/>
  <c r="AT49" i="49"/>
  <c r="AU49" i="49"/>
  <c r="AR49" i="49"/>
  <c r="AQ58" i="49"/>
  <c r="AR58" i="49"/>
  <c r="AV58" i="49"/>
  <c r="AT58" i="49"/>
  <c r="AU58" i="49"/>
  <c r="AS58" i="49"/>
  <c r="AR62" i="49"/>
  <c r="AV62" i="49"/>
  <c r="AT62" i="49"/>
  <c r="AS62" i="49"/>
  <c r="AU62" i="49"/>
  <c r="AQ40" i="49"/>
  <c r="AV40" i="49"/>
  <c r="AU40" i="49"/>
  <c r="AS40" i="49"/>
  <c r="AT40" i="49"/>
  <c r="AQ54" i="49"/>
  <c r="AR54" i="49"/>
  <c r="AV54" i="49"/>
  <c r="AS54" i="49"/>
  <c r="AT54" i="49"/>
  <c r="AU54" i="49"/>
  <c r="AQ43" i="49"/>
  <c r="AU43" i="49"/>
  <c r="AT43" i="49"/>
  <c r="AR43" i="49"/>
  <c r="AV43" i="49"/>
  <c r="AS43" i="49"/>
  <c r="AQ47" i="49"/>
  <c r="AU47" i="49"/>
  <c r="AR47" i="49"/>
  <c r="AV47" i="49"/>
  <c r="AS47" i="49"/>
  <c r="AT47" i="49"/>
  <c r="AQ42" i="49"/>
  <c r="AR42" i="49"/>
  <c r="AV42" i="49"/>
  <c r="AT42" i="49"/>
  <c r="AU42" i="49"/>
  <c r="AS42" i="49"/>
  <c r="AQ50" i="49"/>
  <c r="AR50" i="49"/>
  <c r="AV50" i="49"/>
  <c r="AT50" i="49"/>
  <c r="AS50" i="49"/>
  <c r="AU50" i="49"/>
  <c r="AQ53" i="49"/>
  <c r="AS53" i="49"/>
  <c r="AU53" i="49"/>
  <c r="AR53" i="49"/>
  <c r="AT53" i="49"/>
  <c r="AV53" i="49"/>
  <c r="AQ55" i="49"/>
  <c r="AU55" i="49"/>
  <c r="AS55" i="49"/>
  <c r="AT55" i="49"/>
  <c r="AR55" i="49"/>
  <c r="AV55" i="49"/>
  <c r="AQ61" i="49"/>
  <c r="AS61" i="49"/>
  <c r="AV61" i="49"/>
  <c r="AT61" i="49"/>
  <c r="AU61" i="49"/>
  <c r="AR61" i="49"/>
  <c r="AQ64" i="49"/>
  <c r="AV64" i="49"/>
  <c r="AT64" i="49"/>
  <c r="AS64" i="49"/>
  <c r="AR64" i="49"/>
  <c r="AU64" i="49"/>
  <c r="AN50" i="49"/>
  <c r="AL50" i="49"/>
  <c r="AP50" i="49"/>
  <c r="AM50" i="49"/>
  <c r="AO50" i="49"/>
  <c r="AO53" i="49"/>
  <c r="AL53" i="49"/>
  <c r="AM53" i="49"/>
  <c r="AN53" i="49"/>
  <c r="AP53" i="49"/>
  <c r="AM55" i="49"/>
  <c r="AL55" i="49"/>
  <c r="AP55" i="49"/>
  <c r="AN55" i="49"/>
  <c r="AO55" i="49"/>
  <c r="AO61" i="49"/>
  <c r="AL61" i="49"/>
  <c r="AN61" i="49"/>
  <c r="AP61" i="49"/>
  <c r="AM61" i="49"/>
  <c r="AO49" i="49"/>
  <c r="AP49" i="49"/>
  <c r="AM49" i="49"/>
  <c r="AN49" i="49"/>
  <c r="AL49" i="49"/>
  <c r="AL40" i="49"/>
  <c r="AP40" i="49"/>
  <c r="AN40" i="49"/>
  <c r="AO40" i="49"/>
  <c r="AM40" i="49"/>
  <c r="AL44" i="49"/>
  <c r="AP44" i="49"/>
  <c r="AN44" i="49"/>
  <c r="AO44" i="49"/>
  <c r="AM44" i="49"/>
  <c r="AL48" i="49"/>
  <c r="AP48" i="49"/>
  <c r="AM48" i="49"/>
  <c r="AN48" i="49"/>
  <c r="AO48" i="49"/>
  <c r="AL52" i="49"/>
  <c r="AP52" i="49"/>
  <c r="AN52" i="49"/>
  <c r="AO52" i="49"/>
  <c r="AM52" i="49"/>
  <c r="AN54" i="49"/>
  <c r="AO54" i="49"/>
  <c r="AM54" i="49"/>
  <c r="AL54" i="49"/>
  <c r="AP54" i="49"/>
  <c r="AM59" i="49"/>
  <c r="AN59" i="49"/>
  <c r="AL59" i="49"/>
  <c r="AP59" i="49"/>
  <c r="AO59" i="49"/>
  <c r="AN42" i="49"/>
  <c r="AL42" i="49"/>
  <c r="AP42" i="49"/>
  <c r="AM42" i="49"/>
  <c r="AO42" i="49"/>
  <c r="AN46" i="49"/>
  <c r="AO46" i="49"/>
  <c r="AL46" i="49"/>
  <c r="AP46" i="49"/>
  <c r="AM46" i="49"/>
  <c r="AO41" i="49"/>
  <c r="AL41" i="49"/>
  <c r="AM41" i="49"/>
  <c r="AN41" i="49"/>
  <c r="AP41" i="49"/>
  <c r="AO45" i="49"/>
  <c r="AL45" i="49"/>
  <c r="AM45" i="49"/>
  <c r="AN45" i="49"/>
  <c r="AP45" i="49"/>
  <c r="AN58" i="49"/>
  <c r="AM58" i="49"/>
  <c r="AO58" i="49"/>
  <c r="AP58" i="49"/>
  <c r="AL58" i="49"/>
  <c r="AN62" i="49"/>
  <c r="AO62" i="49"/>
  <c r="AM62" i="49"/>
  <c r="AL62" i="49"/>
  <c r="AP62" i="49"/>
  <c r="AM43" i="49"/>
  <c r="AN43" i="49"/>
  <c r="AO43" i="49"/>
  <c r="AL43" i="49"/>
  <c r="AP43" i="49"/>
  <c r="AM47" i="49"/>
  <c r="AO47" i="49"/>
  <c r="AL47" i="49"/>
  <c r="AP47" i="49"/>
  <c r="AN47" i="49"/>
  <c r="AM51" i="49"/>
  <c r="AN51" i="49"/>
  <c r="AO51" i="49"/>
  <c r="AL51" i="49"/>
  <c r="AP51" i="49"/>
  <c r="AL60" i="49"/>
  <c r="AP60" i="49"/>
  <c r="AO60" i="49"/>
  <c r="AM60" i="49"/>
  <c r="AN60" i="49"/>
  <c r="AM64" i="49"/>
  <c r="AL64" i="49"/>
  <c r="AN64" i="49"/>
  <c r="AO64" i="49"/>
  <c r="AP64" i="49"/>
  <c r="AA63" i="49"/>
  <c r="Z4" i="49"/>
  <c r="X4" i="49"/>
  <c r="AK64" i="49" l="1"/>
  <c r="M64" i="49"/>
  <c r="AB70" i="49"/>
  <c r="X70" i="49"/>
  <c r="X40" i="49"/>
  <c r="Y40" i="49" s="1"/>
  <c r="AA70" i="49"/>
  <c r="Y70" i="49"/>
  <c r="Z70" i="49"/>
  <c r="Z40" i="49" l="1"/>
  <c r="E30" i="44" l="1"/>
  <c r="E29" i="44"/>
  <c r="E28" i="44"/>
  <c r="E27" i="44"/>
  <c r="E24" i="44"/>
  <c r="E23" i="44"/>
  <c r="E22" i="44"/>
  <c r="E21" i="44"/>
  <c r="E20" i="44"/>
  <c r="E19" i="44"/>
  <c r="E18" i="44"/>
  <c r="E17" i="44"/>
  <c r="E16" i="44"/>
  <c r="E15" i="44"/>
  <c r="E14" i="44"/>
  <c r="E13" i="44"/>
  <c r="E12" i="44"/>
  <c r="E11" i="44"/>
  <c r="E10" i="44"/>
  <c r="E9" i="44"/>
  <c r="AB62" i="68" l="1"/>
  <c r="AC63" i="70"/>
  <c r="AB62" i="69"/>
  <c r="AB62" i="67"/>
  <c r="AB62" i="66"/>
  <c r="AB62" i="65"/>
  <c r="AB62" i="64"/>
  <c r="AB62" i="63"/>
  <c r="AB62" i="62"/>
  <c r="AB62" i="49"/>
  <c r="AB53" i="68"/>
  <c r="AC54" i="70"/>
  <c r="AB53" i="69"/>
  <c r="AB53" i="67"/>
  <c r="AB53" i="66"/>
  <c r="AB53" i="65"/>
  <c r="AB53" i="64"/>
  <c r="AB53" i="63"/>
  <c r="AB53" i="62"/>
  <c r="AB53" i="49"/>
  <c r="AB42" i="62"/>
  <c r="AB50" i="67"/>
  <c r="AB50" i="66"/>
  <c r="AB50" i="65"/>
  <c r="AB50" i="64"/>
  <c r="AB50" i="63"/>
  <c r="AB50" i="62"/>
  <c r="AB51" i="68"/>
  <c r="AC52" i="70"/>
  <c r="AB51" i="69"/>
  <c r="AB51" i="67"/>
  <c r="AB51" i="66"/>
  <c r="AB51" i="65"/>
  <c r="AB51" i="64"/>
  <c r="AB51" i="63"/>
  <c r="AB51" i="62"/>
  <c r="AC57" i="70"/>
  <c r="AC43" i="70"/>
  <c r="AB42" i="69"/>
  <c r="AB42" i="68"/>
  <c r="AB42" i="66"/>
  <c r="AB42" i="67"/>
  <c r="AB42" i="65"/>
  <c r="AB42" i="64"/>
  <c r="AB42" i="63"/>
  <c r="AC55" i="70"/>
  <c r="AB54" i="69"/>
  <c r="AB54" i="68"/>
  <c r="AB54" i="67"/>
  <c r="AB54" i="66"/>
  <c r="AB54" i="65"/>
  <c r="AB54" i="64"/>
  <c r="AB54" i="63"/>
  <c r="AB54" i="62"/>
  <c r="AB54" i="49"/>
  <c r="AC56" i="70"/>
  <c r="AB55" i="69"/>
  <c r="AB55" i="68"/>
  <c r="AB55" i="66"/>
  <c r="AB55" i="67"/>
  <c r="AB55" i="65"/>
  <c r="AB55" i="64"/>
  <c r="AB55" i="63"/>
  <c r="AB55" i="62"/>
  <c r="AB55" i="49"/>
  <c r="AC62" i="70"/>
  <c r="AB61" i="69"/>
  <c r="AB61" i="68"/>
  <c r="AB61" i="66"/>
  <c r="AB61" i="67"/>
  <c r="AB61" i="65"/>
  <c r="AB61" i="64"/>
  <c r="AB61" i="63"/>
  <c r="AB61" i="62"/>
  <c r="AB61" i="49"/>
  <c r="AC42" i="70"/>
  <c r="AB41" i="69"/>
  <c r="AB41" i="68"/>
  <c r="AB41" i="67"/>
  <c r="AB41" i="66"/>
  <c r="AB41" i="65"/>
  <c r="AB41" i="64"/>
  <c r="AB41" i="63"/>
  <c r="AB41" i="62"/>
  <c r="E31" i="44"/>
  <c r="C31" i="44" s="1"/>
  <c r="AC46" i="70"/>
  <c r="AB45" i="69"/>
  <c r="AB45" i="68"/>
  <c r="AB45" i="66"/>
  <c r="AB45" i="67"/>
  <c r="AB45" i="65"/>
  <c r="AB45" i="64"/>
  <c r="AB45" i="63"/>
  <c r="AB45" i="62"/>
  <c r="AC50" i="70"/>
  <c r="AB49" i="69"/>
  <c r="AB49" i="68"/>
  <c r="AB49" i="66"/>
  <c r="AB49" i="67"/>
  <c r="AB49" i="65"/>
  <c r="AB49" i="64"/>
  <c r="AB49" i="63"/>
  <c r="AB49" i="62"/>
  <c r="AC60" i="70"/>
  <c r="AB59" i="69"/>
  <c r="AB59" i="68"/>
  <c r="AB59" i="66"/>
  <c r="AB59" i="67"/>
  <c r="AB59" i="65"/>
  <c r="AB59" i="64"/>
  <c r="AB59" i="63"/>
  <c r="AB59" i="62"/>
  <c r="AB59" i="49"/>
  <c r="AC47" i="70"/>
  <c r="AB46" i="69"/>
  <c r="AB46" i="68"/>
  <c r="AB46" i="66"/>
  <c r="AB46" i="67"/>
  <c r="AB46" i="65"/>
  <c r="AB46" i="64"/>
  <c r="AB46" i="63"/>
  <c r="AB46" i="62"/>
  <c r="AC51" i="70"/>
  <c r="AB50" i="69"/>
  <c r="AB50" i="68"/>
  <c r="AC61" i="70"/>
  <c r="AB60" i="69"/>
  <c r="AB60" i="68"/>
  <c r="AB60" i="66"/>
  <c r="AB60" i="67"/>
  <c r="AB60" i="65"/>
  <c r="AB60" i="64"/>
  <c r="AB60" i="63"/>
  <c r="AB60" i="62"/>
  <c r="AB60" i="49"/>
  <c r="AC44" i="70"/>
  <c r="AB43" i="69"/>
  <c r="AB43" i="68"/>
  <c r="AB43" i="67"/>
  <c r="AB43" i="66"/>
  <c r="AB43" i="65"/>
  <c r="AB43" i="64"/>
  <c r="AB43" i="63"/>
  <c r="AB43" i="62"/>
  <c r="AC48" i="70"/>
  <c r="AB47" i="69"/>
  <c r="AB47" i="68"/>
  <c r="AB47" i="66"/>
  <c r="AB47" i="67"/>
  <c r="AB47" i="65"/>
  <c r="AB47" i="64"/>
  <c r="AB47" i="63"/>
  <c r="AB47" i="62"/>
  <c r="AC45" i="70"/>
  <c r="AB44" i="69"/>
  <c r="AB44" i="68"/>
  <c r="AB44" i="66"/>
  <c r="AB44" i="67"/>
  <c r="AB44" i="65"/>
  <c r="AB44" i="64"/>
  <c r="AB44" i="63"/>
  <c r="AB44" i="62"/>
  <c r="AC49" i="70"/>
  <c r="AB48" i="69"/>
  <c r="AB48" i="68"/>
  <c r="AB48" i="66"/>
  <c r="AB48" i="67"/>
  <c r="AB48" i="65"/>
  <c r="AB48" i="64"/>
  <c r="AB48" i="63"/>
  <c r="AB48" i="62"/>
  <c r="AC53" i="70"/>
  <c r="AB52" i="69"/>
  <c r="AB52" i="68"/>
  <c r="AB52" i="66"/>
  <c r="AB52" i="67"/>
  <c r="AB52" i="65"/>
  <c r="AB52" i="64"/>
  <c r="AB52" i="63"/>
  <c r="AB52" i="62"/>
  <c r="AB56" i="69"/>
  <c r="AB56" i="68"/>
  <c r="AB56" i="66"/>
  <c r="AB56" i="67"/>
  <c r="AB56" i="65"/>
  <c r="AB56" i="64"/>
  <c r="AB56" i="63"/>
  <c r="AB56" i="62"/>
  <c r="AB56" i="49"/>
  <c r="AB47" i="49"/>
  <c r="AB44" i="49"/>
  <c r="AB52" i="49"/>
  <c r="AB45" i="49"/>
  <c r="AB49" i="49"/>
  <c r="AB43" i="49"/>
  <c r="AB51" i="49"/>
  <c r="AB48" i="49"/>
  <c r="AB41" i="49"/>
  <c r="AB42" i="49"/>
  <c r="AB46" i="49"/>
  <c r="AB50" i="49"/>
  <c r="AC64" i="70" l="1"/>
  <c r="R31" i="70"/>
  <c r="AR63" i="70" s="1"/>
  <c r="R31" i="69"/>
  <c r="R31" i="68"/>
  <c r="R31" i="66"/>
  <c r="R31" i="67"/>
  <c r="R31" i="65"/>
  <c r="R31" i="64"/>
  <c r="R31" i="63"/>
  <c r="R31" i="62"/>
  <c r="R31" i="49"/>
  <c r="AB63" i="66"/>
  <c r="AB63" i="64"/>
  <c r="AB63" i="68"/>
  <c r="AB63" i="62"/>
  <c r="AB63" i="67"/>
  <c r="AB63" i="63"/>
  <c r="AB63" i="65"/>
  <c r="AB63" i="69"/>
  <c r="AB63" i="49"/>
  <c r="S31" i="63" l="1"/>
  <c r="T31" i="63" s="1"/>
  <c r="AR62" i="63"/>
  <c r="S31" i="66"/>
  <c r="T31" i="66" s="1"/>
  <c r="AQ62" i="66"/>
  <c r="S31" i="64"/>
  <c r="T31" i="64" s="1"/>
  <c r="AQ62" i="64"/>
  <c r="S31" i="68"/>
  <c r="T31" i="68" s="1"/>
  <c r="AQ62" i="68"/>
  <c r="S31" i="49"/>
  <c r="T31" i="49" s="1"/>
  <c r="AQ62" i="49"/>
  <c r="S31" i="65"/>
  <c r="T31" i="65" s="1"/>
  <c r="AQ62" i="65"/>
  <c r="S31" i="69"/>
  <c r="T31" i="69" s="1"/>
  <c r="AQ62" i="69"/>
  <c r="S31" i="62"/>
  <c r="T31" i="62" s="1"/>
  <c r="AQ62" i="62"/>
  <c r="AQ62" i="67"/>
  <c r="S31" i="67"/>
  <c r="T31" i="67" s="1"/>
  <c r="T27" i="22" l="1"/>
  <c r="T24" i="22"/>
  <c r="T28" i="22"/>
  <c r="T26" i="22"/>
  <c r="T25" i="22"/>
  <c r="T29" i="22"/>
  <c r="T10" i="22"/>
  <c r="T14" i="22"/>
  <c r="T18" i="22"/>
  <c r="T22" i="22"/>
  <c r="T11" i="22"/>
  <c r="T15" i="22"/>
  <c r="T19" i="22"/>
  <c r="T23" i="22"/>
  <c r="T12" i="22"/>
  <c r="T16" i="22"/>
  <c r="T20" i="22"/>
  <c r="T8" i="22"/>
  <c r="T9" i="22"/>
  <c r="T13" i="22"/>
  <c r="T17" i="22"/>
  <c r="T21" i="22"/>
  <c r="T4" i="22"/>
  <c r="R4" i="22"/>
  <c r="U25" i="44" l="1"/>
  <c r="U26" i="44"/>
  <c r="U10" i="44"/>
  <c r="U14" i="44"/>
  <c r="U18" i="44"/>
  <c r="U22" i="44"/>
  <c r="U28" i="44"/>
  <c r="U9" i="44"/>
  <c r="U20" i="44"/>
  <c r="U30" i="44"/>
  <c r="U17" i="44"/>
  <c r="S5" i="44"/>
  <c r="U11" i="44"/>
  <c r="U15" i="44"/>
  <c r="U19" i="44"/>
  <c r="U23" i="44"/>
  <c r="U29" i="44"/>
  <c r="U12" i="44"/>
  <c r="U16" i="44"/>
  <c r="U24" i="44"/>
  <c r="U13" i="44"/>
  <c r="U21" i="44"/>
  <c r="U27" i="44"/>
  <c r="U5" i="44"/>
  <c r="BB40" i="63" l="1"/>
  <c r="AZ40" i="63"/>
  <c r="BA40" i="63"/>
  <c r="AX40" i="63"/>
  <c r="AY40" i="63"/>
  <c r="BC9" i="50" l="1"/>
  <c r="BC30" i="50"/>
  <c r="BC29" i="50"/>
  <c r="BC28" i="50"/>
  <c r="BC27" i="50"/>
  <c r="BC26" i="50"/>
  <c r="BC24" i="50"/>
  <c r="BC25" i="50"/>
  <c r="BC23" i="50"/>
  <c r="BC22" i="50"/>
  <c r="BC21" i="50"/>
  <c r="BC20" i="50"/>
  <c r="BC19" i="50"/>
  <c r="BC12" i="50"/>
  <c r="BC11" i="50"/>
  <c r="BC18" i="50"/>
  <c r="BC17" i="50"/>
  <c r="BC16" i="50"/>
  <c r="BC15" i="50"/>
  <c r="BC14" i="50"/>
  <c r="AA19" i="76"/>
  <c r="U21" i="76"/>
  <c r="AA25" i="76"/>
  <c r="U19" i="76"/>
  <c r="U23" i="76"/>
  <c r="T20" i="76"/>
  <c r="T16" i="76"/>
  <c r="Y22" i="76"/>
  <c r="Y25" i="76"/>
  <c r="Y18" i="76"/>
  <c r="W23" i="76"/>
  <c r="V23" i="76"/>
  <c r="X21" i="76"/>
  <c r="W24" i="76"/>
  <c r="W17" i="76"/>
  <c r="V17" i="76"/>
  <c r="X16" i="76"/>
  <c r="BC10" i="50"/>
  <c r="BC13" i="50"/>
  <c r="AA17" i="76"/>
  <c r="U24" i="76"/>
  <c r="AA20" i="76"/>
  <c r="T21" i="76"/>
  <c r="T24" i="76"/>
  <c r="T19" i="76"/>
  <c r="U18" i="76"/>
  <c r="U16" i="76"/>
  <c r="Y19" i="76"/>
  <c r="Y16" i="76"/>
  <c r="V19" i="76"/>
  <c r="W19" i="76"/>
  <c r="X19" i="76"/>
  <c r="W22" i="76"/>
  <c r="X23" i="76"/>
  <c r="AA23" i="76"/>
  <c r="T25" i="76"/>
  <c r="AA16" i="76"/>
  <c r="T23" i="76"/>
  <c r="AA22" i="76"/>
  <c r="AA18" i="76"/>
  <c r="U17" i="76"/>
  <c r="T17" i="76"/>
  <c r="Y17" i="76"/>
  <c r="Y24" i="76"/>
  <c r="V24" i="76"/>
  <c r="X25" i="76"/>
  <c r="W21" i="76"/>
  <c r="V25" i="76"/>
  <c r="V21" i="76"/>
  <c r="W20" i="76"/>
  <c r="V20" i="76"/>
  <c r="X20" i="76"/>
  <c r="P24" i="76"/>
  <c r="R41" i="50"/>
  <c r="T53" i="50"/>
  <c r="V56" i="50"/>
  <c r="P59" i="50"/>
  <c r="T22" i="76"/>
  <c r="T18" i="76"/>
  <c r="Y20" i="76"/>
  <c r="X22" i="76"/>
  <c r="W18" i="76"/>
  <c r="V16" i="76"/>
  <c r="P57" i="50"/>
  <c r="T54" i="50"/>
  <c r="V55" i="50"/>
  <c r="R42" i="50"/>
  <c r="J46" i="50"/>
  <c r="T56" i="50"/>
  <c r="P21" i="76"/>
  <c r="V62" i="50"/>
  <c r="R51" i="50"/>
  <c r="J54" i="50"/>
  <c r="P42" i="50"/>
  <c r="P19" i="76"/>
  <c r="J41" i="50"/>
  <c r="N51" i="50"/>
  <c r="R52" i="50"/>
  <c r="P46" i="50"/>
  <c r="R64" i="50"/>
  <c r="J57" i="50"/>
  <c r="T62" i="50"/>
  <c r="V51" i="50"/>
  <c r="V50" i="50"/>
  <c r="J52" i="50"/>
  <c r="T51" i="50"/>
  <c r="N53" i="50"/>
  <c r="J58" i="50"/>
  <c r="R59" i="50"/>
  <c r="T58" i="50"/>
  <c r="P25" i="76"/>
  <c r="N64" i="50"/>
  <c r="N56" i="50"/>
  <c r="V52" i="50"/>
  <c r="N58" i="50"/>
  <c r="T61" i="50"/>
  <c r="E25" i="76"/>
  <c r="N22" i="76"/>
  <c r="G22" i="76"/>
  <c r="I25" i="76"/>
  <c r="Q25" i="76"/>
  <c r="I24" i="76"/>
  <c r="P60" i="50"/>
  <c r="Q19" i="76"/>
  <c r="J23" i="76"/>
  <c r="M21" i="76"/>
  <c r="K19" i="76"/>
  <c r="E17" i="76"/>
  <c r="R24" i="76"/>
  <c r="Q21" i="76"/>
  <c r="J24" i="76"/>
  <c r="M24" i="76"/>
  <c r="K25" i="76"/>
  <c r="P17" i="76"/>
  <c r="M22" i="76"/>
  <c r="V60" i="50"/>
  <c r="I16" i="76"/>
  <c r="T49" i="50"/>
  <c r="L23" i="76"/>
  <c r="O18" i="76"/>
  <c r="L17" i="76"/>
  <c r="N49" i="50"/>
  <c r="R44" i="50"/>
  <c r="D20" i="76"/>
  <c r="K16" i="76"/>
  <c r="H17" i="76"/>
  <c r="U25" i="76"/>
  <c r="AA21" i="76"/>
  <c r="Y23" i="76"/>
  <c r="W25" i="76"/>
  <c r="V18" i="76"/>
  <c r="T64" i="50"/>
  <c r="J56" i="50"/>
  <c r="T50" i="50"/>
  <c r="J51" i="50"/>
  <c r="N42" i="50"/>
  <c r="J61" i="50"/>
  <c r="V57" i="50"/>
  <c r="R57" i="50"/>
  <c r="V53" i="50"/>
  <c r="P56" i="50"/>
  <c r="R56" i="50"/>
  <c r="V46" i="50"/>
  <c r="N46" i="50"/>
  <c r="R61" i="50"/>
  <c r="P23" i="76"/>
  <c r="Q24" i="76"/>
  <c r="N21" i="76"/>
  <c r="M19" i="76"/>
  <c r="I23" i="76"/>
  <c r="D19" i="76"/>
  <c r="T60" i="50"/>
  <c r="V47" i="50"/>
  <c r="R43" i="50"/>
  <c r="R45" i="50"/>
  <c r="S19" i="76"/>
  <c r="P20" i="76"/>
  <c r="E24" i="76"/>
  <c r="O21" i="76"/>
  <c r="S25" i="76"/>
  <c r="R22" i="76"/>
  <c r="D24" i="76"/>
  <c r="P47" i="50"/>
  <c r="K17" i="76"/>
  <c r="P18" i="76"/>
  <c r="J21" i="76"/>
  <c r="O19" i="76"/>
  <c r="S23" i="76"/>
  <c r="R19" i="76"/>
  <c r="J60" i="50"/>
  <c r="V48" i="50"/>
  <c r="J44" i="50"/>
  <c r="N23" i="76"/>
  <c r="G16" i="76"/>
  <c r="E16" i="76"/>
  <c r="V43" i="50"/>
  <c r="K18" i="76"/>
  <c r="K23" i="76"/>
  <c r="J47" i="50"/>
  <c r="AA24" i="76"/>
  <c r="Y21" i="76"/>
  <c r="V22" i="76"/>
  <c r="X18" i="76"/>
  <c r="N57" i="50"/>
  <c r="N55" i="50"/>
  <c r="P51" i="50"/>
  <c r="P53" i="50"/>
  <c r="J59" i="50"/>
  <c r="P61" i="50"/>
  <c r="T41" i="50"/>
  <c r="T46" i="50"/>
  <c r="J64" i="50"/>
  <c r="R62" i="50"/>
  <c r="J55" i="50"/>
  <c r="P55" i="50"/>
  <c r="V42" i="50"/>
  <c r="N41" i="50"/>
  <c r="T57" i="50"/>
  <c r="P54" i="50"/>
  <c r="J42" i="50"/>
  <c r="P41" i="50"/>
  <c r="J53" i="50"/>
  <c r="P62" i="50"/>
  <c r="V54" i="50"/>
  <c r="P50" i="50"/>
  <c r="P52" i="50"/>
  <c r="T52" i="50"/>
  <c r="R54" i="50"/>
  <c r="T42" i="50"/>
  <c r="R46" i="50"/>
  <c r="V59" i="50"/>
  <c r="V61" i="50"/>
  <c r="V41" i="50"/>
  <c r="N62" i="50"/>
  <c r="T55" i="50"/>
  <c r="R55" i="50"/>
  <c r="P58" i="50"/>
  <c r="P16" i="76"/>
  <c r="J22" i="76"/>
  <c r="M25" i="76"/>
  <c r="S24" i="76"/>
  <c r="M23" i="76"/>
  <c r="D22" i="76"/>
  <c r="T47" i="50"/>
  <c r="E21" i="76"/>
  <c r="O23" i="76"/>
  <c r="L25" i="76"/>
  <c r="I21" i="76"/>
  <c r="G19" i="76"/>
  <c r="N47" i="50"/>
  <c r="E22" i="76"/>
  <c r="O24" i="76"/>
  <c r="F23" i="76"/>
  <c r="R23" i="76"/>
  <c r="J25" i="76"/>
  <c r="R25" i="76"/>
  <c r="P44" i="50"/>
  <c r="N16" i="76"/>
  <c r="E18" i="76"/>
  <c r="V45" i="50"/>
  <c r="K22" i="76"/>
  <c r="F20" i="76"/>
  <c r="V44" i="50"/>
  <c r="S18" i="76"/>
  <c r="G20" i="76"/>
  <c r="L22" i="76"/>
  <c r="L16" i="76"/>
  <c r="K20" i="76"/>
  <c r="N43" i="50"/>
  <c r="G17" i="76"/>
  <c r="R18" i="76"/>
  <c r="G23" i="76"/>
  <c r="X17" i="76"/>
  <c r="N52" i="50"/>
  <c r="R58" i="50"/>
  <c r="R50" i="50"/>
  <c r="N50" i="50"/>
  <c r="T59" i="50"/>
  <c r="O22" i="76"/>
  <c r="V49" i="50"/>
  <c r="N19" i="76"/>
  <c r="H21" i="76"/>
  <c r="O25" i="76"/>
  <c r="N24" i="76"/>
  <c r="D25" i="76"/>
  <c r="E23" i="76"/>
  <c r="N18" i="76"/>
  <c r="G24" i="76"/>
  <c r="N48" i="50"/>
  <c r="F18" i="76"/>
  <c r="G25" i="76"/>
  <c r="Q16" i="76"/>
  <c r="F24" i="76"/>
  <c r="M20" i="76"/>
  <c r="Q17" i="76"/>
  <c r="T43" i="50"/>
  <c r="F21" i="76"/>
  <c r="F19" i="76"/>
  <c r="I18" i="76"/>
  <c r="N44" i="50"/>
  <c r="Q20" i="76"/>
  <c r="I20" i="76"/>
  <c r="S17" i="76"/>
  <c r="AD85" i="50"/>
  <c r="D23" i="76"/>
  <c r="F16" i="76"/>
  <c r="O20" i="76"/>
  <c r="S16" i="76"/>
  <c r="S20" i="76"/>
  <c r="J19" i="76"/>
  <c r="O16" i="76"/>
  <c r="P43" i="50"/>
  <c r="F17" i="76"/>
  <c r="J20" i="76"/>
  <c r="Z25" i="76"/>
  <c r="AD91" i="50"/>
  <c r="X24" i="76"/>
  <c r="V64" i="50"/>
  <c r="R53" i="50"/>
  <c r="J50" i="50"/>
  <c r="N59" i="50"/>
  <c r="E19" i="76"/>
  <c r="N45" i="50"/>
  <c r="N25" i="76"/>
  <c r="D21" i="76"/>
  <c r="Q23" i="76"/>
  <c r="N60" i="50"/>
  <c r="J17" i="76"/>
  <c r="Z22" i="76"/>
  <c r="R49" i="50"/>
  <c r="J18" i="76"/>
  <c r="R16" i="76"/>
  <c r="L24" i="76"/>
  <c r="F25" i="76"/>
  <c r="H25" i="76"/>
  <c r="N20" i="76"/>
  <c r="J43" i="50"/>
  <c r="J45" i="50"/>
  <c r="N17" i="76"/>
  <c r="F22" i="76"/>
  <c r="R48" i="50"/>
  <c r="G21" i="76"/>
  <c r="O17" i="76"/>
  <c r="T45" i="50"/>
  <c r="M17" i="76"/>
  <c r="K21" i="76"/>
  <c r="E20" i="76"/>
  <c r="H18" i="76"/>
  <c r="H16" i="76"/>
  <c r="L20" i="76"/>
  <c r="D18" i="76"/>
  <c r="J49" i="50"/>
  <c r="P45" i="50"/>
  <c r="M18" i="76"/>
  <c r="Z17" i="76"/>
  <c r="V63" i="50"/>
  <c r="AD100" i="50" s="1"/>
  <c r="AD101" i="50" s="1"/>
  <c r="U20" i="76"/>
  <c r="J62" i="50"/>
  <c r="P64" i="50"/>
  <c r="N61" i="50"/>
  <c r="P22" i="76"/>
  <c r="R21" i="76"/>
  <c r="J48" i="50"/>
  <c r="Q22" i="76"/>
  <c r="R60" i="50"/>
  <c r="I22" i="76"/>
  <c r="R47" i="50"/>
  <c r="D16" i="76"/>
  <c r="H22" i="76"/>
  <c r="M16" i="76"/>
  <c r="T48" i="50"/>
  <c r="L21" i="76"/>
  <c r="P63" i="50"/>
  <c r="AD94" i="50" s="1"/>
  <c r="AD95" i="50" s="1"/>
  <c r="D17" i="76"/>
  <c r="Q18" i="76"/>
  <c r="I17" i="76"/>
  <c r="L18" i="76"/>
  <c r="L19" i="76"/>
  <c r="K24" i="76"/>
  <c r="H19" i="76"/>
  <c r="P49" i="50"/>
  <c r="T44" i="50"/>
  <c r="H24" i="76"/>
  <c r="P48" i="50"/>
  <c r="Z16" i="76"/>
  <c r="Z21" i="76"/>
  <c r="Z19" i="76"/>
  <c r="Z24" i="76"/>
  <c r="Z18" i="76"/>
  <c r="AD83" i="50"/>
  <c r="U22" i="76"/>
  <c r="W16" i="76"/>
  <c r="V58" i="50"/>
  <c r="N54" i="50"/>
  <c r="S21" i="76"/>
  <c r="I19" i="76"/>
  <c r="H23" i="76"/>
  <c r="S22" i="76"/>
  <c r="R20" i="76"/>
  <c r="H20" i="76"/>
  <c r="G18" i="76"/>
  <c r="J16" i="76"/>
  <c r="R17" i="76"/>
  <c r="Z20" i="76"/>
  <c r="R63" i="50"/>
  <c r="AD96" i="50" s="1"/>
  <c r="AD97" i="50" s="1"/>
  <c r="AD87" i="50"/>
  <c r="N63" i="50"/>
  <c r="AD92" i="50" s="1"/>
  <c r="AD93" i="50" s="1"/>
  <c r="J63" i="50"/>
  <c r="AD88" i="50" s="1"/>
  <c r="AD89" i="50" s="1"/>
  <c r="T63" i="50"/>
  <c r="AD98" i="50" s="1"/>
  <c r="AD99" i="50" s="1"/>
  <c r="Z23" i="76"/>
</calcChain>
</file>

<file path=xl/sharedStrings.xml><?xml version="1.0" encoding="utf-8"?>
<sst xmlns="http://schemas.openxmlformats.org/spreadsheetml/2006/main" count="3036" uniqueCount="880">
  <si>
    <t>Bracknell Forest</t>
  </si>
  <si>
    <t>Isle of Wight</t>
  </si>
  <si>
    <t>Medway</t>
  </si>
  <si>
    <t>Reading</t>
  </si>
  <si>
    <t>East Sussex</t>
  </si>
  <si>
    <t>West Sussex</t>
  </si>
  <si>
    <t>Hampshire</t>
  </si>
  <si>
    <t>Surrey</t>
  </si>
  <si>
    <t>IDACI 2010</t>
  </si>
  <si>
    <t>Buckinghamshire</t>
  </si>
  <si>
    <t>Kent</t>
  </si>
  <si>
    <t>Milton Keynes</t>
  </si>
  <si>
    <t>Oxfordshire</t>
  </si>
  <si>
    <t>Portsmouth</t>
  </si>
  <si>
    <t>Slough</t>
  </si>
  <si>
    <t>Southampton</t>
  </si>
  <si>
    <t>West Berkshire</t>
  </si>
  <si>
    <t>Wokingham</t>
  </si>
  <si>
    <t>Population</t>
  </si>
  <si>
    <t>Section 47 Enquiries</t>
  </si>
  <si>
    <t>Initial Child Protection Conferences</t>
  </si>
  <si>
    <t>Child Protection Plans</t>
  </si>
  <si>
    <t>Looked After Children</t>
  </si>
  <si>
    <t>Assessments</t>
  </si>
  <si>
    <t>Police</t>
  </si>
  <si>
    <t>Re-referrals</t>
  </si>
  <si>
    <t>Children in Need</t>
  </si>
  <si>
    <t>Court Applications</t>
  </si>
  <si>
    <t>Percentage of Referrals going on to Assessment</t>
  </si>
  <si>
    <t xml:space="preserve">WARNING - This spreadsheet uses macros please ensure you have enabled macros before attempting to use </t>
  </si>
  <si>
    <t>LA</t>
  </si>
  <si>
    <t>Windsor &amp; Maidenhead</t>
  </si>
  <si>
    <t>Brighton &amp; Hove</t>
  </si>
  <si>
    <t>ü</t>
  </si>
  <si>
    <t>Relative/ Carer</t>
  </si>
  <si>
    <t>Acquaintance</t>
  </si>
  <si>
    <t>Self</t>
  </si>
  <si>
    <t>Other Individual</t>
  </si>
  <si>
    <t>Schools</t>
  </si>
  <si>
    <t>Education Services</t>
  </si>
  <si>
    <t>GP</t>
  </si>
  <si>
    <t>Health Visitor</t>
  </si>
  <si>
    <t>School Nurse</t>
  </si>
  <si>
    <t>Other primary health</t>
  </si>
  <si>
    <t>A&amp;E</t>
  </si>
  <si>
    <t>Other Health services</t>
  </si>
  <si>
    <t>Housing</t>
  </si>
  <si>
    <t>Social care</t>
  </si>
  <si>
    <t xml:space="preserve">Other Internal LA </t>
  </si>
  <si>
    <t>1A</t>
  </si>
  <si>
    <t>1B</t>
  </si>
  <si>
    <t>1C</t>
  </si>
  <si>
    <t>1D</t>
  </si>
  <si>
    <t>2A</t>
  </si>
  <si>
    <t>2B</t>
  </si>
  <si>
    <t>3A</t>
  </si>
  <si>
    <t>3B</t>
  </si>
  <si>
    <t>3C</t>
  </si>
  <si>
    <t>3D</t>
  </si>
  <si>
    <t>3E</t>
  </si>
  <si>
    <t>3F</t>
  </si>
  <si>
    <t>5A</t>
  </si>
  <si>
    <t>5B</t>
  </si>
  <si>
    <t>5C</t>
  </si>
  <si>
    <t>Anonymous</t>
  </si>
  <si>
    <t>Unknown</t>
  </si>
  <si>
    <t>Other</t>
  </si>
  <si>
    <t>Other legal agency</t>
  </si>
  <si>
    <t>External LA services</t>
  </si>
  <si>
    <t>Referral Source</t>
  </si>
  <si>
    <t>Slope</t>
  </si>
  <si>
    <t>Intercept</t>
  </si>
  <si>
    <t>South East LA Trend</t>
  </si>
  <si>
    <t>x</t>
  </si>
  <si>
    <t>South East</t>
  </si>
  <si>
    <t>Statistical Neighbour LA's</t>
  </si>
  <si>
    <t>mid-2009 0-15 Population</t>
  </si>
  <si>
    <t>Number of Children living in Poverty</t>
  </si>
  <si>
    <t>IDACI</t>
  </si>
  <si>
    <t>Population figures pulled through for those LA's who provided data- For calculation of SE Rate</t>
  </si>
  <si>
    <t>Referrals</t>
  </si>
  <si>
    <t>Participating LA's</t>
  </si>
  <si>
    <t>Jump to...</t>
  </si>
  <si>
    <t>Region</t>
  </si>
  <si>
    <t>South West</t>
  </si>
  <si>
    <t>Select your LA here to highlight throughout the report:</t>
  </si>
  <si>
    <t>Number of Referrals going on to Assessment</t>
  </si>
  <si>
    <t>TOTAL</t>
  </si>
  <si>
    <t>Number</t>
  </si>
  <si>
    <t>Rate per 10000 0-17 Year Olds</t>
  </si>
  <si>
    <t>LA Commentary:</t>
  </si>
  <si>
    <t>Initial CP Conferences</t>
  </si>
  <si>
    <t>Rank Lookup</t>
  </si>
  <si>
    <t>Somerset</t>
  </si>
  <si>
    <t>Individual</t>
  </si>
  <si>
    <t>IDACI 2015</t>
  </si>
  <si>
    <t>mid-2012 0-15 Population</t>
  </si>
  <si>
    <t>mid-2014</t>
  </si>
  <si>
    <r>
      <t>IDACI (</t>
    </r>
    <r>
      <rPr>
        <b/>
        <sz val="9"/>
        <rFont val="Arial"/>
        <family val="2"/>
      </rPr>
      <t>Income Deprivation Affecting Children Index)</t>
    </r>
  </si>
  <si>
    <t>Children living in Poverty</t>
  </si>
  <si>
    <t xml:space="preserve">This table shows which Local Authorities are currently participating, and which of their statistical neighbours are also participating. </t>
  </si>
  <si>
    <t>South East Rate</t>
  </si>
  <si>
    <t>Toggle LA's on and off using the tick boxes:</t>
  </si>
  <si>
    <t>Rate of CAF</t>
  </si>
  <si>
    <t xml:space="preserve"> </t>
  </si>
  <si>
    <t>Proportion (%)</t>
  </si>
  <si>
    <t>Select data to view:</t>
  </si>
  <si>
    <t>Rate per 10,000</t>
  </si>
  <si>
    <t>Health services</t>
  </si>
  <si>
    <t>LA services</t>
  </si>
  <si>
    <t>Percentage of Referrals which were Re-referrals</t>
  </si>
  <si>
    <t>Rank Lowest (1) to Highest</t>
  </si>
  <si>
    <t>11-45 Days</t>
  </si>
  <si>
    <t>Heatmap applied within each LA- the higher the figure the darker the colour</t>
  </si>
  <si>
    <t>ICPC as % of S47</t>
  </si>
  <si>
    <t>Coverage</t>
  </si>
  <si>
    <t>Swindon</t>
  </si>
  <si>
    <t>Torbay</t>
  </si>
  <si>
    <t>Social Care IT System Used</t>
  </si>
  <si>
    <t>Plans to Change Systems in the next Year</t>
  </si>
  <si>
    <t>PARIS</t>
  </si>
  <si>
    <t>No</t>
  </si>
  <si>
    <t>LiquidLogic</t>
  </si>
  <si>
    <t>Capita One</t>
  </si>
  <si>
    <t>Northgate Swift/ICS</t>
  </si>
  <si>
    <t>Framework-i</t>
  </si>
  <si>
    <t>Yes</t>
  </si>
  <si>
    <t>mid-2015</t>
  </si>
  <si>
    <t>0-17 year old Population Estimates (rounded)</t>
  </si>
  <si>
    <t>Unrounded</t>
  </si>
  <si>
    <t>England</t>
  </si>
  <si>
    <t>Expected</t>
  </si>
  <si>
    <t>Distance</t>
  </si>
  <si>
    <t>Percentage Change Chart Highlight</t>
  </si>
  <si>
    <t>Distance from Expected Chart Highlight</t>
  </si>
  <si>
    <t>Referrals received in the year ending 31st March</t>
  </si>
  <si>
    <t>Re-referrals received in the year ending 31st March</t>
  </si>
  <si>
    <t>National Trend 2015</t>
  </si>
  <si>
    <t>Assessments completed in the year ending 31st March</t>
  </si>
  <si>
    <t>Proportion of Single Assessments completed within 45 Days</t>
  </si>
  <si>
    <t>Within 10 Days</t>
  </si>
  <si>
    <t>11-25 Days</t>
  </si>
  <si>
    <t>26-35 Days</t>
  </si>
  <si>
    <t>36-45 Days</t>
  </si>
  <si>
    <t>Over 45 Days</t>
  </si>
  <si>
    <t>Number of Assessments completed in each time band</t>
  </si>
  <si>
    <t>Number of Children in Need at 31st March</t>
  </si>
  <si>
    <t>Number of Children subject to Section 47 Enquiries which started in the year ending 31st March</t>
  </si>
  <si>
    <t>Number of Children subject to an Initial Child Protection Conference (ICPC) during the year ending 31st March</t>
  </si>
  <si>
    <t>Proportion of Initial CP Conferences held within 15 days of 
the Section 47 Enquiry which led to the Conference</t>
  </si>
  <si>
    <t>ICPC In 15 Days</t>
  </si>
  <si>
    <t>Number of Initial CP Conferences as a percentage of Section 47 Enquiries in year ending 31st March</t>
  </si>
  <si>
    <t>ICPC in 15 Days</t>
  </si>
  <si>
    <t>Number of Children subject to a Child Protection Plan at 31st March</t>
  </si>
  <si>
    <t>Children ceasing to be the subject of a CP Plan during the year ending 31st March, who had been subject to a CP Plan for 2 years or more</t>
  </si>
  <si>
    <t>2 yr+</t>
  </si>
  <si>
    <t>2nd/ Subsequent</t>
  </si>
  <si>
    <t>reviews in timescales</t>
  </si>
  <si>
    <t>Children who had been subject to a plan for 3 months or longer at 31st march</t>
  </si>
  <si>
    <t>Of those, the number who had reviews in timescale</t>
  </si>
  <si>
    <t>Children who became the subject of a CP Plan in the year ending 31st March</t>
  </si>
  <si>
    <t>Those who became the subject of a plan for a second or subsequent time</t>
  </si>
  <si>
    <t>Children who ceased to be the subject of a CP Plan in the year ending 31st March</t>
  </si>
  <si>
    <t xml:space="preserve">Those who had been subject to a plan for 2 years </t>
  </si>
  <si>
    <t>Number of Care Applications to Court, year ending 31st March</t>
  </si>
  <si>
    <t>Care Applications</t>
  </si>
  <si>
    <t>Number of Looked After Children at 31st March</t>
  </si>
  <si>
    <t>Number of LAC aged Under 16</t>
  </si>
  <si>
    <t>Number of Children looked after for 2.5 years</t>
  </si>
  <si>
    <t>Number of Children looked after for 2.5 years in same placement for 2 years</t>
  </si>
  <si>
    <t>Children Looked After at 31st March who had 3 or more placements during the year</t>
  </si>
  <si>
    <t>Number of looked after children with three or more placements during the year</t>
  </si>
  <si>
    <t>Under 1</t>
  </si>
  <si>
    <t>16 +</t>
  </si>
  <si>
    <t xml:space="preserve">      1 - 4    </t>
  </si>
  <si>
    <t xml:space="preserve">      5 - 9    </t>
  </si>
  <si>
    <t xml:space="preserve">   10 - 15  </t>
  </si>
  <si>
    <t xml:space="preserve"> &lt;1</t>
  </si>
  <si>
    <t xml:space="preserve"> 1 - 4    </t>
  </si>
  <si>
    <t xml:space="preserve"> 5 - 9</t>
  </si>
  <si>
    <t xml:space="preserve"> 10 - 15  </t>
  </si>
  <si>
    <t xml:space="preserve"> 16 +</t>
  </si>
  <si>
    <t>Number of LAC in each Age Group</t>
  </si>
  <si>
    <t>Percentage of LAC in each Age Group</t>
  </si>
  <si>
    <t>Rate of Looked After Children per 10,000  Population for each Age Group</t>
  </si>
  <si>
    <t>16-17</t>
  </si>
  <si>
    <t>Number of Children Placed for Adoption at 31st March</t>
  </si>
  <si>
    <t>Number of LAC Adopted in Year</t>
  </si>
  <si>
    <t>Children ceasing to be Looked After in year who were Adopted (%)</t>
  </si>
  <si>
    <t>Number of Children ceasing to be looked after</t>
  </si>
  <si>
    <t>Placed within 12 months of the adoption decision</t>
  </si>
  <si>
    <t>% LAC ceasing in year who were Adopted</t>
  </si>
  <si>
    <t>Avg days looked after to placed for adoption</t>
  </si>
  <si>
    <t>2.5yrs</t>
  </si>
  <si>
    <t>2.5yrs &amp; 2yrs</t>
  </si>
  <si>
    <t>3+ Placements</t>
  </si>
  <si>
    <t>Children Looked After at 31st March who were Unaccompanied Asylum Seeking Children (UASC)</t>
  </si>
  <si>
    <t>UASC</t>
  </si>
  <si>
    <t>Number of looked after UASC</t>
  </si>
  <si>
    <t>LAC by Age</t>
  </si>
  <si>
    <t>Reviewed within Timescales</t>
  </si>
  <si>
    <t>Carefirst</t>
  </si>
  <si>
    <t>Northgate</t>
  </si>
  <si>
    <t>Framework i</t>
  </si>
  <si>
    <t>Careworks RAISE</t>
  </si>
  <si>
    <t>National Trend</t>
  </si>
  <si>
    <t>Total</t>
  </si>
  <si>
    <t>mid-2016</t>
  </si>
  <si>
    <t>Proportion of Single Assessments completed within each 
time band (2017)</t>
  </si>
  <si>
    <t>2nd/ Subsequent within 2 years</t>
  </si>
  <si>
    <t>Early Help Referrals</t>
  </si>
  <si>
    <t>Early Help Assessments</t>
  </si>
  <si>
    <t>Early Help Clients</t>
  </si>
  <si>
    <t>Selected LA</t>
  </si>
  <si>
    <t>Selected LA lookup</t>
  </si>
  <si>
    <t>LA's with * are the Statistical Neighbours of the Selected LA</t>
  </si>
  <si>
    <t>National Trend 2016</t>
  </si>
  <si>
    <t>Asmt to NFA</t>
  </si>
  <si>
    <t>Asmt to Step-down</t>
  </si>
  <si>
    <t>Number of Assessments completed in 45 Days</t>
  </si>
  <si>
    <t>2017-18</t>
  </si>
  <si>
    <t>(none)</t>
  </si>
  <si>
    <t>Page:</t>
  </si>
  <si>
    <t>Indicator:</t>
  </si>
  <si>
    <t>Referrals received to Children's Social Care (CSC), Rate per 10,000 0-17 Year Olds</t>
  </si>
  <si>
    <t>% of Referrals to CSC followed by Assessment</t>
  </si>
  <si>
    <t xml:space="preserve">Individual </t>
  </si>
  <si>
    <t xml:space="preserve">Schools </t>
  </si>
  <si>
    <t xml:space="preserve">Health services </t>
  </si>
  <si>
    <t xml:space="preserve">Housing </t>
  </si>
  <si>
    <t xml:space="preserve">LA services </t>
  </si>
  <si>
    <t xml:space="preserve">Police </t>
  </si>
  <si>
    <t xml:space="preserve">Other legal agency </t>
  </si>
  <si>
    <t xml:space="preserve">Other </t>
  </si>
  <si>
    <t xml:space="preserve">Anonymous </t>
  </si>
  <si>
    <t xml:space="preserve">Unknown </t>
  </si>
  <si>
    <t>Re-Referrals</t>
  </si>
  <si>
    <t>Re-referrals to CSC, Rate per 10,000 0-17 Year Olds</t>
  </si>
  <si>
    <t>CSC Single Assessments Completed, Rate per 10,000 0-17 Year Olds</t>
  </si>
  <si>
    <t>CSC Single Assessments Authorised within: 10 days</t>
  </si>
  <si>
    <t>CSC Single Assessments Authorised within: Over 45 days</t>
  </si>
  <si>
    <t>CIN</t>
  </si>
  <si>
    <t>Children subject to Section 47 Enquiries, Rate per 10,000 0-17 Year Olds</t>
  </si>
  <si>
    <t>Initial CP conferences</t>
  </si>
  <si>
    <t>Children subject to an Initial Child Protection Conference, Rate per 10,000 0-17 Year Olds</t>
  </si>
  <si>
    <t>% of Initial CP Conferences held within 15 days of the Section 47 Enquiry which led to the conference</t>
  </si>
  <si>
    <t>% who had been the subject of a plan for at least 3 months and had reviews carried out within timescales</t>
  </si>
  <si>
    <t>% of Children who ceased to be the subject of a CP Plan  who had been the subject of a Plan for 2 years or more</t>
  </si>
  <si>
    <t>Looked after children</t>
  </si>
  <si>
    <t>Children Looked After for more than 2.5 years living in the same placement for at least 2 years</t>
  </si>
  <si>
    <t>LA's provide quarterly data on the condition that it is used by the benchmarking group for internal reporting only. Please DO NOT share other LA's data with any external partners or the public</t>
  </si>
  <si>
    <t>Children in need (at 31st March) Rate per 10,000 0-17 Year Olds</t>
  </si>
  <si>
    <t>Children subject to a Child Protection Plan at 31st March, Rate per 10,000 0-17 Year Olds</t>
  </si>
  <si>
    <t>% of children who became the subject of a CP Plan for a second or subsequent time (CP Plans started in year)</t>
  </si>
  <si>
    <t>Number of Care Applications to Court in the year ending 31st March, Rate per 10,000 0-17 Year Olds</t>
  </si>
  <si>
    <t>Children who were Looked After at 31st March, Rate per 10,000 0-17 Year Olds</t>
  </si>
  <si>
    <t>% Children Looked After at 31st March (age &lt;16) who had been looked after for more than 2.5 years</t>
  </si>
  <si>
    <t>Proportion of Children Looked After at 31st March who were Unaccompanied Asylum Seeking Children (UASC)</t>
  </si>
  <si>
    <t>Children placed for Adoption (at 31st March), Rate per 10,000 0-17 Year Olds</t>
  </si>
  <si>
    <t>% Children ceasing to be Looked After in year who were Adopted</t>
  </si>
  <si>
    <t>Children who ceased to be Looked After during the year who were granted a Child Arrangement Order</t>
  </si>
  <si>
    <t>Children who ceased to be Looked After during the year who were granted a Special Guardianship Order</t>
  </si>
  <si>
    <t>mid-2017</t>
  </si>
  <si>
    <t>Number of Referrals with Prior EH</t>
  </si>
  <si>
    <t>England (2017)</t>
  </si>
  <si>
    <t>Age breakdown of Children Looked After at 31st March 2018 (groups)</t>
  </si>
  <si>
    <t>Children ceasing to be Looked After in year who were 
granted a Child Arrangement Order (%)</t>
  </si>
  <si>
    <t>Children ceasing to be Looked After in year who were 
granted a Special Guardianship Order (%)</t>
  </si>
  <si>
    <t>Children ceasing to be Looked After in year who were granted SGO (%)</t>
  </si>
  <si>
    <t>Children ceasing to be Looked After in year who were granted CAO (%)</t>
  </si>
  <si>
    <t>Year1_EarlyHelpReferrals</t>
  </si>
  <si>
    <t>Year1_EarlyHelpReferralsSTEPDOWN</t>
  </si>
  <si>
    <t>Year1_EarlyHelpReferralsOntoASSESSMENT</t>
  </si>
  <si>
    <t>Year1_EarlyHelpReReferrals</t>
  </si>
  <si>
    <t>Year1_EarlyHelpAssessments</t>
  </si>
  <si>
    <t>Number of completed Early Help Assessments leading to:</t>
  </si>
  <si>
    <t>Year1_EarlyHelpAssessmentsOngoing</t>
  </si>
  <si>
    <t>Year1_EarlyHelpAssessmentsStepUp</t>
  </si>
  <si>
    <t>Year1_EarlyHelpedChildren</t>
  </si>
  <si>
    <t>Year1_Referrals</t>
  </si>
  <si>
    <t>Year1_ReferralsPriorEH</t>
  </si>
  <si>
    <t>Year1_ReferralsAssessment</t>
  </si>
  <si>
    <t>Number of Referrals to CSC received from:</t>
  </si>
  <si>
    <t>Year1_ReferralSource_Individual_Family</t>
  </si>
  <si>
    <t>Year1_ReferralSource_Individual_Acquaintance</t>
  </si>
  <si>
    <t>Year1_ReferralSource_Individual_Self</t>
  </si>
  <si>
    <t>Year1_ReferralSource_Individual_Other</t>
  </si>
  <si>
    <t>Year1_ReferralSource_School</t>
  </si>
  <si>
    <t>Year1_ReferralSource_EducationServices</t>
  </si>
  <si>
    <t>Year1_ReferralSource_Health_services_GP</t>
  </si>
  <si>
    <t>Year1_ReferralSource_Health_services_HealthVisitor</t>
  </si>
  <si>
    <t>Year1_ReferralSource_Health_services_SchoolNurse</t>
  </si>
  <si>
    <t>Year1_ReferralSource_Health_services_OthPrimary</t>
  </si>
  <si>
    <t>Year1_ReferralSource_Health_services_AE</t>
  </si>
  <si>
    <t>Year1_ReferralSource_Health_services_Other</t>
  </si>
  <si>
    <t>Year1_ReferralSource_Housing</t>
  </si>
  <si>
    <t>Year1_ReferralSource_LA_SC</t>
  </si>
  <si>
    <t>Year1_ReferralSource_LA_Other</t>
  </si>
  <si>
    <t>Year1_ReferralSource_LA_External</t>
  </si>
  <si>
    <t>Year1_ReferralSource_Police</t>
  </si>
  <si>
    <t>Year1_ReferralSource_Other_Legal</t>
  </si>
  <si>
    <t>Year1_ReferralSource_Other</t>
  </si>
  <si>
    <t>Year1_ReferralSource_Anonymous</t>
  </si>
  <si>
    <t>Year1_ReferralSource_Unknown</t>
  </si>
  <si>
    <t>Year1_ReReferrals</t>
  </si>
  <si>
    <t>Year1_Assessments</t>
  </si>
  <si>
    <t>Number of CSC Single Assessments Authorised within:</t>
  </si>
  <si>
    <t>Year1_Assessments_10days</t>
  </si>
  <si>
    <t>Year1_Assessments_over_45days</t>
  </si>
  <si>
    <t>Year1_Assessments_step_down</t>
  </si>
  <si>
    <t>Year1_Assessments_No_further_action</t>
  </si>
  <si>
    <t>Year1_CIN</t>
  </si>
  <si>
    <t>Year1_CIN_Section47</t>
  </si>
  <si>
    <t>19a</t>
  </si>
  <si>
    <t>Year1_CP_Conference</t>
  </si>
  <si>
    <t>19b</t>
  </si>
  <si>
    <t>Year1_CP_Conference_within15days</t>
  </si>
  <si>
    <t>20a</t>
  </si>
  <si>
    <t>Year1_CP_Plans</t>
  </si>
  <si>
    <t>20b</t>
  </si>
  <si>
    <t>Year1_CP_Plans_3months</t>
  </si>
  <si>
    <t>20c</t>
  </si>
  <si>
    <t>Year1_CP_Plans_3months_timescales</t>
  </si>
  <si>
    <t>21a</t>
  </si>
  <si>
    <t>Year1_CP_Plans_ceased</t>
  </si>
  <si>
    <t>21b</t>
  </si>
  <si>
    <t>Year1_CP_Plans_ceased_2years</t>
  </si>
  <si>
    <t>22a</t>
  </si>
  <si>
    <t>Year1_CP_Plans_became_subject</t>
  </si>
  <si>
    <t>22b</t>
  </si>
  <si>
    <t>Year1_CP_Plans_became_subject_second</t>
  </si>
  <si>
    <t>22c</t>
  </si>
  <si>
    <t>Year1_CP_Plans_became_subject_second_2years</t>
  </si>
  <si>
    <t>23a</t>
  </si>
  <si>
    <t>Year1_LAC</t>
  </si>
  <si>
    <t>23b</t>
  </si>
  <si>
    <t>Year1_LAC_under16</t>
  </si>
  <si>
    <t>23c</t>
  </si>
  <si>
    <t>Year1_LAC_under16_2.5years</t>
  </si>
  <si>
    <t>23d</t>
  </si>
  <si>
    <t>Year1_LAC_under16_2.5years_sameplacement2years</t>
  </si>
  <si>
    <t>26a</t>
  </si>
  <si>
    <t>Year1_Adoption_ceased_LAC</t>
  </si>
  <si>
    <t>26b</t>
  </si>
  <si>
    <t>Year1_Adoption_LAC_Adopted</t>
  </si>
  <si>
    <t>26c</t>
  </si>
  <si>
    <t>Year1_Adoption_LAC_Adopted_days</t>
  </si>
  <si>
    <t>26d</t>
  </si>
  <si>
    <t>Year1_Adoption_LAC_Adopted_placed_with_12months</t>
  </si>
  <si>
    <t>27a</t>
  </si>
  <si>
    <t>Year1_CAO_RO_Total</t>
  </si>
  <si>
    <t>27b</t>
  </si>
  <si>
    <t>Year1_CAO_RO_FundedLA</t>
  </si>
  <si>
    <t>28a</t>
  </si>
  <si>
    <t>Year1_SGO_total</t>
  </si>
  <si>
    <t>28b</t>
  </si>
  <si>
    <t>Year1_SGO_fundedLA</t>
  </si>
  <si>
    <t>Year1_Assessments_within45days</t>
  </si>
  <si>
    <t>Year1_Continuous_assessments</t>
  </si>
  <si>
    <t>Year2_EarlyHelpReferrals</t>
  </si>
  <si>
    <t>Year2_EarlyHelpReferralsSTEPDOWN</t>
  </si>
  <si>
    <t>Year2_EarlyHelpReferralsOntoASSESSMENT</t>
  </si>
  <si>
    <t>Year2_EarlyHelpReReferrals</t>
  </si>
  <si>
    <t>Year2_EarlyHelpAssessments</t>
  </si>
  <si>
    <t>Year2_EarlyHelpAssessmentsOngoing</t>
  </si>
  <si>
    <t>Year2_EarlyHelpAssessmentsStepUp</t>
  </si>
  <si>
    <t>Year2_EarlyHelpedChildren</t>
  </si>
  <si>
    <t>Year2_Referrals</t>
  </si>
  <si>
    <t>Year2_ReferralsPriorEH</t>
  </si>
  <si>
    <t>Year2_ReferralsAssessment</t>
  </si>
  <si>
    <t>Year2_ReferralSource_Individual_Family</t>
  </si>
  <si>
    <t>Year2_ReferralSource_Individual_Acquaintance</t>
  </si>
  <si>
    <t>Year2_ReferralSource_Individual_Self</t>
  </si>
  <si>
    <t>Year2_ReferralSource_Individual_Other</t>
  </si>
  <si>
    <t>Year2_ReferralSource_School</t>
  </si>
  <si>
    <t>Year2_ReferralSource_EducationServices</t>
  </si>
  <si>
    <t>Year2_ReferralSource_Health_services_GP</t>
  </si>
  <si>
    <t>Year2_ReferralSource_Health_services_HealthVisitor</t>
  </si>
  <si>
    <t>Year2_ReferralSource_Health_services_SchoolNurse</t>
  </si>
  <si>
    <t>Year2_ReferralSource_Health_services_OthPrimary</t>
  </si>
  <si>
    <t>Year2_ReferralSource_Health_services_AE</t>
  </si>
  <si>
    <t>Year2_ReferralSource_Health_services_Other</t>
  </si>
  <si>
    <t>Year2_ReferralSource_Housing</t>
  </si>
  <si>
    <t>Year2_ReferralSource_LA_SC</t>
  </si>
  <si>
    <t>Year2_ReferralSource_LA_Other</t>
  </si>
  <si>
    <t>Year2_ReferralSource_LA_External</t>
  </si>
  <si>
    <t>Year2_ReferralSource_Police</t>
  </si>
  <si>
    <t>Year2_ReferralSource_Other_Legal</t>
  </si>
  <si>
    <t>Year2_ReferralSource_Other</t>
  </si>
  <si>
    <t>Year2_ReferralSource_Anonymous</t>
  </si>
  <si>
    <t>Year2_ReferralSource_Unknown</t>
  </si>
  <si>
    <t>Year2_ReReferrals</t>
  </si>
  <si>
    <t>Year2_Assessments</t>
  </si>
  <si>
    <t>Year2_Assessments_10days</t>
  </si>
  <si>
    <t>Year2_Assessments_over_45days</t>
  </si>
  <si>
    <t>Year2_Assessments_step_down</t>
  </si>
  <si>
    <t>Year2_Assessments_No_further_action</t>
  </si>
  <si>
    <t>Year2_CIN</t>
  </si>
  <si>
    <t>Year2_CIN_Section47</t>
  </si>
  <si>
    <t>Year2_CP_Conference</t>
  </si>
  <si>
    <t>Year2_CP_Conference_within15days</t>
  </si>
  <si>
    <t>Year2_CP_Plans</t>
  </si>
  <si>
    <t>Year2_CP_Plans_3months</t>
  </si>
  <si>
    <t>Year2_CP_Plans_3months_timescales</t>
  </si>
  <si>
    <t>Year2_CP_Plans_ceased</t>
  </si>
  <si>
    <t>Year2_CP_Plans_ceased_2years</t>
  </si>
  <si>
    <t>Year2_CP_Plans_became_subject</t>
  </si>
  <si>
    <t>Year2_CP_Plans_became_subject_second</t>
  </si>
  <si>
    <t>Year2_CP_Plans_became_subject_second_2years</t>
  </si>
  <si>
    <t>Year2_LAC</t>
  </si>
  <si>
    <t>Year2_LAC_under16</t>
  </si>
  <si>
    <t>Year2_LAC_under16_2.5years</t>
  </si>
  <si>
    <t>Year2_LAC_under16_2.5years_sameplacement2years</t>
  </si>
  <si>
    <t>Year2_Adoption_ceased_LAC</t>
  </si>
  <si>
    <t>Year2_Adoption_LAC_Adopted</t>
  </si>
  <si>
    <t>Year2_Adoption_LAC_Adopted_days</t>
  </si>
  <si>
    <t>Year2_Adoption_LAC_Adopted_placed_with_12months</t>
  </si>
  <si>
    <t>Year2_CAO_RO_Total</t>
  </si>
  <si>
    <t>Year2_CAO_RO_FundedLA</t>
  </si>
  <si>
    <t>Year2_SGO_total</t>
  </si>
  <si>
    <t>Year2_SGO_fundedLA</t>
  </si>
  <si>
    <t>Year2_Assessments_within45days</t>
  </si>
  <si>
    <t>Year2_Continuous_assessments</t>
  </si>
  <si>
    <t>Year3_EarlyHelpReferrals</t>
  </si>
  <si>
    <t>Year3_EarlyHelpReferralsSTEPDOWN</t>
  </si>
  <si>
    <t>Year3_EarlyHelpReferralsOntoASSESSMENT</t>
  </si>
  <si>
    <t>Year3_EarlyHelpReReferrals</t>
  </si>
  <si>
    <t>Year3_EarlyHelpAssessments</t>
  </si>
  <si>
    <t>Year3_EarlyHelpAssessmentsOngoing</t>
  </si>
  <si>
    <t>Year3_EarlyHelpAssessmentsStepUp</t>
  </si>
  <si>
    <t>Year3_EarlyHelpedChildren</t>
  </si>
  <si>
    <t>Year3_Referrals</t>
  </si>
  <si>
    <t>Year3_ReferralsPriorEH</t>
  </si>
  <si>
    <t>Year3_ReferralsAssessment</t>
  </si>
  <si>
    <t>Year3_ReferralSource_Individual_Family</t>
  </si>
  <si>
    <t>Year3_ReferralSource_Individual_Acquaintance</t>
  </si>
  <si>
    <t>Year3_ReferralSource_Individual_Self</t>
  </si>
  <si>
    <t>Year3_ReferralSource_Individual_Other</t>
  </si>
  <si>
    <t>Year3_ReferralSource_School</t>
  </si>
  <si>
    <t>Year3_ReferralSource_EducationServices</t>
  </si>
  <si>
    <t>Year3_ReferralSource_Health_services_GP</t>
  </si>
  <si>
    <t>Year3_ReferralSource_Health_services_HealthVisitor</t>
  </si>
  <si>
    <t>Year3_ReferralSource_Health_services_SchoolNurse</t>
  </si>
  <si>
    <t>Year3_ReferralSource_Health_services_OthPrimary</t>
  </si>
  <si>
    <t>Year3_ReferralSource_Health_services_AE</t>
  </si>
  <si>
    <t>Year3_ReferralSource_Health_services_Other</t>
  </si>
  <si>
    <t>Year3_ReferralSource_Housing</t>
  </si>
  <si>
    <t>Year3_ReferralSource_LA_SC</t>
  </si>
  <si>
    <t>Year3_ReferralSource_LA_Other</t>
  </si>
  <si>
    <t>Year3_ReferralSource_LA_External</t>
  </si>
  <si>
    <t>Year3_ReferralSource_Police</t>
  </si>
  <si>
    <t>Year3_ReferralSource_Other_Legal</t>
  </si>
  <si>
    <t>Year3_ReferralSource_Other</t>
  </si>
  <si>
    <t>Year3_ReferralSource_Anonymous</t>
  </si>
  <si>
    <t>Year3_ReferralSource_Unknown</t>
  </si>
  <si>
    <t>Year3_ReReferrals</t>
  </si>
  <si>
    <t>Year3_Assessments</t>
  </si>
  <si>
    <t>Year3_Assessments_10days</t>
  </si>
  <si>
    <t>Year3_Assessments_over_45days</t>
  </si>
  <si>
    <t>Year3_Assessments_step_down</t>
  </si>
  <si>
    <t>Year3_Assessments_No_further_action</t>
  </si>
  <si>
    <t>Year3_CIN</t>
  </si>
  <si>
    <t>Year3_CIN_Section47</t>
  </si>
  <si>
    <t>Year3_CP_Conference</t>
  </si>
  <si>
    <t>Year3_CP_Conference_within15days</t>
  </si>
  <si>
    <t>Year3_CP_Plans</t>
  </si>
  <si>
    <t>Year3_CP_Plans_3months</t>
  </si>
  <si>
    <t>Year3_CP_Plans_3months_timescales</t>
  </si>
  <si>
    <t>Year3_CP_Plans_ceased</t>
  </si>
  <si>
    <t>Year3_CP_Plans_ceased_2years</t>
  </si>
  <si>
    <t>Year3_CP_Plans_became_subject</t>
  </si>
  <si>
    <t>Year3_CP_Plans_became_subject_second</t>
  </si>
  <si>
    <t>Year3_CP_Plans_became_subject_second_2years</t>
  </si>
  <si>
    <t>Year3_LAC</t>
  </si>
  <si>
    <t>Year3_LAC_under16</t>
  </si>
  <si>
    <t>Year3_LAC_under16_2.5years</t>
  </si>
  <si>
    <t>Year3_LAC_under16_2.5years_sameplacement2years</t>
  </si>
  <si>
    <t>Year3_Adoption_ceased_LAC</t>
  </si>
  <si>
    <t>Year3_Adoption_LAC_Adopted</t>
  </si>
  <si>
    <t>Year3_Adoption_LAC_Adopted_days</t>
  </si>
  <si>
    <t>Year3_Adoption_LAC_Adopted_placed_with_12months</t>
  </si>
  <si>
    <t>Year3_CAO_RO_Total</t>
  </si>
  <si>
    <t>Year3_CAO_RO_FundedLA</t>
  </si>
  <si>
    <t>Year3_SGO_total</t>
  </si>
  <si>
    <t>Year3_SGO_fundedLA</t>
  </si>
  <si>
    <t>Year3_Assessments_within45days</t>
  </si>
  <si>
    <t>Year3_Continuous_assessments</t>
  </si>
  <si>
    <t>Year4_EarlyHelpReferrals</t>
  </si>
  <si>
    <t>Year4_EarlyHelpReferralsSTEPDOWN</t>
  </si>
  <si>
    <t>Year4_EarlyHelpReferralsOntoASSESSMENT</t>
  </si>
  <si>
    <t>Year4_EarlyHelpReReferrals</t>
  </si>
  <si>
    <t>Year4_EarlyHelpAssessments</t>
  </si>
  <si>
    <t>Year4_EarlyHelpAssessmentsOngoing</t>
  </si>
  <si>
    <t>Year4_EarlyHelpAssessmentsStepUp</t>
  </si>
  <si>
    <t>Year4_EarlyHelpedChildren</t>
  </si>
  <si>
    <t>Year4_Referrals</t>
  </si>
  <si>
    <t>Year4_ReferralsPriorEH</t>
  </si>
  <si>
    <t>Year4_ReferralsAssessment</t>
  </si>
  <si>
    <t>Year4_ReferralSource_Individual_Family</t>
  </si>
  <si>
    <t>Year4_ReferralSource_Individual_Acquaintance</t>
  </si>
  <si>
    <t>Year4_ReferralSource_Individual_Self</t>
  </si>
  <si>
    <t>Year4_ReferralSource_Individual_Other</t>
  </si>
  <si>
    <t>Year4_ReferralSource_School</t>
  </si>
  <si>
    <t>Year4_ReferralSource_EducationServices</t>
  </si>
  <si>
    <t>Year4_ReferralSource_Health_services_GP</t>
  </si>
  <si>
    <t>Year4_ReferralSource_Health_services_HealthVisitor</t>
  </si>
  <si>
    <t>Year4_ReferralSource_Health_services_SchoolNurse</t>
  </si>
  <si>
    <t>Year4_ReferralSource_Health_services_OthPrimary</t>
  </si>
  <si>
    <t>Year4_ReferralSource_Health_services_AE</t>
  </si>
  <si>
    <t>Year4_ReferralSource_Health_services_Other</t>
  </si>
  <si>
    <t>Year4_ReferralSource_Housing</t>
  </si>
  <si>
    <t>Year4_ReferralSource_LA_SC</t>
  </si>
  <si>
    <t>Year4_ReferralSource_LA_Other</t>
  </si>
  <si>
    <t>Year4_ReferralSource_LA_External</t>
  </si>
  <si>
    <t>Year4_ReferralSource_Police</t>
  </si>
  <si>
    <t>Year4_ReferralSource_Other_Legal</t>
  </si>
  <si>
    <t>Year4_ReferralSource_Other</t>
  </si>
  <si>
    <t>Year4_ReferralSource_Anonymous</t>
  </si>
  <si>
    <t>Year4_ReferralSource_Unknown</t>
  </si>
  <si>
    <t>Year4_ReReferrals</t>
  </si>
  <si>
    <t>Year4_Assessments</t>
  </si>
  <si>
    <t>Year4_Assessments_10days</t>
  </si>
  <si>
    <t>Year4_Assessments_over_45days</t>
  </si>
  <si>
    <t>Year4_Assessments_step_down</t>
  </si>
  <si>
    <t>Year4_Assessments_No_further_action</t>
  </si>
  <si>
    <t>Year4_CIN</t>
  </si>
  <si>
    <t>Year4_CIN_Section47</t>
  </si>
  <si>
    <t>Year4_CP_Conference</t>
  </si>
  <si>
    <t>Year4_CP_Conference_within15days</t>
  </si>
  <si>
    <t>Year4_CP_Plans</t>
  </si>
  <si>
    <t>Year4_CP_Plans_3months</t>
  </si>
  <si>
    <t>Year4_CP_Plans_3months_timescales</t>
  </si>
  <si>
    <t>Year4_CP_Plans_ceased</t>
  </si>
  <si>
    <t>Year4_CP_Plans_ceased_2years</t>
  </si>
  <si>
    <t>Year4_CP_Plans_became_subject</t>
  </si>
  <si>
    <t>Year4_CP_Plans_became_subject_second</t>
  </si>
  <si>
    <t>Year4_CP_Plans_became_subject_second_2years</t>
  </si>
  <si>
    <t>Year4_LAC</t>
  </si>
  <si>
    <t>Year4_LAC_under16</t>
  </si>
  <si>
    <t>Year4_LAC_under16_2.5years</t>
  </si>
  <si>
    <t>Year4_LAC_under16_2.5years_sameplacement2years</t>
  </si>
  <si>
    <t>Year4_Adoption_ceased_LAC</t>
  </si>
  <si>
    <t>Year4_Adoption_LAC_Adopted</t>
  </si>
  <si>
    <t>Year4_Adoption_LAC_Adopted_days</t>
  </si>
  <si>
    <t>Year4_Adoption_LAC_Adopted_placed_with_12months</t>
  </si>
  <si>
    <t>Year4_CAO_RO_Total</t>
  </si>
  <si>
    <t>Year4_CAO_RO_FundedLA</t>
  </si>
  <si>
    <t>Year4_SGO_total</t>
  </si>
  <si>
    <t>Year4_SGO_fundedLA</t>
  </si>
  <si>
    <t>Year4_Assessments_within45days</t>
  </si>
  <si>
    <t>Year4_Continuous_assessments</t>
  </si>
  <si>
    <t>Year5_Contacts</t>
  </si>
  <si>
    <t>Year5_EarlyHelpReferrals</t>
  </si>
  <si>
    <t>Year5_EarlyHelpReferralsSTEPDOWN</t>
  </si>
  <si>
    <t>Year5_EarlyHelpReferralsOntoASSESSMENT</t>
  </si>
  <si>
    <t>Year5_EarlyHelpReReferrals</t>
  </si>
  <si>
    <t>Year5_EarlyHelpAssessments</t>
  </si>
  <si>
    <t>Year5_EarlyHelpAssessmentsOngoing</t>
  </si>
  <si>
    <t>Year5_EarlyHelpAssessmentsStepUp</t>
  </si>
  <si>
    <t>Year5_EarlyHelpedChildren</t>
  </si>
  <si>
    <t>Year5_Referrals</t>
  </si>
  <si>
    <t>Year5_ReferralsPriorEH</t>
  </si>
  <si>
    <t>Year5_ReferralsAssessment</t>
  </si>
  <si>
    <t>Year5_ReferralSource_Individual_Family</t>
  </si>
  <si>
    <t>Year5_ReferralSource_Individual_Acquaintance</t>
  </si>
  <si>
    <t>Year5_ReferralSource_Individual_Self</t>
  </si>
  <si>
    <t>Year5_ReferralSource_Individual_Other</t>
  </si>
  <si>
    <t>Year5_ReferralSource_School</t>
  </si>
  <si>
    <t>Year5_ReferralSource_EducationServices</t>
  </si>
  <si>
    <t>Year5_ReferralSource_Health_services_GP</t>
  </si>
  <si>
    <t>Year5_ReferralSource_Health_services_HealthVisitor</t>
  </si>
  <si>
    <t>Year5_ReferralSource_Health_services_SchoolNurse</t>
  </si>
  <si>
    <t>Year5_ReferralSource_Health_services_OthPrimary</t>
  </si>
  <si>
    <t>Year5_ReferralSource_Health_services_AE</t>
  </si>
  <si>
    <t>Year5_ReferralSource_Health_services_Other</t>
  </si>
  <si>
    <t>Year5_ReferralSource_Housing</t>
  </si>
  <si>
    <t>Year5_ReferralSource_LA_SC</t>
  </si>
  <si>
    <t>Year5_ReferralSource_LA_Other</t>
  </si>
  <si>
    <t>Year5_ReferralSource_LA_External</t>
  </si>
  <si>
    <t>Year5_ReferralSource_Police</t>
  </si>
  <si>
    <t>Year5_ReferralSource_Other_Legal</t>
  </si>
  <si>
    <t>Year5_ReferralSource_Other</t>
  </si>
  <si>
    <t>Year5_ReferralSource_Anonymous</t>
  </si>
  <si>
    <t>Year5_ReferralSource_Unknown</t>
  </si>
  <si>
    <t>Year5_ReReferrals</t>
  </si>
  <si>
    <t>Year5_Assessments</t>
  </si>
  <si>
    <t>Year5_Assessments_10days</t>
  </si>
  <si>
    <t>Year5_Assessments_over_45days</t>
  </si>
  <si>
    <t>Year5_Assessments_step_down</t>
  </si>
  <si>
    <t>Year5_Assessments_No_further_action</t>
  </si>
  <si>
    <t>Year5_CIN</t>
  </si>
  <si>
    <t>Year5_CIN_Section47</t>
  </si>
  <si>
    <t>Year5_CP_Conference</t>
  </si>
  <si>
    <t>Year5_CP_Conference_within15days</t>
  </si>
  <si>
    <t>Year5_CP_Plans</t>
  </si>
  <si>
    <t>Year5_CP_Plans_3months</t>
  </si>
  <si>
    <t>21c</t>
  </si>
  <si>
    <t>Year5_CP_Plans_3months_timescales</t>
  </si>
  <si>
    <t>21d</t>
  </si>
  <si>
    <t>Year5_CP_Plans_ceased</t>
  </si>
  <si>
    <t>Year5_CP_Plans_ceased_2years</t>
  </si>
  <si>
    <t>Year5_CP_Plans_became_subject</t>
  </si>
  <si>
    <t>Year5_CP_Plans_became_subject_second</t>
  </si>
  <si>
    <t>Year5_CP_Plans_became_subject_second_2years</t>
  </si>
  <si>
    <t>24a</t>
  </si>
  <si>
    <t>Year5_LAC</t>
  </si>
  <si>
    <t>24b</t>
  </si>
  <si>
    <t>Year5_LAC_under16</t>
  </si>
  <si>
    <t>24c</t>
  </si>
  <si>
    <t>Year5_LAC_under16_2.5years</t>
  </si>
  <si>
    <t>24d</t>
  </si>
  <si>
    <t>Year5_LAC_under16_2.5years_sameplacement2years</t>
  </si>
  <si>
    <t>24e</t>
  </si>
  <si>
    <t>24f</t>
  </si>
  <si>
    <t>Year5_LAC_3_or_more_Placements</t>
  </si>
  <si>
    <t>25a</t>
  </si>
  <si>
    <t>Year5_LAC_Start</t>
  </si>
  <si>
    <t>25b</t>
  </si>
  <si>
    <t>Year5_LAC_Start_2nd_time</t>
  </si>
  <si>
    <t>25c</t>
  </si>
  <si>
    <t>Year5_LAC_Remanded</t>
  </si>
  <si>
    <t>Year5_Adoption_ceased_LAC</t>
  </si>
  <si>
    <t>Year5_Adoption_LAC_Adopted</t>
  </si>
  <si>
    <t>Year5_Adoption_LAC_Adopted_days</t>
  </si>
  <si>
    <t>28c</t>
  </si>
  <si>
    <t>Year5_Adoption_LAC_Adopted_placed_with_12months</t>
  </si>
  <si>
    <t>Year5_Care_Leavers_16_18th_birthday</t>
  </si>
  <si>
    <t>30a</t>
  </si>
  <si>
    <t>Year5_Care_Leavers_at_end_of_period</t>
  </si>
  <si>
    <t>30b</t>
  </si>
  <si>
    <t>Year5_Care_Leavers_in_touch</t>
  </si>
  <si>
    <t>30c</t>
  </si>
  <si>
    <t>Year5_Care_Leavers_in_suitable_accommodation</t>
  </si>
  <si>
    <t>30d</t>
  </si>
  <si>
    <t>Year5_Care_Leavers_in_EET</t>
  </si>
  <si>
    <t>Year5_CAO_RO_Total</t>
  </si>
  <si>
    <t>Year5_CAO_RO_FundedLA</t>
  </si>
  <si>
    <t>Year5_SGO_total</t>
  </si>
  <si>
    <t>Year5_SGO_fundedLA</t>
  </si>
  <si>
    <t>Year5_Number_EHC_Plans</t>
  </si>
  <si>
    <t>Year5_New_EHC _within_20_weeks</t>
  </si>
  <si>
    <t>35a</t>
  </si>
  <si>
    <t>Year5_16-17_NEET</t>
  </si>
  <si>
    <t>35b</t>
  </si>
  <si>
    <t>NYear5_ 16-17_ participating_in_EET</t>
  </si>
  <si>
    <t>35c</t>
  </si>
  <si>
    <t>Year5_16-17_not known</t>
  </si>
  <si>
    <t>Year5_First_Time_Entrants_to_Youth_Justice_system</t>
  </si>
  <si>
    <t>37a</t>
  </si>
  <si>
    <t>Year5_Juvenile_Offenders_(Age 10-17)</t>
  </si>
  <si>
    <t>37b</t>
  </si>
  <si>
    <t>Year5_Juvenile_Re-offenders_(Age 10-17)</t>
  </si>
  <si>
    <t>Year5_Children_missing_Education</t>
  </si>
  <si>
    <t>Year5_ electively_home_educated</t>
  </si>
  <si>
    <t>Year5_Assessments_within45days</t>
  </si>
  <si>
    <t>Year5_Continuous_assessments</t>
  </si>
  <si>
    <t>Year5_LAC_UASC</t>
  </si>
  <si>
    <t>SouthEast</t>
  </si>
  <si>
    <t>Number of Assessments completed within 45 days</t>
  </si>
  <si>
    <t>Number of Continuous Assessments Completed</t>
  </si>
  <si>
    <t>Year1_Contacts</t>
  </si>
  <si>
    <t>Year1_CP_Plans_Seen_in_Timescales</t>
  </si>
  <si>
    <t>Year1_LAC_Start</t>
  </si>
  <si>
    <t>Year1_LAC_Start_2nd_time</t>
  </si>
  <si>
    <t>Year1_LAC_Remanded</t>
  </si>
  <si>
    <t>Year1_Care_Leavers_16_18th_birthday</t>
  </si>
  <si>
    <t>Year1_Care_Leavers_at_end_of_period</t>
  </si>
  <si>
    <t>Year1_Care_Leavers_in_touch</t>
  </si>
  <si>
    <t>Year1_Care_Leavers_in_suitable_accommodation</t>
  </si>
  <si>
    <t>Year1_Care_Leavers_in_EET</t>
  </si>
  <si>
    <t>Year1_Number_EHC_Plans</t>
  </si>
  <si>
    <t>Year1_New_EHC _within_20_weeks</t>
  </si>
  <si>
    <t>Year1_16-17_NEET</t>
  </si>
  <si>
    <t>Year1_16-17_not known</t>
  </si>
  <si>
    <t>Year1_First_Time_Entrants_to_Youth_Justice_system</t>
  </si>
  <si>
    <t>Year1_Juvenile_Offenders_(Age 10-17)</t>
  </si>
  <si>
    <t>Year1_Juvenile_Re-offenders_(Age 10-17)</t>
  </si>
  <si>
    <t>Year1_Children_missing_Education</t>
  </si>
  <si>
    <t>Year1_ electively_home_educated</t>
  </si>
  <si>
    <t>Year1_LAC_3_or_more_Placements</t>
  </si>
  <si>
    <t>Year1_16-17_participating_in_EET</t>
  </si>
  <si>
    <t>Year2_Number_EHC_Plans</t>
  </si>
  <si>
    <t>Year2_New_EHC _within_20_weeks</t>
  </si>
  <si>
    <t>Year2_16-17_NEET</t>
  </si>
  <si>
    <t>Year2_16-17_participating_in_EET</t>
  </si>
  <si>
    <t>Year2_16-17_not known</t>
  </si>
  <si>
    <t>Year2_First_Time_Entrants_to_Youth_Justice_system</t>
  </si>
  <si>
    <t>Year2_Juvenile_Offenders_(Age 10-17)</t>
  </si>
  <si>
    <t>Year2_Juvenile_Re-offenders_(Age 10-17)</t>
  </si>
  <si>
    <t>Year2_Children_missing_Education</t>
  </si>
  <si>
    <t>Year2_ electively_home_educated</t>
  </si>
  <si>
    <t>Year2_Care_Leavers_16_18th_birthday</t>
  </si>
  <si>
    <t>Year2_Care_Leavers_at_end_of_period</t>
  </si>
  <si>
    <t>Year2_Care_Leavers_in_touch</t>
  </si>
  <si>
    <t>Year2_Care_Leavers_in_suitable_accommodation</t>
  </si>
  <si>
    <t>Year2_Care_Leavers_in_EET</t>
  </si>
  <si>
    <t>Year2_LAC_3_or_more_Placements</t>
  </si>
  <si>
    <t>Year2_LAC_Start</t>
  </si>
  <si>
    <t>Year2_LAC_Start_2nd_time</t>
  </si>
  <si>
    <t>Year2_LAC_Remanded</t>
  </si>
  <si>
    <t>Year2_CP_Plans_Seen_in_Timescales</t>
  </si>
  <si>
    <t>Year2_Contacts</t>
  </si>
  <si>
    <t>Year3_Number_EHC_Plans</t>
  </si>
  <si>
    <t>Year3_New_EHC _within_20_weeks</t>
  </si>
  <si>
    <t>Year3_16-17_NEET</t>
  </si>
  <si>
    <t>Year3_16-17_participating_in_EET</t>
  </si>
  <si>
    <t>Year3_16-17_not known</t>
  </si>
  <si>
    <t>Year3_First_Time_Entrants_to_Youth_Justice_system</t>
  </si>
  <si>
    <t>Year3_Juvenile_Offenders_(Age 10-17)</t>
  </si>
  <si>
    <t>Year3_Juvenile_Re-offenders_(Age 10-17)</t>
  </si>
  <si>
    <t>Year3_Children_missing_Education</t>
  </si>
  <si>
    <t>Year3_ electively_home_educated</t>
  </si>
  <si>
    <t>Year3_Care_Leavers_16_18th_birthday</t>
  </si>
  <si>
    <t>Year3_Care_Leavers_at_end_of_period</t>
  </si>
  <si>
    <t>Year3_Care_Leavers_in_touch</t>
  </si>
  <si>
    <t>Year3_Care_Leavers_in_suitable_accommodation</t>
  </si>
  <si>
    <t>Year3_Care_Leavers_in_EET</t>
  </si>
  <si>
    <t>Year3_LAC_3_or_more_Placements</t>
  </si>
  <si>
    <t>Year3_LAC_Start</t>
  </si>
  <si>
    <t>Year3_LAC_Start_2nd_time</t>
  </si>
  <si>
    <t>Year3_LAC_Remanded</t>
  </si>
  <si>
    <t>Year3_CP_Plans_Seen_in_Timescales</t>
  </si>
  <si>
    <t>Year3_Contacts</t>
  </si>
  <si>
    <t>Year4_New_EHC _within_20_weeks</t>
  </si>
  <si>
    <t>Year4_16-17_NEET</t>
  </si>
  <si>
    <t>Year4_16-17_participating_in_EET</t>
  </si>
  <si>
    <t>Year4_16-17_not known</t>
  </si>
  <si>
    <t>Year4_First_Time_Entrants_to_Youth_Justice_system</t>
  </si>
  <si>
    <t>Year4_Juvenile_Offenders_(Age 10-17)</t>
  </si>
  <si>
    <t>Year4_Juvenile_Re-offenders_(Age 10-17)</t>
  </si>
  <si>
    <t>Year4_Children_missing_Education</t>
  </si>
  <si>
    <t>Year4_ electively_home_educated</t>
  </si>
  <si>
    <t>Year4_Number_EHC_Plans</t>
  </si>
  <si>
    <t>Year4_Care_Leavers_16_18th_birthday</t>
  </si>
  <si>
    <t>Year4_Care_Leavers_at_end_of_period</t>
  </si>
  <si>
    <t>Year4_Care_Leavers_in_touch</t>
  </si>
  <si>
    <t>Year4_Care_Leavers_in_suitable_accommodation</t>
  </si>
  <si>
    <t>Year4_Care_Leavers_in_EET</t>
  </si>
  <si>
    <t>Year4_LAC_3_or_more_Placements</t>
  </si>
  <si>
    <t>Year4_LAC_Start</t>
  </si>
  <si>
    <t>Year4_LAC_Start_2nd_time</t>
  </si>
  <si>
    <t>Year4_LAC_Remanded</t>
  </si>
  <si>
    <t>Year4_CP_Plans_Seen_in_Timescales</t>
  </si>
  <si>
    <t>Year4_Contacts</t>
  </si>
  <si>
    <t>C.</t>
  </si>
  <si>
    <t>2016-17</t>
  </si>
  <si>
    <t>2013-14</t>
  </si>
  <si>
    <t>2014-15</t>
  </si>
  <si>
    <t>2015-16</t>
  </si>
  <si>
    <t>Year1_LAC_4weeks</t>
  </si>
  <si>
    <t>Year1_LAC_4weeks_reviews_in_timescales</t>
  </si>
  <si>
    <t>Year2_LAC_4weeks</t>
  </si>
  <si>
    <t>Year2_LAC_4weeks_reviews_in_timescales</t>
  </si>
  <si>
    <t>Year3_LAC_4weeks</t>
  </si>
  <si>
    <t>Year3_LAC_4weeks_reviews_in_timescales</t>
  </si>
  <si>
    <t>Year4_LAC_4weeks</t>
  </si>
  <si>
    <t>Year4_LAC_4weeks_reviews_in_timescales</t>
  </si>
  <si>
    <t>Year5_LAC_4weeks</t>
  </si>
  <si>
    <t>Year5_LAC_4weeks_reviews_in_timescales</t>
  </si>
  <si>
    <t>Year1_LAC_UASC</t>
  </si>
  <si>
    <t>Year2_LAC_UASC</t>
  </si>
  <si>
    <t>Year3_LAC_UASC</t>
  </si>
  <si>
    <t>Year4_LAC_UASC</t>
  </si>
  <si>
    <t>Year1_LAC_Under1</t>
  </si>
  <si>
    <t>Year1_LAC_1to4</t>
  </si>
  <si>
    <t>Year1_LAC_5to9</t>
  </si>
  <si>
    <t>Year1_LAC_10to15</t>
  </si>
  <si>
    <t>Year1_LAC_16plus</t>
  </si>
  <si>
    <t>Year2_LAC_Under1</t>
  </si>
  <si>
    <t>Year2_LAC_1to4</t>
  </si>
  <si>
    <t>Year2_LAC_5to9</t>
  </si>
  <si>
    <t>Year2_LAC_10to15</t>
  </si>
  <si>
    <t>Year2_LAC_16plus</t>
  </si>
  <si>
    <t>Year3_LAC_Under1</t>
  </si>
  <si>
    <t>Year3_LAC_1to4</t>
  </si>
  <si>
    <t>Year3_LAC_5to9</t>
  </si>
  <si>
    <t>Year3_LAC_10to15</t>
  </si>
  <si>
    <t>Year3_LAC_16plus</t>
  </si>
  <si>
    <t>Year4_LAC_Under1</t>
  </si>
  <si>
    <t>Year4_LAC_1to4</t>
  </si>
  <si>
    <t>Year4_LAC_5to9</t>
  </si>
  <si>
    <t>Year4_LAC_10to15</t>
  </si>
  <si>
    <t>Year4_LAC_16plus</t>
  </si>
  <si>
    <t>Year5_LAC_Under1</t>
  </si>
  <si>
    <t>Year5_LAC_1to4</t>
  </si>
  <si>
    <t>Year5_LAC_5to9</t>
  </si>
  <si>
    <t>Year5_LAC_10to15</t>
  </si>
  <si>
    <t>Year5_LAC_16plus</t>
  </si>
  <si>
    <t>Population Estimates Mid-2017</t>
  </si>
  <si>
    <t>Year1_Adoption_PFA</t>
  </si>
  <si>
    <t>Year2_Adoption_PFA</t>
  </si>
  <si>
    <t>Year3_Adoption_PFA</t>
  </si>
  <si>
    <t>Year4_Adoption_PFA</t>
  </si>
  <si>
    <t>Year5_Adoption_PFA</t>
  </si>
  <si>
    <t>Year1_ROSGO_ceased_LAC_CAO</t>
  </si>
  <si>
    <t>Year1_ROSGO_ceased_LAC_SGO</t>
  </si>
  <si>
    <t>Year5_ROSGO_ceased_LAC_CAO</t>
  </si>
  <si>
    <t>Year5_ROSGO_ceased_LAC_SGO</t>
  </si>
  <si>
    <t>Year4_ROSGO_ceased_LAC_CAO</t>
  </si>
  <si>
    <t>Year4_ROSGO_ceased_LAC_SGO</t>
  </si>
  <si>
    <t>Year3_ROSGO_ceased_LAC_CAO</t>
  </si>
  <si>
    <t>Year3_ROSGO_ceased_LAC_SGO</t>
  </si>
  <si>
    <t>Year2_ROSGO_ceased_LAC_CAO</t>
  </si>
  <si>
    <t>Year2_ROSGO_ceased_LAC_SGO</t>
  </si>
  <si>
    <t>Year5_CP_Plans_Seen_in_Timescales</t>
  </si>
  <si>
    <t>-</t>
  </si>
  <si>
    <t>11-20 Days</t>
  </si>
  <si>
    <t>21-30 Days</t>
  </si>
  <si>
    <t>31-45 Days</t>
  </si>
  <si>
    <t>..</t>
  </si>
  <si>
    <t>As reported in CIN Census- Referrals Not resulting in 'No Further Action'</t>
  </si>
  <si>
    <t>% LAC ceasing in year to CAO</t>
  </si>
  <si>
    <t>% LAC ceasing in year to SGO</t>
  </si>
  <si>
    <t>Rates for each contact source group (for home page)</t>
  </si>
  <si>
    <t>CSC Single Assessments Authorised within: 11-20 days</t>
  </si>
  <si>
    <t>CSC Single Assessments Authorised within: 21-30 days</t>
  </si>
  <si>
    <t>CSC Single Assessments Authorised within: 31-45 days</t>
  </si>
  <si>
    <t>Year5_0-17_Population</t>
  </si>
  <si>
    <t>Bracknell_Forest</t>
  </si>
  <si>
    <t>Brighton_Hove</t>
  </si>
  <si>
    <t>East_Sussex</t>
  </si>
  <si>
    <t>Isle_of_Wight</t>
  </si>
  <si>
    <t>Milton_Keynes</t>
  </si>
  <si>
    <t>West_Berkshire</t>
  </si>
  <si>
    <t>West_Sussex</t>
  </si>
  <si>
    <t>Windsor_Maidenhead</t>
  </si>
  <si>
    <t>Please click the icon below to go to the home page:</t>
  </si>
  <si>
    <t>You can now toggle LA's on and off the charts by using the tick boxes on each page- this will only affect the active section.</t>
  </si>
  <si>
    <t>r-squared values are now included on the vs. IDACI charts.</t>
  </si>
  <si>
    <t>CSBenchmarking@eastsussex.gcsx.gov.uk</t>
  </si>
  <si>
    <t xml:space="preserve">If you have any queries regarding this report please contact:  </t>
  </si>
  <si>
    <t xml:space="preserve">Joe Cornford-Hutchings (Information Analyst) </t>
  </si>
  <si>
    <t xml:space="preserve">Philip Warman (Information Officer) </t>
  </si>
  <si>
    <t>or</t>
  </si>
  <si>
    <t>Throughout this report 'South East' refers to the combined figures for South East LA's who have provided data. Where the IDACI score for the South East is shown, this will have been re-calculated to include only those LA's who have provided data for the indicator shown. Therefore the South East IDACI score may vary throughout the report.</t>
  </si>
  <si>
    <t>This report is compiled using data collected from Local Authorities as part of the South East Sector-led Improvement Programme (SESLIP) 
Children's Social Care Benchmarking exercise.</t>
  </si>
  <si>
    <t>This is a restricted report and is for use within your LA only. Please DO NOT share externally.</t>
  </si>
  <si>
    <t>01273 335931
01273 482777</t>
  </si>
  <si>
    <t>You can click the                          icons to navigate through the document - there are also links from the homepage to each section.</t>
  </si>
  <si>
    <t>Throughout this report, various indicators are plotted against the IDACI score of the Local Authority. The most recent IDACI figures were produced in 2015 using mid-2012 population estimates. The IDACI score represents the percentage of children aged 0–15 living in income-deprived households. 
Where the IDACI score for the South East is shown, this will have been re-calculated to include only those LA's who have provided data for the indicator shown. Therefore the South East IDACI score may vary throughout the report.</t>
  </si>
  <si>
    <t>mid-2013</t>
  </si>
  <si>
    <t>2013 estimate used for calculating 2013/14 rates, 2014 estimate used for calculating 2014/15 rates, 2015 estimate used for calculating 2015/16 rates, 2016 estimate used for calculating 2016/17 rates, 2017 estimate used for calculating 2017/18 rates.</t>
  </si>
  <si>
    <t>National Trend 2018</t>
  </si>
  <si>
    <t>r² = 0.050</t>
  </si>
  <si>
    <t>r² = 0.2393</t>
  </si>
  <si>
    <t>Year4_Assessments_11_20days</t>
  </si>
  <si>
    <t>Year4_Assessments_21_30days</t>
  </si>
  <si>
    <t>Year4_Assessments_31_45days</t>
  </si>
  <si>
    <t>Year5_Assessments_11_20days</t>
  </si>
  <si>
    <t>Year5_Assessments_21_30days</t>
  </si>
  <si>
    <t>Year5_Assessments_31_45days</t>
  </si>
  <si>
    <t>Year3_Assessments_11_20days</t>
  </si>
  <si>
    <t>Year3_Assessments_21_30days</t>
  </si>
  <si>
    <t>Year3_Assessments_31_45days</t>
  </si>
  <si>
    <t>Year2_Assessments_11_20days</t>
  </si>
  <si>
    <t>Year2_Assessments_21_30days</t>
  </si>
  <si>
    <t>Year2_Assessments_31_45days</t>
  </si>
  <si>
    <t>Year1_Assessments_11_20days</t>
  </si>
  <si>
    <t>Year1_Assessments_21_30days</t>
  </si>
  <si>
    <t>Year1_Assessments_31_45days</t>
  </si>
  <si>
    <t>r² = 0.229</t>
  </si>
  <si>
    <t>r² = 0.433</t>
  </si>
  <si>
    <t>r² = 0.324</t>
  </si>
  <si>
    <t>r² = 0.197</t>
  </si>
  <si>
    <t>r² = 0.191</t>
  </si>
  <si>
    <t>r² = 0.25</t>
  </si>
  <si>
    <t>% Children becoming the subject of a CP Plan for a Second or Subsequent time</t>
  </si>
  <si>
    <t>Children subject of a CP Plan for 3+ Months at 31 March, who had reviews carried out within the required timescales</t>
  </si>
  <si>
    <t>Children Looked After for 2.5+ years at 31st March who had been  living in the same placement for at least 2 years (%)</t>
  </si>
  <si>
    <t xml:space="preserve">Suppressed in SFR </t>
  </si>
  <si>
    <t>Referral Source 
(% of total Referrals)</t>
  </si>
  <si>
    <t>Where heat mapping is used to colour the tables below, this is done for each indicator (i.e. in rows) and higher values are represented by darker colour.</t>
  </si>
  <si>
    <t>Children Looked After at 31st March (aged &lt;16) who had 
been looked after for more than 2.5 years (%)</t>
  </si>
  <si>
    <r>
      <t xml:space="preserve">Annual Report
</t>
    </r>
    <r>
      <rPr>
        <b/>
        <sz val="24"/>
        <color rgb="FF00B050"/>
        <rFont val="Arial"/>
        <family val="2"/>
      </rPr>
      <t xml:space="preserve"> (Public)</t>
    </r>
  </si>
  <si>
    <t>Permanence</t>
  </si>
  <si>
    <t xml:space="preserve">National Trend </t>
  </si>
  <si>
    <t>Below is a summary comparison of the main indicators from this report.</t>
  </si>
  <si>
    <t xml:space="preserve">Information about Participating LA's can be found here: </t>
  </si>
  <si>
    <t xml:space="preserve">Information about Population Estimates used in this report can be found here: </t>
  </si>
  <si>
    <t xml:space="preserve">Information about Income Deprivation Affecting Children Index (IDACI) can be found here: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</si>
</sst>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General_)"/>
    <numFmt numFmtId="167" formatCode="0.0%"/>
    <numFmt numFmtId="168" formatCode="0.000"/>
  </numFmts>
  <fonts count="7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b/>
      <sz val="10"/>
      <name val="Arial"/>
      <family val="2"/>
    </font>
    <font>
      <sz val="8"/>
      <name val="Arial"/>
      <family val="2"/>
    </font>
    <font>
      <b/>
      <sz val="8"/>
      <name val="Arial"/>
      <family val="2"/>
    </font>
    <font>
      <b/>
      <sz val="10"/>
      <name val="Arial"/>
      <family val="2"/>
    </font>
    <font>
      <sz val="8"/>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indexed="8"/>
      <name val="Arial"/>
      <family val="2"/>
    </font>
    <font>
      <sz val="11"/>
      <name val="Arial"/>
      <family val="2"/>
    </font>
    <font>
      <sz val="12"/>
      <name val="Arial"/>
      <family val="2"/>
    </font>
    <font>
      <b/>
      <sz val="11"/>
      <name val="Arial"/>
      <family val="2"/>
    </font>
    <font>
      <sz val="7"/>
      <name val="Arial"/>
      <family val="2"/>
    </font>
    <font>
      <b/>
      <sz val="9"/>
      <name val="Arial"/>
      <family val="2"/>
    </font>
    <font>
      <sz val="9"/>
      <name val="Arial"/>
      <family val="2"/>
    </font>
    <font>
      <sz val="8"/>
      <color indexed="9"/>
      <name val="Arial"/>
      <family val="2"/>
    </font>
    <font>
      <sz val="8"/>
      <name val="Arial"/>
      <family val="2"/>
    </font>
    <font>
      <sz val="8"/>
      <color indexed="10"/>
      <name val="Arial"/>
      <family val="2"/>
    </font>
    <font>
      <b/>
      <sz val="14"/>
      <color indexed="39"/>
      <name val="Arial"/>
      <family val="2"/>
    </font>
    <font>
      <b/>
      <sz val="12"/>
      <color indexed="39"/>
      <name val="Arial"/>
      <family val="2"/>
    </font>
    <font>
      <sz val="8"/>
      <color indexed="16"/>
      <name val="Arial"/>
      <family val="2"/>
    </font>
    <font>
      <b/>
      <sz val="8"/>
      <color indexed="16"/>
      <name val="Arial"/>
      <family val="2"/>
    </font>
    <font>
      <sz val="9"/>
      <name val="Wingdings"/>
      <charset val="2"/>
    </font>
    <font>
      <b/>
      <sz val="24"/>
      <color indexed="39"/>
      <name val="Arial"/>
      <family val="2"/>
    </font>
    <font>
      <sz val="10"/>
      <color indexed="9"/>
      <name val="Arial"/>
      <family val="2"/>
    </font>
    <font>
      <sz val="9"/>
      <color indexed="9"/>
      <name val="Wingdings"/>
      <charset val="2"/>
    </font>
    <font>
      <sz val="8"/>
      <color indexed="37"/>
      <name val="Arial"/>
      <family val="2"/>
    </font>
    <font>
      <sz val="10"/>
      <color indexed="37"/>
      <name val="Arial"/>
      <family val="2"/>
    </font>
    <font>
      <b/>
      <u/>
      <sz val="10"/>
      <color indexed="39"/>
      <name val="Arial"/>
      <family val="2"/>
    </font>
    <font>
      <b/>
      <sz val="12"/>
      <color indexed="63"/>
      <name val="Arial"/>
      <family val="2"/>
    </font>
    <font>
      <sz val="8"/>
      <color theme="1" tint="0.249977111117893"/>
      <name val="Arial"/>
      <family val="2"/>
    </font>
    <font>
      <sz val="8"/>
      <color rgb="FF00B050"/>
      <name val="Arial"/>
      <family val="2"/>
    </font>
    <font>
      <sz val="8"/>
      <color theme="6" tint="-0.499984740745262"/>
      <name val="Arial"/>
      <family val="2"/>
    </font>
    <font>
      <b/>
      <sz val="8"/>
      <color theme="0" tint="-0.499984740745262"/>
      <name val="Arial"/>
      <family val="2"/>
    </font>
    <font>
      <sz val="8"/>
      <color theme="0" tint="-0.499984740745262"/>
      <name val="Arial"/>
      <family val="2"/>
    </font>
    <font>
      <b/>
      <sz val="8"/>
      <color rgb="FF00B050"/>
      <name val="Arial"/>
      <family val="2"/>
    </font>
    <font>
      <sz val="8"/>
      <color rgb="FFFF0000"/>
      <name val="Arial"/>
      <family val="2"/>
    </font>
    <font>
      <b/>
      <sz val="16"/>
      <color indexed="39"/>
      <name val="Arial"/>
      <family val="2"/>
    </font>
    <font>
      <b/>
      <i/>
      <sz val="10"/>
      <name val="Arial"/>
      <family val="2"/>
    </font>
    <font>
      <sz val="8"/>
      <color theme="0"/>
      <name val="Arial"/>
      <family val="2"/>
    </font>
    <font>
      <b/>
      <sz val="8"/>
      <color theme="1" tint="0.499984740745262"/>
      <name val="Arial"/>
      <family val="2"/>
    </font>
    <font>
      <sz val="8"/>
      <color theme="1" tint="0.499984740745262"/>
      <name val="Arial"/>
      <family val="2"/>
    </font>
    <font>
      <b/>
      <sz val="8"/>
      <color rgb="FF008643"/>
      <name val="Arial"/>
      <family val="2"/>
    </font>
    <font>
      <u/>
      <sz val="8"/>
      <name val="Arial"/>
      <family val="2"/>
    </font>
    <font>
      <sz val="11"/>
      <color theme="1"/>
      <name val="Calibri"/>
      <family val="2"/>
    </font>
    <font>
      <b/>
      <sz val="8"/>
      <color theme="0"/>
      <name val="Arial"/>
      <family val="2"/>
    </font>
    <font>
      <b/>
      <sz val="14"/>
      <name val="Arial"/>
      <family val="2"/>
    </font>
    <font>
      <b/>
      <sz val="8"/>
      <name val="Trebuchet MS"/>
      <family val="2"/>
    </font>
    <font>
      <i/>
      <sz val="9"/>
      <name val="Arial"/>
      <family val="2"/>
    </font>
    <font>
      <i/>
      <sz val="8"/>
      <name val="Arial"/>
      <family val="2"/>
    </font>
    <font>
      <sz val="6"/>
      <name val="Arial"/>
      <family val="2"/>
    </font>
    <font>
      <b/>
      <sz val="11"/>
      <color rgb="FFC00000"/>
      <name val="Arial"/>
      <family val="2"/>
    </font>
    <font>
      <b/>
      <sz val="16"/>
      <color theme="1" tint="4.9989318521683403E-2"/>
      <name val="Arial"/>
      <family val="2"/>
    </font>
    <font>
      <b/>
      <u/>
      <sz val="11"/>
      <color indexed="39"/>
      <name val="Arial"/>
      <family val="2"/>
    </font>
    <font>
      <b/>
      <sz val="8"/>
      <color theme="1"/>
      <name val="Arial"/>
      <family val="2"/>
    </font>
    <font>
      <b/>
      <sz val="24"/>
      <color rgb="FF00B050"/>
      <name val="Arial"/>
      <family val="2"/>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FFC00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1" tint="0.24997711111789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99FFCC"/>
        <bgColor indexed="64"/>
      </patternFill>
    </fill>
    <fill>
      <patternFill patternType="solid">
        <fgColor rgb="FF66FF99"/>
        <bgColor indexed="64"/>
      </patternFill>
    </fill>
    <fill>
      <patternFill patternType="solid">
        <fgColor rgb="FFF6F5F0"/>
        <bgColor indexed="64"/>
      </patternFill>
    </fill>
    <fill>
      <patternFill patternType="solid">
        <fgColor rgb="FFFFFF0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8" tint="0.79998168889431442"/>
        <bgColor indexed="64"/>
      </patternFill>
    </fill>
  </fills>
  <borders count="1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top/>
      <bottom style="medium">
        <color indexed="39"/>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bottom style="thin">
        <color indexed="64"/>
      </bottom>
      <diagonal/>
    </border>
    <border>
      <left style="thin">
        <color indexed="39"/>
      </left>
      <right/>
      <top style="thin">
        <color indexed="39"/>
      </top>
      <bottom/>
      <diagonal/>
    </border>
    <border>
      <left/>
      <right/>
      <top style="thin">
        <color indexed="39"/>
      </top>
      <bottom/>
      <diagonal/>
    </border>
    <border>
      <left/>
      <right style="thin">
        <color indexed="39"/>
      </right>
      <top style="thin">
        <color indexed="39"/>
      </top>
      <bottom/>
      <diagonal/>
    </border>
    <border>
      <left style="thin">
        <color indexed="39"/>
      </left>
      <right/>
      <top/>
      <bottom/>
      <diagonal/>
    </border>
    <border>
      <left/>
      <right style="thin">
        <color indexed="39"/>
      </right>
      <top/>
      <bottom/>
      <diagonal/>
    </border>
    <border>
      <left style="thin">
        <color indexed="39"/>
      </left>
      <right/>
      <top/>
      <bottom style="thin">
        <color indexed="39"/>
      </bottom>
      <diagonal/>
    </border>
    <border>
      <left/>
      <right/>
      <top/>
      <bottom style="thin">
        <color indexed="39"/>
      </bottom>
      <diagonal/>
    </border>
    <border>
      <left/>
      <right style="thin">
        <color indexed="39"/>
      </right>
      <top/>
      <bottom style="thin">
        <color indexed="39"/>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indexed="39"/>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indexed="64"/>
      </left>
      <right style="thin">
        <color indexed="64"/>
      </right>
      <top/>
      <bottom/>
      <diagonal/>
    </border>
    <border>
      <left style="thin">
        <color indexed="64"/>
      </left>
      <right style="thin">
        <color auto="1"/>
      </right>
      <top/>
      <bottom style="thin">
        <color auto="1"/>
      </bottom>
      <diagonal/>
    </border>
    <border>
      <left style="thin">
        <color indexed="39"/>
      </left>
      <right/>
      <top/>
      <bottom style="thin">
        <color indexed="39"/>
      </bottom>
      <diagonal/>
    </border>
    <border>
      <left/>
      <right/>
      <top/>
      <bottom style="thin">
        <color indexed="39"/>
      </bottom>
      <diagonal/>
    </border>
    <border>
      <left/>
      <right style="thin">
        <color indexed="39"/>
      </right>
      <top/>
      <bottom style="thin">
        <color indexed="39"/>
      </bottom>
      <diagonal/>
    </border>
    <border>
      <left/>
      <right/>
      <top/>
      <bottom style="thin">
        <color indexed="64"/>
      </bottom>
      <diagonal/>
    </border>
    <border>
      <left/>
      <right style="thin">
        <color auto="1"/>
      </right>
      <top/>
      <bottom style="thin">
        <color auto="1"/>
      </bottom>
      <diagonal/>
    </border>
    <border>
      <left style="thin">
        <color indexed="39"/>
      </left>
      <right/>
      <top/>
      <bottom/>
      <diagonal/>
    </border>
    <border>
      <left style="thin">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theme="9" tint="-0.24994659260841701"/>
      </left>
      <right style="thin">
        <color indexed="64"/>
      </right>
      <top/>
      <bottom/>
      <diagonal/>
    </border>
    <border>
      <left/>
      <right style="thin">
        <color theme="9" tint="-0.24994659260841701"/>
      </right>
      <top/>
      <bottom/>
      <diagonal/>
    </border>
    <border>
      <left style="thin">
        <color indexed="39"/>
      </left>
      <right/>
      <top/>
      <bottom style="thin">
        <color indexed="39"/>
      </bottom>
      <diagonal/>
    </border>
    <border>
      <left/>
      <right/>
      <top/>
      <bottom style="thin">
        <color indexed="39"/>
      </bottom>
      <diagonal/>
    </border>
    <border>
      <left/>
      <right style="thin">
        <color theme="9" tint="-0.24994659260841701"/>
      </right>
      <top/>
      <bottom style="thin">
        <color indexed="39"/>
      </bottom>
      <diagonal/>
    </border>
    <border>
      <left style="thin">
        <color theme="9" tint="-0.24994659260841701"/>
      </left>
      <right/>
      <top style="thin">
        <color theme="9" tint="-0.24994659260841701"/>
      </top>
      <bottom/>
      <diagonal/>
    </border>
    <border>
      <left/>
      <right/>
      <top style="thin">
        <color theme="9" tint="-0.24994659260841701"/>
      </top>
      <bottom/>
      <diagonal/>
    </border>
    <border>
      <left/>
      <right style="thin">
        <color theme="9" tint="-0.24994659260841701"/>
      </right>
      <top style="thin">
        <color theme="9" tint="-0.24994659260841701"/>
      </top>
      <bottom/>
      <diagonal/>
    </border>
    <border>
      <left style="thin">
        <color theme="9" tint="-0.24994659260841701"/>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9" tint="-0.24994659260841701"/>
      </left>
      <right/>
      <top/>
      <bottom style="thin">
        <color theme="9" tint="-0.24994659260841701"/>
      </bottom>
      <diagonal/>
    </border>
    <border>
      <left/>
      <right/>
      <top/>
      <bottom style="thin">
        <color theme="9" tint="-0.24994659260841701"/>
      </bottom>
      <diagonal/>
    </border>
    <border>
      <left/>
      <right style="thin">
        <color theme="9" tint="-0.24994659260841701"/>
      </right>
      <top/>
      <bottom style="thin">
        <color theme="9" tint="-0.24994659260841701"/>
      </bottom>
      <diagonal/>
    </border>
    <border>
      <left/>
      <right style="thin">
        <color indexed="39"/>
      </right>
      <top/>
      <bottom style="thin">
        <color indexed="39"/>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style="thin">
        <color rgb="FFC00000"/>
      </top>
      <bottom style="thin">
        <color rgb="FFC00000"/>
      </bottom>
      <diagonal/>
    </border>
    <border>
      <left/>
      <right/>
      <top/>
      <bottom style="thin">
        <color rgb="FFC85100"/>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theme="9" tint="-0.24994659260841701"/>
      </left>
      <right/>
      <top/>
      <bottom style="thin">
        <color rgb="FFC85100"/>
      </bottom>
      <diagonal/>
    </border>
    <border>
      <left style="thin">
        <color indexed="39"/>
      </left>
      <right style="thin">
        <color auto="1"/>
      </right>
      <top/>
      <bottom/>
      <diagonal/>
    </border>
  </borders>
  <cellStyleXfs count="55">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6" fillId="21" borderId="2" applyNumberFormat="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49" fillId="0" borderId="0" applyNumberFormat="0" applyFill="0" applyBorder="0" applyAlignment="0" applyProtection="0">
      <alignment vertical="top"/>
      <protection locked="0"/>
    </xf>
    <xf numFmtId="0" fontId="22" fillId="7" borderId="1" applyNumberFormat="0" applyAlignment="0" applyProtection="0"/>
    <xf numFmtId="0" fontId="23" fillId="0" borderId="6" applyNumberFormat="0" applyFill="0" applyAlignment="0" applyProtection="0"/>
    <xf numFmtId="0" fontId="24" fillId="22" borderId="0" applyNumberFormat="0" applyBorder="0" applyAlignment="0" applyProtection="0"/>
    <xf numFmtId="0" fontId="6" fillId="0" borderId="0"/>
    <xf numFmtId="0" fontId="4" fillId="23" borderId="7" applyNumberFormat="0" applyFont="0" applyAlignment="0" applyProtection="0"/>
    <xf numFmtId="0" fontId="25" fillId="20" borderId="8" applyNumberFormat="0" applyAlignment="0" applyProtection="0"/>
    <xf numFmtId="0" fontId="26" fillId="0" borderId="0" applyNumberFormat="0" applyFill="0" applyBorder="0" applyAlignment="0" applyProtection="0"/>
    <xf numFmtId="0" fontId="27" fillId="0" borderId="9" applyNumberFormat="0" applyFill="0" applyAlignment="0" applyProtection="0"/>
    <xf numFmtId="0" fontId="10" fillId="0" borderId="0" applyFont="0"/>
    <xf numFmtId="166" fontId="29" fillId="0" borderId="0"/>
    <xf numFmtId="0" fontId="28" fillId="0" borderId="0" applyNumberFormat="0" applyFill="0" applyBorder="0" applyAlignment="0" applyProtection="0"/>
    <xf numFmtId="0" fontId="4" fillId="0" borderId="0"/>
    <xf numFmtId="0" fontId="4" fillId="0" borderId="0"/>
    <xf numFmtId="0" fontId="3" fillId="0" borderId="0"/>
    <xf numFmtId="0" fontId="4" fillId="0" borderId="0"/>
    <xf numFmtId="0" fontId="2" fillId="0" borderId="0"/>
    <xf numFmtId="0" fontId="2" fillId="0" borderId="0"/>
    <xf numFmtId="0" fontId="65" fillId="0" borderId="0"/>
    <xf numFmtId="0" fontId="7" fillId="0" borderId="0" applyFont="0"/>
    <xf numFmtId="0" fontId="1" fillId="0" borderId="0"/>
  </cellStyleXfs>
  <cellXfs count="1128">
    <xf numFmtId="0" fontId="0" fillId="0" borderId="0" xfId="0"/>
    <xf numFmtId="0" fontId="0" fillId="24" borderId="0" xfId="0" applyFill="1" applyBorder="1"/>
    <xf numFmtId="0" fontId="8" fillId="24" borderId="0" xfId="0" applyFont="1" applyFill="1" applyBorder="1"/>
    <xf numFmtId="0" fontId="35" fillId="24" borderId="0" xfId="0" applyFont="1" applyFill="1" applyBorder="1"/>
    <xf numFmtId="0" fontId="4" fillId="24" borderId="0" xfId="0" applyFont="1" applyFill="1" applyBorder="1" applyAlignment="1">
      <alignment wrapText="1"/>
    </xf>
    <xf numFmtId="0" fontId="30" fillId="24" borderId="0" xfId="0" applyFont="1" applyFill="1" applyBorder="1"/>
    <xf numFmtId="0" fontId="5" fillId="24" borderId="0" xfId="0" applyFont="1" applyFill="1" applyBorder="1"/>
    <xf numFmtId="0" fontId="8" fillId="24" borderId="12" xfId="0" applyFont="1" applyFill="1" applyBorder="1"/>
    <xf numFmtId="49" fontId="40" fillId="24" borderId="0" xfId="0" applyNumberFormat="1" applyFont="1" applyFill="1" applyBorder="1" applyAlignment="1">
      <alignment horizontal="right" wrapText="1"/>
    </xf>
    <xf numFmtId="0" fontId="5" fillId="24" borderId="0" xfId="0" applyFont="1" applyFill="1" applyBorder="1" applyProtection="1"/>
    <xf numFmtId="0" fontId="5" fillId="24" borderId="0" xfId="0" applyFont="1" applyFill="1" applyProtection="1"/>
    <xf numFmtId="0" fontId="36" fillId="24" borderId="0" xfId="0" applyFont="1" applyFill="1" applyBorder="1" applyProtection="1"/>
    <xf numFmtId="0" fontId="38" fillId="24" borderId="0" xfId="0" applyFont="1" applyFill="1" applyBorder="1" applyAlignment="1" applyProtection="1">
      <alignment horizontal="right"/>
    </xf>
    <xf numFmtId="0" fontId="0" fillId="24" borderId="0" xfId="0" applyFill="1" applyBorder="1" applyProtection="1"/>
    <xf numFmtId="0" fontId="31" fillId="24" borderId="0" xfId="0" applyFont="1" applyFill="1" applyBorder="1" applyAlignment="1" applyProtection="1"/>
    <xf numFmtId="0" fontId="5" fillId="24" borderId="0" xfId="0" applyFont="1" applyFill="1" applyBorder="1" applyAlignment="1" applyProtection="1"/>
    <xf numFmtId="0" fontId="0" fillId="24" borderId="0" xfId="0" applyFill="1" applyBorder="1" applyAlignment="1" applyProtection="1"/>
    <xf numFmtId="3" fontId="5" fillId="24" borderId="0" xfId="0" applyNumberFormat="1" applyFont="1" applyFill="1" applyBorder="1" applyAlignment="1" applyProtection="1">
      <alignment horizontal="center"/>
    </xf>
    <xf numFmtId="0" fontId="11" fillId="24" borderId="0" xfId="0" applyFont="1" applyFill="1" applyBorder="1" applyAlignment="1" applyProtection="1">
      <alignment wrapText="1"/>
    </xf>
    <xf numFmtId="0" fontId="35" fillId="24" borderId="0" xfId="0" applyFont="1" applyFill="1" applyBorder="1" applyAlignment="1" applyProtection="1">
      <alignment horizontal="center" wrapText="1"/>
    </xf>
    <xf numFmtId="0" fontId="0" fillId="24" borderId="0" xfId="0" applyFill="1" applyBorder="1" applyAlignment="1" applyProtection="1">
      <alignment horizontal="center" wrapText="1"/>
    </xf>
    <xf numFmtId="0" fontId="0" fillId="24" borderId="0" xfId="0" applyFill="1" applyBorder="1" applyAlignment="1" applyProtection="1">
      <alignment wrapText="1"/>
    </xf>
    <xf numFmtId="0" fontId="8" fillId="24" borderId="0" xfId="0" applyFont="1" applyFill="1" applyBorder="1" applyProtection="1"/>
    <xf numFmtId="0" fontId="8" fillId="24" borderId="0" xfId="0" applyFont="1" applyFill="1" applyBorder="1" applyAlignment="1" applyProtection="1"/>
    <xf numFmtId="0" fontId="41" fillId="24" borderId="0" xfId="0" applyFont="1" applyFill="1" applyBorder="1" applyAlignment="1" applyProtection="1">
      <alignment horizontal="center"/>
    </xf>
    <xf numFmtId="0" fontId="41" fillId="24" borderId="0" xfId="0" applyFont="1" applyFill="1" applyBorder="1" applyAlignment="1" applyProtection="1">
      <alignment horizontal="right"/>
    </xf>
    <xf numFmtId="0" fontId="45" fillId="0" borderId="17" xfId="0" applyFont="1" applyBorder="1" applyAlignment="1" applyProtection="1">
      <alignment vertical="top" wrapText="1"/>
    </xf>
    <xf numFmtId="0" fontId="43" fillId="25" borderId="17" xfId="0" applyFont="1" applyFill="1" applyBorder="1" applyAlignment="1" applyProtection="1">
      <alignment horizontal="center" vertical="center"/>
    </xf>
    <xf numFmtId="0" fontId="0" fillId="0" borderId="17" xfId="0" applyBorder="1" applyAlignment="1" applyProtection="1">
      <alignment vertical="top" wrapText="1"/>
    </xf>
    <xf numFmtId="0" fontId="6" fillId="24" borderId="23" xfId="0" applyFont="1" applyFill="1" applyBorder="1" applyAlignment="1" applyProtection="1">
      <alignment vertical="top" wrapText="1"/>
    </xf>
    <xf numFmtId="0" fontId="8" fillId="24" borderId="17" xfId="0" applyFont="1" applyFill="1" applyBorder="1" applyAlignment="1" applyProtection="1"/>
    <xf numFmtId="0" fontId="8" fillId="24" borderId="23" xfId="0" applyFont="1" applyFill="1" applyBorder="1" applyAlignment="1" applyProtection="1"/>
    <xf numFmtId="0" fontId="43" fillId="25" borderId="23" xfId="0" applyFont="1" applyFill="1" applyBorder="1" applyAlignment="1" applyProtection="1">
      <alignment horizontal="center" vertical="center"/>
    </xf>
    <xf numFmtId="0" fontId="8" fillId="24" borderId="23" xfId="0" applyFont="1" applyFill="1" applyBorder="1" applyProtection="1"/>
    <xf numFmtId="0" fontId="45" fillId="0" borderId="20" xfId="0" applyFont="1" applyBorder="1" applyAlignment="1" applyProtection="1">
      <alignment vertical="top" wrapText="1"/>
    </xf>
    <xf numFmtId="0" fontId="8" fillId="24" borderId="17" xfId="0" applyFont="1" applyFill="1" applyBorder="1" applyProtection="1"/>
    <xf numFmtId="0" fontId="0" fillId="0" borderId="20" xfId="0" applyBorder="1" applyAlignment="1" applyProtection="1">
      <alignment vertical="top" wrapText="1"/>
    </xf>
    <xf numFmtId="3" fontId="5" fillId="24" borderId="0" xfId="0" applyNumberFormat="1" applyFont="1" applyFill="1" applyBorder="1" applyProtection="1"/>
    <xf numFmtId="3" fontId="9" fillId="24" borderId="0" xfId="0" applyNumberFormat="1" applyFont="1" applyFill="1" applyBorder="1" applyProtection="1"/>
    <xf numFmtId="0" fontId="9" fillId="24" borderId="0" xfId="0" applyFont="1" applyFill="1" applyBorder="1" applyAlignment="1" applyProtection="1">
      <alignment horizontal="center" vertical="top" wrapText="1"/>
    </xf>
    <xf numFmtId="0" fontId="46" fillId="24" borderId="0" xfId="0" applyFont="1" applyFill="1" applyBorder="1" applyAlignment="1" applyProtection="1">
      <alignment horizontal="center" vertical="center"/>
    </xf>
    <xf numFmtId="0" fontId="43" fillId="24" borderId="0" xfId="0" applyFont="1" applyFill="1" applyBorder="1" applyAlignment="1" applyProtection="1">
      <alignment horizontal="center" vertical="center"/>
    </xf>
    <xf numFmtId="1" fontId="52" fillId="0" borderId="17" xfId="0" applyNumberFormat="1" applyFont="1" applyFill="1" applyBorder="1" applyAlignment="1" applyProtection="1">
      <alignment horizontal="center" vertical="top"/>
    </xf>
    <xf numFmtId="0" fontId="54" fillId="0" borderId="17" xfId="0" applyFont="1" applyFill="1" applyBorder="1" applyAlignment="1" applyProtection="1">
      <alignment horizontal="center"/>
    </xf>
    <xf numFmtId="0" fontId="54" fillId="0" borderId="17" xfId="0" applyFont="1" applyFill="1" applyBorder="1" applyAlignment="1" applyProtection="1">
      <alignment horizontal="center" vertical="center"/>
    </xf>
    <xf numFmtId="0" fontId="55" fillId="0" borderId="17" xfId="0" applyFont="1" applyFill="1" applyBorder="1" applyAlignment="1" applyProtection="1">
      <alignment horizontal="right"/>
    </xf>
    <xf numFmtId="1" fontId="55" fillId="0" borderId="17" xfId="0" applyNumberFormat="1" applyFont="1" applyFill="1" applyBorder="1" applyAlignment="1" applyProtection="1">
      <alignment horizontal="center"/>
    </xf>
    <xf numFmtId="165" fontId="55" fillId="0" borderId="17" xfId="0" applyNumberFormat="1" applyFont="1" applyFill="1" applyBorder="1" applyAlignment="1" applyProtection="1">
      <alignment horizontal="center"/>
    </xf>
    <xf numFmtId="0" fontId="55" fillId="0" borderId="17" xfId="0" applyFont="1" applyFill="1" applyBorder="1" applyAlignment="1" applyProtection="1">
      <alignment horizontal="left" vertical="top" wrapText="1"/>
    </xf>
    <xf numFmtId="1" fontId="55" fillId="0" borderId="17" xfId="0" applyNumberFormat="1" applyFont="1" applyFill="1" applyBorder="1" applyProtection="1"/>
    <xf numFmtId="0" fontId="55" fillId="0" borderId="17" xfId="0" applyFont="1" applyFill="1" applyBorder="1" applyAlignment="1" applyProtection="1">
      <alignment horizontal="right" vertical="center"/>
    </xf>
    <xf numFmtId="0" fontId="55" fillId="0" borderId="20" xfId="0" applyFont="1" applyFill="1" applyBorder="1" applyProtection="1"/>
    <xf numFmtId="1" fontId="52" fillId="0" borderId="24" xfId="0" applyNumberFormat="1" applyFont="1" applyFill="1" applyBorder="1" applyAlignment="1" applyProtection="1">
      <alignment horizontal="center"/>
    </xf>
    <xf numFmtId="1" fontId="52" fillId="0" borderId="17" xfId="0" applyNumberFormat="1" applyFont="1" applyFill="1" applyBorder="1" applyAlignment="1" applyProtection="1">
      <alignment horizontal="center"/>
    </xf>
    <xf numFmtId="1" fontId="52" fillId="0" borderId="23" xfId="0" applyNumberFormat="1" applyFont="1" applyFill="1" applyBorder="1" applyAlignment="1" applyProtection="1">
      <alignment horizontal="center"/>
    </xf>
    <xf numFmtId="1" fontId="55" fillId="0" borderId="17" xfId="0" applyNumberFormat="1" applyFont="1" applyFill="1" applyBorder="1" applyAlignment="1" applyProtection="1">
      <alignment horizontal="center" vertical="top"/>
    </xf>
    <xf numFmtId="0" fontId="56" fillId="24" borderId="0" xfId="0" applyFont="1" applyFill="1" applyBorder="1" applyAlignment="1" applyProtection="1">
      <alignment horizontal="left"/>
    </xf>
    <xf numFmtId="1" fontId="55" fillId="0" borderId="21" xfId="0" applyNumberFormat="1" applyFont="1" applyFill="1" applyBorder="1" applyProtection="1"/>
    <xf numFmtId="0" fontId="5" fillId="26" borderId="0" xfId="0" applyFont="1" applyFill="1" applyBorder="1" applyProtection="1"/>
    <xf numFmtId="0" fontId="5" fillId="26" borderId="0" xfId="0" applyFont="1" applyFill="1" applyProtection="1"/>
    <xf numFmtId="0" fontId="32" fillId="26" borderId="0" xfId="0" applyFont="1" applyFill="1" applyBorder="1" applyAlignment="1" applyProtection="1">
      <alignment vertical="top"/>
    </xf>
    <xf numFmtId="0" fontId="0" fillId="26" borderId="0" xfId="0" applyFill="1" applyBorder="1" applyAlignment="1" applyProtection="1">
      <alignment vertical="top"/>
    </xf>
    <xf numFmtId="0" fontId="9" fillId="26" borderId="0" xfId="0" applyFont="1" applyFill="1" applyBorder="1" applyAlignment="1" applyProtection="1">
      <alignment horizontal="center" vertical="center"/>
    </xf>
    <xf numFmtId="0" fontId="5" fillId="26" borderId="0" xfId="0" applyFont="1" applyFill="1" applyBorder="1" applyAlignment="1" applyProtection="1"/>
    <xf numFmtId="0" fontId="0" fillId="26" borderId="0" xfId="0" applyFill="1" applyBorder="1" applyAlignment="1">
      <alignment horizontal="left" vertical="top" wrapText="1"/>
    </xf>
    <xf numFmtId="0" fontId="36" fillId="26" borderId="0" xfId="0" applyFont="1" applyFill="1" applyBorder="1" applyProtection="1"/>
    <xf numFmtId="0" fontId="38" fillId="26" borderId="0" xfId="0" applyFont="1" applyFill="1" applyBorder="1" applyAlignment="1" applyProtection="1">
      <alignment horizontal="right"/>
    </xf>
    <xf numFmtId="0" fontId="0" fillId="26" borderId="0" xfId="0" applyFill="1" applyBorder="1" applyProtection="1"/>
    <xf numFmtId="0" fontId="5" fillId="26" borderId="0" xfId="0" applyFont="1" applyFill="1" applyBorder="1" applyAlignment="1" applyProtection="1">
      <alignment horizontal="left" vertical="top" wrapText="1"/>
    </xf>
    <xf numFmtId="0" fontId="9" fillId="26" borderId="0" xfId="0" applyFont="1" applyFill="1" applyBorder="1" applyAlignment="1" applyProtection="1">
      <alignment vertical="center" wrapText="1"/>
    </xf>
    <xf numFmtId="0" fontId="0" fillId="26" borderId="0" xfId="0" applyFill="1" applyBorder="1" applyAlignment="1">
      <alignment wrapText="1"/>
    </xf>
    <xf numFmtId="0" fontId="0" fillId="26" borderId="0" xfId="0" applyFill="1" applyBorder="1" applyAlignment="1" applyProtection="1">
      <alignment wrapText="1"/>
    </xf>
    <xf numFmtId="0" fontId="55" fillId="0" borderId="17" xfId="0" applyFont="1" applyFill="1" applyBorder="1" applyAlignment="1" applyProtection="1">
      <alignment horizontal="left" vertical="center"/>
    </xf>
    <xf numFmtId="0" fontId="7" fillId="24" borderId="0" xfId="0" applyFont="1" applyFill="1" applyBorder="1" applyAlignment="1" applyProtection="1">
      <alignment horizontal="center" vertical="center"/>
    </xf>
    <xf numFmtId="0" fontId="9" fillId="25" borderId="24" xfId="46" applyFont="1" applyFill="1" applyBorder="1" applyAlignment="1" applyProtection="1">
      <alignment horizontal="center" vertical="center" wrapText="1"/>
    </xf>
    <xf numFmtId="0" fontId="9" fillId="25" borderId="17" xfId="46" applyFont="1" applyFill="1" applyBorder="1" applyAlignment="1" applyProtection="1">
      <alignment horizontal="center" vertical="center" wrapText="1"/>
    </xf>
    <xf numFmtId="0" fontId="9" fillId="25" borderId="23" xfId="46" applyFont="1" applyFill="1" applyBorder="1" applyAlignment="1" applyProtection="1">
      <alignment horizontal="center" vertical="center" wrapText="1"/>
    </xf>
    <xf numFmtId="165" fontId="5" fillId="24" borderId="24" xfId="46" applyNumberFormat="1" applyFont="1" applyFill="1" applyBorder="1" applyAlignment="1" applyProtection="1">
      <alignment horizontal="center" vertical="top" wrapText="1"/>
    </xf>
    <xf numFmtId="3" fontId="5" fillId="24" borderId="17" xfId="46" applyNumberFormat="1" applyFont="1" applyFill="1" applyBorder="1" applyAlignment="1" applyProtection="1">
      <alignment horizontal="center" vertical="center"/>
    </xf>
    <xf numFmtId="3" fontId="5" fillId="24" borderId="23" xfId="46" applyNumberFormat="1" applyFont="1" applyFill="1" applyBorder="1" applyAlignment="1" applyProtection="1">
      <alignment horizontal="center" vertical="center"/>
    </xf>
    <xf numFmtId="0" fontId="5" fillId="0" borderId="0" xfId="0" applyFont="1" applyFill="1" applyProtection="1"/>
    <xf numFmtId="0" fontId="8" fillId="0" borderId="0" xfId="0" applyFont="1" applyFill="1" applyProtection="1"/>
    <xf numFmtId="0" fontId="5" fillId="0" borderId="0" xfId="0" applyFont="1" applyFill="1" applyAlignment="1" applyProtection="1"/>
    <xf numFmtId="0" fontId="42" fillId="0" borderId="20" xfId="0" applyFont="1" applyFill="1" applyBorder="1" applyAlignment="1" applyProtection="1">
      <alignment horizontal="right"/>
    </xf>
    <xf numFmtId="0" fontId="42" fillId="0" borderId="17" xfId="0" applyFont="1" applyFill="1" applyBorder="1" applyAlignment="1">
      <alignment horizontal="center"/>
    </xf>
    <xf numFmtId="0" fontId="8" fillId="0" borderId="0" xfId="0" applyFont="1" applyFill="1" applyAlignment="1" applyProtection="1"/>
    <xf numFmtId="0" fontId="51" fillId="0" borderId="17" xfId="0" applyFont="1" applyFill="1" applyBorder="1" applyProtection="1"/>
    <xf numFmtId="0" fontId="36" fillId="0" borderId="0" xfId="0" applyFont="1" applyFill="1" applyBorder="1" applyProtection="1"/>
    <xf numFmtId="0" fontId="38" fillId="0" borderId="0" xfId="0" applyFont="1" applyFill="1" applyBorder="1" applyAlignment="1" applyProtection="1">
      <alignment horizontal="right"/>
    </xf>
    <xf numFmtId="0" fontId="36" fillId="0" borderId="0" xfId="0" applyFont="1" applyFill="1" applyBorder="1" applyAlignment="1" applyProtection="1">
      <alignment horizontal="right"/>
    </xf>
    <xf numFmtId="0" fontId="42" fillId="0" borderId="16" xfId="0" applyFont="1" applyFill="1" applyBorder="1" applyAlignment="1" applyProtection="1">
      <alignment horizontal="right"/>
      <protection locked="0"/>
    </xf>
    <xf numFmtId="0" fontId="51" fillId="0" borderId="16" xfId="0" applyFont="1" applyFill="1" applyBorder="1" applyProtection="1"/>
    <xf numFmtId="0" fontId="5" fillId="26" borderId="35" xfId="0" applyFont="1" applyFill="1" applyBorder="1" applyProtection="1"/>
    <xf numFmtId="0" fontId="5" fillId="26" borderId="35" xfId="0" applyFont="1" applyFill="1" applyBorder="1" applyAlignment="1" applyProtection="1"/>
    <xf numFmtId="0" fontId="5" fillId="26" borderId="14" xfId="0" applyFont="1" applyFill="1" applyBorder="1" applyProtection="1"/>
    <xf numFmtId="0" fontId="5" fillId="24" borderId="36" xfId="0" applyFont="1" applyFill="1" applyBorder="1" applyProtection="1"/>
    <xf numFmtId="0" fontId="8" fillId="24" borderId="0" xfId="0" applyFont="1" applyFill="1" applyBorder="1" applyAlignment="1" applyProtection="1">
      <alignment vertical="center"/>
    </xf>
    <xf numFmtId="0" fontId="5" fillId="24" borderId="0" xfId="0" applyFont="1" applyFill="1" applyBorder="1" applyAlignment="1" applyProtection="1">
      <alignment vertical="center"/>
    </xf>
    <xf numFmtId="1" fontId="51" fillId="0" borderId="17" xfId="0" applyNumberFormat="1" applyFont="1" applyFill="1" applyBorder="1" applyAlignment="1" applyProtection="1">
      <alignment vertical="center"/>
    </xf>
    <xf numFmtId="0" fontId="8" fillId="0" borderId="0" xfId="0" applyFont="1" applyFill="1" applyAlignment="1" applyProtection="1">
      <alignment vertical="center"/>
    </xf>
    <xf numFmtId="0" fontId="51" fillId="0" borderId="17" xfId="0" applyFont="1" applyFill="1" applyBorder="1" applyAlignment="1" applyProtection="1">
      <alignment vertical="center"/>
    </xf>
    <xf numFmtId="0" fontId="5" fillId="0" borderId="0" xfId="0" applyFont="1" applyFill="1" applyAlignment="1" applyProtection="1">
      <alignment vertical="center"/>
    </xf>
    <xf numFmtId="0" fontId="5" fillId="26" borderId="36" xfId="0" applyFont="1" applyFill="1" applyBorder="1" applyProtection="1"/>
    <xf numFmtId="0" fontId="8" fillId="26" borderId="15" xfId="0" applyFont="1" applyFill="1" applyBorder="1" applyProtection="1"/>
    <xf numFmtId="0" fontId="5" fillId="26" borderId="10" xfId="0" applyFont="1" applyFill="1" applyBorder="1" applyProtection="1"/>
    <xf numFmtId="0" fontId="8" fillId="26" borderId="10" xfId="0" applyFont="1" applyFill="1" applyBorder="1" applyProtection="1"/>
    <xf numFmtId="0" fontId="0" fillId="0" borderId="0" xfId="0" applyFill="1" applyProtection="1"/>
    <xf numFmtId="0" fontId="51" fillId="0" borderId="16" xfId="0" applyFont="1" applyFill="1" applyBorder="1" applyAlignment="1" applyProtection="1">
      <alignment horizontal="right" vertical="center"/>
    </xf>
    <xf numFmtId="0" fontId="8" fillId="26" borderId="35" xfId="0" applyFont="1" applyFill="1" applyBorder="1" applyProtection="1"/>
    <xf numFmtId="0" fontId="8" fillId="26" borderId="35" xfId="0" applyFont="1" applyFill="1" applyBorder="1" applyAlignment="1" applyProtection="1"/>
    <xf numFmtId="0" fontId="8" fillId="26" borderId="35" xfId="0" applyFont="1" applyFill="1" applyBorder="1" applyAlignment="1" applyProtection="1">
      <alignment vertical="center"/>
    </xf>
    <xf numFmtId="0" fontId="35" fillId="26" borderId="0" xfId="0" applyFont="1" applyFill="1" applyBorder="1" applyAlignment="1" applyProtection="1">
      <alignment wrapText="1"/>
    </xf>
    <xf numFmtId="0" fontId="5" fillId="0" borderId="23" xfId="0" applyFont="1" applyFill="1" applyBorder="1" applyAlignment="1" applyProtection="1">
      <alignment horizontal="left" vertical="center" wrapText="1"/>
    </xf>
    <xf numFmtId="3" fontId="5" fillId="0" borderId="17" xfId="0" applyNumberFormat="1" applyFont="1" applyBorder="1" applyAlignment="1" applyProtection="1">
      <alignment horizontal="center" vertical="center"/>
    </xf>
    <xf numFmtId="3" fontId="5" fillId="0" borderId="23" xfId="0" applyNumberFormat="1" applyFont="1" applyBorder="1" applyAlignment="1" applyProtection="1">
      <alignment horizontal="center" vertical="center"/>
    </xf>
    <xf numFmtId="0" fontId="0" fillId="24" borderId="0" xfId="0" applyFill="1" applyBorder="1" applyAlignment="1" applyProtection="1">
      <alignment vertical="center"/>
    </xf>
    <xf numFmtId="164" fontId="5" fillId="0" borderId="17" xfId="0" applyNumberFormat="1" applyFont="1" applyBorder="1" applyAlignment="1" applyProtection="1">
      <alignment horizontal="center" vertical="center"/>
    </xf>
    <xf numFmtId="164" fontId="5" fillId="0" borderId="20" xfId="0" applyNumberFormat="1" applyFont="1" applyBorder="1" applyAlignment="1" applyProtection="1">
      <alignment horizontal="center" vertical="center"/>
    </xf>
    <xf numFmtId="3" fontId="5" fillId="0" borderId="17" xfId="0" applyNumberFormat="1" applyFont="1" applyFill="1" applyBorder="1" applyAlignment="1" applyProtection="1">
      <alignment horizontal="center" vertical="center"/>
    </xf>
    <xf numFmtId="1" fontId="5" fillId="0" borderId="17" xfId="0" applyNumberFormat="1" applyFont="1" applyBorder="1" applyAlignment="1" applyProtection="1">
      <alignment horizontal="center" vertical="center"/>
    </xf>
    <xf numFmtId="0" fontId="50" fillId="24" borderId="0" xfId="0" applyFont="1" applyFill="1" applyBorder="1" applyAlignment="1" applyProtection="1">
      <alignment vertical="top" wrapText="1"/>
    </xf>
    <xf numFmtId="0" fontId="0" fillId="0" borderId="0" xfId="0" applyBorder="1" applyAlignment="1">
      <alignment vertical="top" wrapText="1"/>
    </xf>
    <xf numFmtId="0" fontId="9" fillId="25" borderId="25" xfId="0" applyFont="1" applyFill="1" applyBorder="1" applyAlignment="1" applyProtection="1">
      <alignment horizontal="center" vertical="center" textRotation="90" wrapText="1"/>
    </xf>
    <xf numFmtId="0" fontId="9" fillId="25" borderId="18" xfId="0" applyFont="1" applyFill="1" applyBorder="1" applyAlignment="1" applyProtection="1">
      <alignment horizontal="center" vertical="center" textRotation="90" wrapText="1"/>
    </xf>
    <xf numFmtId="0" fontId="32" fillId="26" borderId="0" xfId="0" applyFont="1" applyFill="1" applyBorder="1" applyAlignment="1" applyProtection="1">
      <alignment vertical="top" wrapText="1"/>
    </xf>
    <xf numFmtId="0" fontId="0" fillId="26" borderId="0" xfId="0" applyFill="1" applyBorder="1" applyAlignment="1" applyProtection="1">
      <alignment vertical="top" wrapText="1"/>
    </xf>
    <xf numFmtId="0" fontId="48" fillId="26" borderId="0" xfId="0" applyFont="1" applyFill="1" applyBorder="1" applyAlignment="1" applyProtection="1">
      <alignment vertical="center" wrapText="1"/>
    </xf>
    <xf numFmtId="0" fontId="5" fillId="24" borderId="17" xfId="0" applyFont="1" applyFill="1" applyBorder="1" applyAlignment="1" applyProtection="1">
      <alignment vertical="center"/>
    </xf>
    <xf numFmtId="0" fontId="0" fillId="0" borderId="17" xfId="0" applyBorder="1" applyAlignment="1" applyProtection="1">
      <alignment vertical="center" wrapText="1"/>
    </xf>
    <xf numFmtId="0" fontId="5" fillId="24" borderId="38" xfId="0" applyFont="1" applyFill="1" applyBorder="1" applyProtection="1"/>
    <xf numFmtId="0" fontId="5" fillId="24" borderId="39" xfId="0" applyFont="1" applyFill="1" applyBorder="1" applyProtection="1"/>
    <xf numFmtId="0" fontId="0" fillId="24" borderId="39" xfId="0" applyFill="1" applyBorder="1" applyProtection="1"/>
    <xf numFmtId="0" fontId="5" fillId="24" borderId="40" xfId="0" applyFont="1" applyFill="1" applyBorder="1" applyProtection="1"/>
    <xf numFmtId="0" fontId="39" fillId="24" borderId="41" xfId="0" applyFont="1" applyFill="1" applyBorder="1" applyProtection="1"/>
    <xf numFmtId="0" fontId="5" fillId="24" borderId="42" xfId="0" applyFont="1" applyFill="1" applyBorder="1" applyProtection="1"/>
    <xf numFmtId="0" fontId="5" fillId="24" borderId="41" xfId="0" applyFont="1" applyFill="1" applyBorder="1" applyProtection="1"/>
    <xf numFmtId="0" fontId="5" fillId="24" borderId="41" xfId="0" applyFont="1" applyFill="1" applyBorder="1" applyAlignment="1" applyProtection="1"/>
    <xf numFmtId="0" fontId="5" fillId="24" borderId="42" xfId="0" applyFont="1" applyFill="1" applyBorder="1" applyAlignment="1" applyProtection="1"/>
    <xf numFmtId="0" fontId="5" fillId="24" borderId="41" xfId="0" applyFont="1" applyFill="1" applyBorder="1" applyAlignment="1" applyProtection="1">
      <alignment vertical="center"/>
    </xf>
    <xf numFmtId="0" fontId="5" fillId="24" borderId="42" xfId="0" applyFont="1" applyFill="1" applyBorder="1" applyAlignment="1" applyProtection="1">
      <alignment vertical="center"/>
    </xf>
    <xf numFmtId="0" fontId="9" fillId="26" borderId="0" xfId="0" applyFont="1" applyFill="1" applyBorder="1" applyProtection="1"/>
    <xf numFmtId="0" fontId="5" fillId="24" borderId="43" xfId="0" applyFont="1" applyFill="1" applyBorder="1" applyProtection="1"/>
    <xf numFmtId="0" fontId="5" fillId="24" borderId="44" xfId="0" applyFont="1" applyFill="1" applyBorder="1" applyProtection="1"/>
    <xf numFmtId="0" fontId="0" fillId="24" borderId="44" xfId="0" applyFill="1" applyBorder="1" applyProtection="1"/>
    <xf numFmtId="0" fontId="5" fillId="24" borderId="45" xfId="0" applyFont="1" applyFill="1" applyBorder="1" applyProtection="1"/>
    <xf numFmtId="0" fontId="58" fillId="24" borderId="0" xfId="0" applyFont="1" applyFill="1" applyBorder="1" applyAlignment="1" applyProtection="1">
      <alignment horizontal="left" vertical="center"/>
    </xf>
    <xf numFmtId="0" fontId="5" fillId="29" borderId="23" xfId="0" applyFont="1" applyFill="1" applyBorder="1" applyAlignment="1" applyProtection="1">
      <alignment horizontal="left" vertical="center" wrapText="1"/>
    </xf>
    <xf numFmtId="3" fontId="5" fillId="29" borderId="17" xfId="0" applyNumberFormat="1" applyFont="1" applyFill="1" applyBorder="1" applyAlignment="1" applyProtection="1">
      <alignment horizontal="center" vertical="center"/>
    </xf>
    <xf numFmtId="3" fontId="5" fillId="29" borderId="23" xfId="0" applyNumberFormat="1" applyFont="1" applyFill="1" applyBorder="1" applyAlignment="1" applyProtection="1">
      <alignment horizontal="center" vertical="center"/>
    </xf>
    <xf numFmtId="165" fontId="5" fillId="29" borderId="17" xfId="0" applyNumberFormat="1" applyFont="1" applyFill="1" applyBorder="1" applyAlignment="1" applyProtection="1">
      <alignment horizontal="center" vertical="center"/>
      <protection hidden="1"/>
    </xf>
    <xf numFmtId="165" fontId="5" fillId="29" borderId="20" xfId="0" applyNumberFormat="1" applyFont="1" applyFill="1" applyBorder="1" applyAlignment="1" applyProtection="1">
      <alignment horizontal="center" vertical="center"/>
      <protection hidden="1"/>
    </xf>
    <xf numFmtId="0" fontId="5" fillId="26" borderId="0" xfId="0" applyFont="1" applyFill="1" applyBorder="1" applyAlignment="1">
      <alignment horizontal="center" vertical="top"/>
    </xf>
    <xf numFmtId="0" fontId="36" fillId="24" borderId="47" xfId="0" applyFont="1" applyFill="1" applyBorder="1" applyProtection="1"/>
    <xf numFmtId="0" fontId="36" fillId="24" borderId="47" xfId="0" applyFont="1" applyFill="1" applyBorder="1" applyAlignment="1" applyProtection="1"/>
    <xf numFmtId="0" fontId="36" fillId="24" borderId="47" xfId="0" applyFont="1" applyFill="1" applyBorder="1" applyAlignment="1" applyProtection="1">
      <alignment vertical="center"/>
    </xf>
    <xf numFmtId="0" fontId="5" fillId="24" borderId="47" xfId="0" applyFont="1" applyFill="1" applyBorder="1" applyAlignment="1" applyProtection="1"/>
    <xf numFmtId="0" fontId="36" fillId="24" borderId="48" xfId="0" applyFont="1" applyFill="1" applyBorder="1" applyProtection="1"/>
    <xf numFmtId="0" fontId="5" fillId="24" borderId="49" xfId="0" applyFont="1" applyFill="1" applyBorder="1" applyProtection="1"/>
    <xf numFmtId="0" fontId="5" fillId="24" borderId="50" xfId="0" applyFont="1" applyFill="1" applyBorder="1" applyProtection="1"/>
    <xf numFmtId="0" fontId="5" fillId="24" borderId="51" xfId="0" applyFont="1" applyFill="1" applyBorder="1" applyProtection="1"/>
    <xf numFmtId="0" fontId="5" fillId="24" borderId="52" xfId="0" applyFont="1" applyFill="1" applyBorder="1" applyProtection="1"/>
    <xf numFmtId="0" fontId="0" fillId="24" borderId="52" xfId="0" applyFill="1" applyBorder="1" applyProtection="1"/>
    <xf numFmtId="0" fontId="5" fillId="0" borderId="17" xfId="0" applyFont="1" applyFill="1" applyBorder="1" applyAlignment="1" applyProtection="1">
      <alignment horizontal="center" vertical="center" wrapText="1"/>
    </xf>
    <xf numFmtId="0" fontId="4" fillId="0" borderId="17" xfId="0" applyFont="1" applyFill="1" applyBorder="1" applyAlignment="1">
      <alignment horizontal="center" vertical="center" wrapText="1"/>
    </xf>
    <xf numFmtId="165" fontId="5" fillId="0" borderId="0" xfId="0" applyNumberFormat="1" applyFont="1" applyFill="1" applyAlignment="1" applyProtection="1">
      <alignment vertical="center"/>
    </xf>
    <xf numFmtId="165" fontId="38" fillId="0" borderId="0" xfId="0" applyNumberFormat="1" applyFont="1" applyFill="1" applyBorder="1" applyAlignment="1" applyProtection="1">
      <alignment horizontal="right"/>
    </xf>
    <xf numFmtId="165" fontId="5" fillId="0" borderId="0" xfId="0" applyNumberFormat="1" applyFont="1" applyFill="1" applyProtection="1"/>
    <xf numFmtId="0" fontId="9" fillId="26" borderId="50" xfId="0" applyFont="1" applyFill="1" applyBorder="1" applyAlignment="1" applyProtection="1">
      <alignment vertical="center"/>
    </xf>
    <xf numFmtId="0" fontId="36" fillId="26" borderId="50" xfId="0" applyFont="1" applyFill="1" applyBorder="1" applyProtection="1"/>
    <xf numFmtId="0" fontId="36" fillId="26" borderId="50" xfId="0" applyFont="1" applyFill="1" applyBorder="1" applyAlignment="1" applyProtection="1"/>
    <xf numFmtId="0" fontId="36" fillId="26" borderId="50" xfId="0" applyFont="1" applyFill="1" applyBorder="1" applyAlignment="1" applyProtection="1">
      <alignment vertical="center"/>
    </xf>
    <xf numFmtId="0" fontId="5" fillId="26" borderId="23" xfId="0" applyFont="1" applyFill="1" applyBorder="1" applyAlignment="1" applyProtection="1">
      <alignment horizontal="left" vertical="center" wrapText="1"/>
    </xf>
    <xf numFmtId="0" fontId="5" fillId="26" borderId="50" xfId="0" applyFont="1" applyFill="1" applyBorder="1" applyAlignment="1" applyProtection="1"/>
    <xf numFmtId="0" fontId="36" fillId="26" borderId="19" xfId="0" applyFont="1" applyFill="1" applyBorder="1" applyProtection="1"/>
    <xf numFmtId="0" fontId="5" fillId="26" borderId="46" xfId="0" applyFont="1" applyFill="1" applyBorder="1" applyProtection="1"/>
    <xf numFmtId="0" fontId="5" fillId="26" borderId="47" xfId="0" applyFont="1" applyFill="1" applyBorder="1" applyProtection="1"/>
    <xf numFmtId="0" fontId="5" fillId="26" borderId="47" xfId="0" applyFont="1" applyFill="1" applyBorder="1" applyAlignment="1" applyProtection="1"/>
    <xf numFmtId="0" fontId="5" fillId="26" borderId="0" xfId="0" applyFont="1" applyFill="1" applyBorder="1" applyAlignment="1" applyProtection="1">
      <alignment vertical="center"/>
    </xf>
    <xf numFmtId="0" fontId="5" fillId="26" borderId="47" xfId="0" applyFont="1" applyFill="1" applyBorder="1" applyAlignment="1" applyProtection="1">
      <alignment vertical="center"/>
    </xf>
    <xf numFmtId="0" fontId="38" fillId="26" borderId="47" xfId="0" applyFont="1" applyFill="1" applyBorder="1" applyAlignment="1" applyProtection="1">
      <alignment horizontal="right"/>
    </xf>
    <xf numFmtId="0" fontId="36" fillId="26" borderId="15" xfId="0" applyFont="1" applyFill="1" applyBorder="1" applyProtection="1"/>
    <xf numFmtId="0" fontId="36" fillId="0" borderId="53" xfId="0" applyFont="1" applyFill="1" applyBorder="1" applyProtection="1"/>
    <xf numFmtId="9" fontId="5" fillId="0" borderId="17" xfId="0" applyNumberFormat="1" applyFont="1" applyBorder="1" applyAlignment="1" applyProtection="1">
      <alignment horizontal="center" vertical="center"/>
    </xf>
    <xf numFmtId="9" fontId="5" fillId="29" borderId="17" xfId="0" applyNumberFormat="1" applyFont="1" applyFill="1" applyBorder="1" applyAlignment="1" applyProtection="1">
      <alignment horizontal="center" vertical="center"/>
    </xf>
    <xf numFmtId="9" fontId="5" fillId="0" borderId="23" xfId="0" applyNumberFormat="1" applyFont="1" applyBorder="1" applyAlignment="1" applyProtection="1">
      <alignment horizontal="center" vertical="center"/>
    </xf>
    <xf numFmtId="9" fontId="5" fillId="29" borderId="23" xfId="0" applyNumberFormat="1" applyFont="1" applyFill="1" applyBorder="1" applyAlignment="1" applyProtection="1">
      <alignment horizontal="center" vertical="center"/>
    </xf>
    <xf numFmtId="164" fontId="5" fillId="26" borderId="0" xfId="0" applyNumberFormat="1" applyFont="1" applyFill="1" applyBorder="1" applyAlignment="1" applyProtection="1">
      <alignment horizontal="center" vertical="center"/>
    </xf>
    <xf numFmtId="3" fontId="5" fillId="26" borderId="0" xfId="0" applyNumberFormat="1" applyFont="1" applyFill="1" applyBorder="1" applyAlignment="1" applyProtection="1">
      <alignment horizontal="center" vertical="center"/>
    </xf>
    <xf numFmtId="165" fontId="5" fillId="26" borderId="0" xfId="0" applyNumberFormat="1" applyFont="1" applyFill="1" applyBorder="1" applyAlignment="1" applyProtection="1">
      <alignment horizontal="center" vertical="center"/>
      <protection hidden="1"/>
    </xf>
    <xf numFmtId="0" fontId="5" fillId="26" borderId="0" xfId="0" quotePrefix="1" applyFont="1" applyFill="1" applyBorder="1" applyAlignment="1" applyProtection="1">
      <alignment horizontal="center" vertical="center"/>
    </xf>
    <xf numFmtId="165" fontId="5" fillId="26" borderId="0" xfId="0" applyNumberFormat="1" applyFont="1" applyFill="1" applyBorder="1" applyAlignment="1" applyProtection="1">
      <alignment horizontal="center" vertical="center" wrapText="1"/>
      <protection hidden="1"/>
    </xf>
    <xf numFmtId="9" fontId="38" fillId="0" borderId="0" xfId="0" applyNumberFormat="1" applyFont="1" applyFill="1" applyBorder="1" applyAlignment="1" applyProtection="1">
      <alignment horizontal="right"/>
    </xf>
    <xf numFmtId="0" fontId="0" fillId="26" borderId="0" xfId="0" applyFill="1" applyBorder="1" applyAlignment="1">
      <alignment horizontal="left" vertical="top"/>
    </xf>
    <xf numFmtId="0" fontId="9" fillId="25" borderId="17" xfId="0" applyFont="1" applyFill="1" applyBorder="1" applyAlignment="1" applyProtection="1">
      <alignment horizontal="center" vertical="center" textRotation="90" wrapText="1"/>
    </xf>
    <xf numFmtId="0" fontId="38" fillId="26" borderId="39" xfId="0" applyFont="1" applyFill="1" applyBorder="1" applyAlignment="1" applyProtection="1">
      <alignment horizontal="right"/>
    </xf>
    <xf numFmtId="0" fontId="5" fillId="24" borderId="23" xfId="0" applyFont="1" applyFill="1" applyBorder="1" applyAlignment="1" applyProtection="1">
      <alignment vertical="center"/>
    </xf>
    <xf numFmtId="0" fontId="5" fillId="26" borderId="0" xfId="0" applyFont="1" applyFill="1" applyAlignment="1" applyProtection="1">
      <alignment vertical="center"/>
    </xf>
    <xf numFmtId="0" fontId="9" fillId="28" borderId="18" xfId="0" applyFont="1" applyFill="1" applyBorder="1" applyAlignment="1" applyProtection="1">
      <alignment horizontal="center" vertical="center" wrapText="1"/>
    </xf>
    <xf numFmtId="0" fontId="9" fillId="28" borderId="25" xfId="0" applyFont="1" applyFill="1" applyBorder="1" applyAlignment="1" applyProtection="1">
      <alignment horizontal="center" vertical="center" wrapText="1"/>
    </xf>
    <xf numFmtId="0" fontId="50" fillId="24" borderId="0" xfId="0" applyFont="1" applyFill="1" applyBorder="1" applyAlignment="1" applyProtection="1">
      <alignment vertical="top" wrapText="1"/>
    </xf>
    <xf numFmtId="0" fontId="0" fillId="0" borderId="0" xfId="0" applyBorder="1" applyAlignment="1">
      <alignment vertical="top" wrapText="1"/>
    </xf>
    <xf numFmtId="0" fontId="35" fillId="26" borderId="0" xfId="0" applyFont="1" applyFill="1" applyBorder="1" applyAlignment="1" applyProtection="1">
      <alignment vertical="center"/>
    </xf>
    <xf numFmtId="0" fontId="35" fillId="26" borderId="0" xfId="0" applyFont="1" applyFill="1" applyBorder="1" applyAlignment="1" applyProtection="1">
      <alignment vertical="center" wrapText="1"/>
    </xf>
    <xf numFmtId="0" fontId="38" fillId="26" borderId="49" xfId="0" applyFont="1" applyFill="1" applyBorder="1" applyAlignment="1" applyProtection="1">
      <alignment horizontal="right"/>
    </xf>
    <xf numFmtId="0" fontId="38" fillId="26" borderId="50" xfId="0" applyFont="1" applyFill="1" applyBorder="1" applyAlignment="1" applyProtection="1">
      <alignment horizontal="right"/>
    </xf>
    <xf numFmtId="0" fontId="5" fillId="24" borderId="50" xfId="0" applyFont="1" applyFill="1" applyBorder="1" applyAlignment="1" applyProtection="1">
      <alignment vertical="center"/>
    </xf>
    <xf numFmtId="0" fontId="38" fillId="0" borderId="53" xfId="0" applyFont="1" applyFill="1" applyBorder="1" applyAlignment="1" applyProtection="1">
      <alignment horizontal="right"/>
    </xf>
    <xf numFmtId="0" fontId="5" fillId="0" borderId="53" xfId="0" applyFont="1" applyFill="1" applyBorder="1" applyProtection="1"/>
    <xf numFmtId="0" fontId="5" fillId="0" borderId="46" xfId="0" applyFont="1" applyFill="1" applyBorder="1" applyProtection="1"/>
    <xf numFmtId="0" fontId="36" fillId="0" borderId="50" xfId="0" applyFont="1" applyFill="1" applyBorder="1" applyProtection="1"/>
    <xf numFmtId="0" fontId="5" fillId="0" borderId="0" xfId="0" applyFont="1" applyFill="1" applyBorder="1" applyProtection="1"/>
    <xf numFmtId="0" fontId="5" fillId="0" borderId="47" xfId="0" applyFont="1" applyFill="1" applyBorder="1" applyProtection="1"/>
    <xf numFmtId="0" fontId="54" fillId="0" borderId="17" xfId="0" applyFont="1" applyFill="1" applyBorder="1" applyAlignment="1" applyProtection="1">
      <alignment horizontal="center" wrapText="1"/>
    </xf>
    <xf numFmtId="0" fontId="36" fillId="0" borderId="50" xfId="0" applyFont="1" applyFill="1" applyBorder="1" applyAlignment="1" applyProtection="1"/>
    <xf numFmtId="0" fontId="57" fillId="0" borderId="0" xfId="0" applyFont="1" applyFill="1" applyBorder="1" applyAlignment="1" applyProtection="1">
      <alignment horizontal="center"/>
    </xf>
    <xf numFmtId="0" fontId="5" fillId="0" borderId="0" xfId="0" applyFont="1" applyFill="1" applyBorder="1" applyAlignment="1" applyProtection="1"/>
    <xf numFmtId="0" fontId="5" fillId="0" borderId="47" xfId="0" applyFont="1" applyFill="1" applyBorder="1" applyAlignment="1" applyProtection="1"/>
    <xf numFmtId="0" fontId="38" fillId="0" borderId="0" xfId="0" applyFont="1" applyFill="1" applyBorder="1" applyAlignment="1" applyProtection="1">
      <alignment horizontal="righ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right"/>
    </xf>
    <xf numFmtId="0" fontId="36" fillId="0" borderId="50" xfId="0" applyFont="1" applyFill="1" applyBorder="1" applyAlignment="1" applyProtection="1">
      <alignment vertical="center"/>
    </xf>
    <xf numFmtId="3" fontId="38" fillId="0" borderId="0" xfId="0" applyNumberFormat="1" applyFont="1" applyFill="1" applyBorder="1" applyAlignment="1" applyProtection="1">
      <alignment horizontal="right" vertical="center"/>
    </xf>
    <xf numFmtId="3" fontId="41" fillId="0" borderId="0" xfId="0" applyNumberFormat="1" applyFont="1" applyFill="1" applyBorder="1" applyAlignment="1" applyProtection="1">
      <alignment horizontal="right"/>
    </xf>
    <xf numFmtId="0" fontId="41" fillId="0" borderId="0" xfId="0" applyFont="1" applyFill="1" applyBorder="1" applyAlignment="1" applyProtection="1">
      <alignment horizontal="right"/>
    </xf>
    <xf numFmtId="0" fontId="41" fillId="0" borderId="0" xfId="0" applyFont="1" applyFill="1" applyBorder="1" applyAlignment="1" applyProtection="1">
      <alignment horizontal="center"/>
    </xf>
    <xf numFmtId="0" fontId="56" fillId="0" borderId="0" xfId="0" applyFont="1" applyFill="1" applyBorder="1" applyAlignment="1" applyProtection="1">
      <alignment horizontal="left"/>
    </xf>
    <xf numFmtId="0" fontId="38" fillId="0" borderId="0" xfId="0" applyFont="1" applyFill="1" applyBorder="1" applyAlignment="1" applyProtection="1">
      <alignment horizontal="center" vertical="center"/>
    </xf>
    <xf numFmtId="0" fontId="38" fillId="0" borderId="10" xfId="0" applyFont="1" applyFill="1" applyBorder="1" applyAlignment="1" applyProtection="1">
      <alignment horizontal="right"/>
    </xf>
    <xf numFmtId="0" fontId="5" fillId="0" borderId="50" xfId="0" applyFont="1" applyFill="1" applyBorder="1" applyProtection="1"/>
    <xf numFmtId="0" fontId="5" fillId="0" borderId="51" xfId="0" applyFont="1" applyFill="1" applyBorder="1" applyProtection="1"/>
    <xf numFmtId="0" fontId="38" fillId="26" borderId="52" xfId="0" applyFont="1" applyFill="1" applyBorder="1" applyAlignment="1" applyProtection="1">
      <alignment horizontal="right"/>
    </xf>
    <xf numFmtId="0" fontId="5" fillId="26" borderId="52" xfId="0" applyFont="1" applyFill="1" applyBorder="1" applyProtection="1"/>
    <xf numFmtId="0" fontId="5" fillId="0" borderId="0" xfId="0" applyFont="1" applyFill="1" applyBorder="1" applyAlignment="1" applyProtection="1">
      <alignment vertical="center"/>
    </xf>
    <xf numFmtId="0" fontId="52" fillId="0" borderId="0" xfId="0" applyFont="1" applyFill="1" applyBorder="1" applyAlignment="1" applyProtection="1">
      <alignment horizontal="left" vertical="center"/>
    </xf>
    <xf numFmtId="0" fontId="38" fillId="0" borderId="0" xfId="0" applyFont="1" applyFill="1" applyBorder="1" applyAlignment="1" applyProtection="1">
      <alignment horizontal="left" vertical="center"/>
    </xf>
    <xf numFmtId="1" fontId="55" fillId="0" borderId="17" xfId="0" applyNumberFormat="1" applyFont="1" applyFill="1" applyBorder="1" applyAlignment="1" applyProtection="1">
      <alignment vertical="center"/>
    </xf>
    <xf numFmtId="1" fontId="55" fillId="0" borderId="17" xfId="0" applyNumberFormat="1" applyFont="1" applyFill="1" applyBorder="1" applyAlignment="1" applyProtection="1">
      <alignment horizontal="center" vertical="center"/>
    </xf>
    <xf numFmtId="0" fontId="38" fillId="0" borderId="17" xfId="0" applyFont="1" applyFill="1" applyBorder="1" applyAlignment="1" applyProtection="1">
      <alignment horizontal="right" vertical="center"/>
    </xf>
    <xf numFmtId="2" fontId="55" fillId="0" borderId="17" xfId="0" applyNumberFormat="1" applyFont="1" applyFill="1" applyBorder="1" applyAlignment="1" applyProtection="1">
      <alignment horizontal="right"/>
    </xf>
    <xf numFmtId="0" fontId="38" fillId="0" borderId="0" xfId="0" applyFont="1" applyFill="1" applyBorder="1" applyAlignment="1" applyProtection="1">
      <alignment horizontal="center"/>
    </xf>
    <xf numFmtId="0" fontId="54" fillId="0" borderId="16" xfId="0" applyFont="1" applyFill="1" applyBorder="1" applyAlignment="1" applyProtection="1">
      <alignment horizontal="center" vertical="center"/>
    </xf>
    <xf numFmtId="164" fontId="52" fillId="0" borderId="18" xfId="0" applyNumberFormat="1" applyFont="1" applyFill="1" applyBorder="1" applyAlignment="1" applyProtection="1">
      <alignment vertical="center"/>
    </xf>
    <xf numFmtId="165" fontId="55" fillId="0" borderId="46" xfId="0" applyNumberFormat="1" applyFont="1" applyFill="1" applyBorder="1" applyAlignment="1" applyProtection="1">
      <alignment vertical="center"/>
    </xf>
    <xf numFmtId="0" fontId="55" fillId="0" borderId="17" xfId="0" applyFont="1" applyFill="1" applyBorder="1" applyAlignment="1" applyProtection="1">
      <alignment horizontal="center" vertical="center"/>
    </xf>
    <xf numFmtId="0" fontId="52" fillId="0" borderId="16" xfId="0" applyFont="1" applyFill="1" applyBorder="1" applyAlignment="1" applyProtection="1">
      <alignment horizontal="center" vertical="center" wrapText="1"/>
    </xf>
    <xf numFmtId="0" fontId="52" fillId="0" borderId="17" xfId="0" applyFont="1" applyFill="1" applyBorder="1" applyAlignment="1" applyProtection="1">
      <alignment horizontal="center" vertical="center" wrapText="1"/>
    </xf>
    <xf numFmtId="0" fontId="52" fillId="0" borderId="17" xfId="0" applyFont="1" applyFill="1" applyBorder="1" applyAlignment="1" applyProtection="1">
      <alignment horizontal="right" vertical="center"/>
    </xf>
    <xf numFmtId="165" fontId="55" fillId="0" borderId="17" xfId="0" applyNumberFormat="1" applyFont="1" applyFill="1" applyBorder="1" applyAlignment="1" applyProtection="1">
      <alignment vertical="center"/>
    </xf>
    <xf numFmtId="165" fontId="55" fillId="0" borderId="16" xfId="0" applyNumberFormat="1" applyFont="1" applyFill="1" applyBorder="1" applyAlignment="1" applyProtection="1">
      <alignment horizontal="center"/>
    </xf>
    <xf numFmtId="0" fontId="5" fillId="24" borderId="41" xfId="0" applyFont="1" applyFill="1" applyBorder="1" applyAlignment="1" applyProtection="1">
      <alignment horizontal="left" vertical="top"/>
    </xf>
    <xf numFmtId="0" fontId="5" fillId="26" borderId="39" xfId="0" applyFont="1" applyFill="1" applyBorder="1" applyProtection="1"/>
    <xf numFmtId="0" fontId="0" fillId="26" borderId="39" xfId="0" applyFill="1" applyBorder="1" applyProtection="1"/>
    <xf numFmtId="0" fontId="5" fillId="26" borderId="40" xfId="0" applyFont="1" applyFill="1" applyBorder="1" applyProtection="1"/>
    <xf numFmtId="0" fontId="5" fillId="26" borderId="42" xfId="0" applyFont="1" applyFill="1" applyBorder="1" applyAlignment="1" applyProtection="1"/>
    <xf numFmtId="0" fontId="9" fillId="26" borderId="0" xfId="0" applyFont="1" applyFill="1" applyBorder="1" applyAlignment="1" applyProtection="1">
      <alignment horizontal="left" vertical="top"/>
    </xf>
    <xf numFmtId="0" fontId="38" fillId="0" borderId="0" xfId="0" applyFont="1" applyFill="1" applyBorder="1" applyAlignment="1" applyProtection="1">
      <alignment horizontal="left"/>
    </xf>
    <xf numFmtId="0" fontId="32" fillId="26" borderId="0" xfId="0" applyFont="1" applyFill="1" applyBorder="1" applyAlignment="1" applyProtection="1">
      <alignment vertical="top" wrapText="1"/>
    </xf>
    <xf numFmtId="0" fontId="0" fillId="26" borderId="0" xfId="0" applyFill="1" applyBorder="1" applyAlignment="1" applyProtection="1">
      <alignment vertical="top" wrapText="1"/>
    </xf>
    <xf numFmtId="0" fontId="0" fillId="24" borderId="0" xfId="0" applyFill="1" applyBorder="1" applyAlignment="1" applyProtection="1">
      <alignment vertical="top" wrapText="1"/>
    </xf>
    <xf numFmtId="0" fontId="54" fillId="0" borderId="17" xfId="0" applyFont="1" applyFill="1" applyBorder="1" applyAlignment="1" applyProtection="1">
      <alignment horizontal="center" vertical="center" wrapText="1"/>
    </xf>
    <xf numFmtId="0" fontId="5" fillId="24" borderId="0" xfId="0" applyFont="1" applyFill="1" applyBorder="1" applyAlignment="1" applyProtection="1">
      <alignment horizontal="right" vertical="top"/>
    </xf>
    <xf numFmtId="0" fontId="5" fillId="26" borderId="0" xfId="0" applyFont="1" applyFill="1" applyBorder="1" applyAlignment="1" applyProtection="1">
      <alignment horizontal="right" vertical="top"/>
    </xf>
    <xf numFmtId="164" fontId="5" fillId="0" borderId="20" xfId="0" applyNumberFormat="1" applyFont="1" applyFill="1" applyBorder="1" applyAlignment="1" applyProtection="1">
      <alignment horizontal="center" vertical="center"/>
    </xf>
    <xf numFmtId="165" fontId="5" fillId="0" borderId="17" xfId="0" applyNumberFormat="1" applyFont="1" applyBorder="1" applyAlignment="1" applyProtection="1">
      <alignment horizontal="center" vertical="center"/>
    </xf>
    <xf numFmtId="0" fontId="8" fillId="26" borderId="47" xfId="0" applyFont="1" applyFill="1" applyBorder="1" applyProtection="1"/>
    <xf numFmtId="0" fontId="8" fillId="26" borderId="48" xfId="0" applyFont="1" applyFill="1" applyBorder="1" applyProtection="1"/>
    <xf numFmtId="0" fontId="8" fillId="24" borderId="38" xfId="0" applyFont="1" applyFill="1" applyBorder="1" applyProtection="1"/>
    <xf numFmtId="0" fontId="8" fillId="24" borderId="39" xfId="0" applyFont="1" applyFill="1" applyBorder="1" applyProtection="1"/>
    <xf numFmtId="0" fontId="8" fillId="24" borderId="41" xfId="0" applyFont="1" applyFill="1" applyBorder="1" applyProtection="1"/>
    <xf numFmtId="0" fontId="8" fillId="24" borderId="41" xfId="0" applyFont="1" applyFill="1" applyBorder="1" applyAlignment="1" applyProtection="1"/>
    <xf numFmtId="0" fontId="8" fillId="24" borderId="41" xfId="0" applyFont="1" applyFill="1" applyBorder="1" applyAlignment="1" applyProtection="1">
      <alignment vertical="center"/>
    </xf>
    <xf numFmtId="0" fontId="8" fillId="26" borderId="43" xfId="0" applyFont="1" applyFill="1" applyBorder="1" applyAlignment="1" applyProtection="1">
      <alignment horizontal="center" wrapText="1"/>
    </xf>
    <xf numFmtId="0" fontId="0" fillId="26" borderId="44" xfId="0" applyFill="1" applyBorder="1" applyAlignment="1" applyProtection="1">
      <alignment horizontal="center" wrapText="1"/>
    </xf>
    <xf numFmtId="0" fontId="5" fillId="26" borderId="42" xfId="0" applyFont="1" applyFill="1" applyBorder="1" applyProtection="1"/>
    <xf numFmtId="0" fontId="5" fillId="26" borderId="45" xfId="0" applyFont="1" applyFill="1" applyBorder="1" applyProtection="1"/>
    <xf numFmtId="0" fontId="8" fillId="0" borderId="0" xfId="0" applyFont="1" applyFill="1" applyBorder="1" applyAlignment="1" applyProtection="1"/>
    <xf numFmtId="0" fontId="8" fillId="0" borderId="0" xfId="0" applyFont="1" applyFill="1" applyBorder="1" applyProtection="1"/>
    <xf numFmtId="0" fontId="42" fillId="0" borderId="20" xfId="0" applyFont="1" applyFill="1" applyBorder="1" applyAlignment="1">
      <alignment horizontal="center"/>
    </xf>
    <xf numFmtId="0" fontId="51" fillId="0" borderId="20" xfId="0" applyFont="1" applyFill="1" applyBorder="1" applyProtection="1"/>
    <xf numFmtId="0" fontId="5" fillId="24" borderId="47" xfId="0" applyFont="1" applyFill="1" applyBorder="1" applyProtection="1"/>
    <xf numFmtId="0" fontId="5" fillId="26" borderId="48" xfId="0" applyFont="1" applyFill="1" applyBorder="1" applyProtection="1"/>
    <xf numFmtId="0" fontId="8" fillId="24" borderId="47" xfId="0" applyFont="1" applyFill="1" applyBorder="1" applyProtection="1"/>
    <xf numFmtId="0" fontId="8" fillId="24" borderId="47" xfId="0" applyFont="1" applyFill="1" applyBorder="1" applyAlignment="1" applyProtection="1"/>
    <xf numFmtId="0" fontId="8" fillId="24" borderId="47" xfId="0" applyFont="1" applyFill="1" applyBorder="1" applyAlignment="1" applyProtection="1">
      <alignment vertical="center"/>
    </xf>
    <xf numFmtId="0" fontId="8" fillId="24" borderId="52" xfId="0" applyFont="1" applyFill="1" applyBorder="1" applyProtection="1"/>
    <xf numFmtId="0" fontId="8" fillId="24" borderId="48" xfId="0" applyFont="1" applyFill="1" applyBorder="1" applyProtection="1"/>
    <xf numFmtId="0" fontId="8" fillId="24" borderId="51" xfId="0" applyFont="1" applyFill="1" applyBorder="1" applyProtection="1"/>
    <xf numFmtId="0" fontId="8" fillId="24" borderId="40" xfId="0" applyFont="1" applyFill="1" applyBorder="1" applyProtection="1"/>
    <xf numFmtId="0" fontId="8" fillId="24" borderId="42" xfId="0" applyFont="1" applyFill="1" applyBorder="1" applyAlignment="1" applyProtection="1"/>
    <xf numFmtId="0" fontId="8" fillId="24" borderId="42" xfId="0" applyFont="1" applyFill="1" applyBorder="1" applyProtection="1"/>
    <xf numFmtId="0" fontId="8" fillId="24" borderId="42" xfId="0" applyFont="1" applyFill="1" applyBorder="1" applyAlignment="1" applyProtection="1">
      <alignment vertical="center"/>
    </xf>
    <xf numFmtId="0" fontId="34" fillId="26" borderId="41" xfId="0" applyFont="1" applyFill="1" applyBorder="1" applyAlignment="1" applyProtection="1">
      <alignment horizontal="center" wrapText="1"/>
    </xf>
    <xf numFmtId="0" fontId="0" fillId="26" borderId="42" xfId="0" applyFill="1" applyBorder="1" applyAlignment="1" applyProtection="1">
      <alignment wrapText="1"/>
    </xf>
    <xf numFmtId="0" fontId="8" fillId="26" borderId="56" xfId="0" applyFont="1" applyFill="1" applyBorder="1" applyAlignment="1" applyProtection="1">
      <alignment horizontal="center" wrapText="1"/>
    </xf>
    <xf numFmtId="0" fontId="0" fillId="26" borderId="57" xfId="0" applyFill="1" applyBorder="1" applyAlignment="1" applyProtection="1">
      <alignment horizontal="center" wrapText="1"/>
    </xf>
    <xf numFmtId="0" fontId="0" fillId="26" borderId="57" xfId="0" applyFill="1" applyBorder="1" applyAlignment="1" applyProtection="1">
      <alignment wrapText="1"/>
    </xf>
    <xf numFmtId="0" fontId="0" fillId="26" borderId="58" xfId="0" applyFill="1" applyBorder="1" applyAlignment="1" applyProtection="1">
      <alignment wrapText="1"/>
    </xf>
    <xf numFmtId="0" fontId="5" fillId="24" borderId="56" xfId="0" applyFont="1" applyFill="1" applyBorder="1" applyProtection="1"/>
    <xf numFmtId="0" fontId="5" fillId="24" borderId="57" xfId="0" applyFont="1" applyFill="1" applyBorder="1" applyProtection="1"/>
    <xf numFmtId="0" fontId="5" fillId="24" borderId="58" xfId="0" applyFont="1" applyFill="1" applyBorder="1" applyProtection="1"/>
    <xf numFmtId="0" fontId="36" fillId="26" borderId="39" xfId="0" applyFont="1" applyFill="1" applyBorder="1" applyProtection="1"/>
    <xf numFmtId="0" fontId="58" fillId="26" borderId="0" xfId="0" applyFont="1" applyFill="1" applyBorder="1" applyAlignment="1" applyProtection="1">
      <alignment horizontal="left" vertical="center"/>
    </xf>
    <xf numFmtId="0" fontId="5" fillId="26" borderId="57" xfId="0" applyFont="1" applyFill="1" applyBorder="1" applyProtection="1"/>
    <xf numFmtId="0" fontId="0" fillId="26" borderId="57" xfId="0" applyFill="1" applyBorder="1" applyProtection="1"/>
    <xf numFmtId="0" fontId="36" fillId="26" borderId="57" xfId="0" applyFont="1" applyFill="1" applyBorder="1" applyProtection="1"/>
    <xf numFmtId="0" fontId="5" fillId="26" borderId="58" xfId="0" applyFont="1" applyFill="1" applyBorder="1" applyProtection="1"/>
    <xf numFmtId="0" fontId="38" fillId="26" borderId="46" xfId="0" applyFont="1" applyFill="1" applyBorder="1" applyAlignment="1" applyProtection="1">
      <alignment horizontal="right"/>
    </xf>
    <xf numFmtId="0" fontId="8" fillId="26" borderId="47" xfId="0" applyFont="1" applyFill="1" applyBorder="1" applyAlignment="1" applyProtection="1"/>
    <xf numFmtId="0" fontId="5" fillId="0" borderId="17" xfId="0" applyFont="1" applyFill="1" applyBorder="1" applyAlignment="1" applyProtection="1">
      <alignment horizontal="center" vertical="center" wrapText="1"/>
    </xf>
    <xf numFmtId="0" fontId="5" fillId="24" borderId="61" xfId="0" applyFont="1" applyFill="1" applyBorder="1" applyProtection="1"/>
    <xf numFmtId="0" fontId="8" fillId="26" borderId="42" xfId="0" applyFont="1" applyFill="1" applyBorder="1" applyProtection="1"/>
    <xf numFmtId="0" fontId="8" fillId="24" borderId="61" xfId="0" applyFont="1" applyFill="1" applyBorder="1" applyProtection="1"/>
    <xf numFmtId="0" fontId="8" fillId="24" borderId="61" xfId="0" applyFont="1" applyFill="1" applyBorder="1" applyAlignment="1" applyProtection="1"/>
    <xf numFmtId="0" fontId="8" fillId="26" borderId="42" xfId="0" applyFont="1" applyFill="1" applyBorder="1" applyAlignment="1" applyProtection="1"/>
    <xf numFmtId="0" fontId="8" fillId="24" borderId="61" xfId="0" applyFont="1" applyFill="1" applyBorder="1" applyAlignment="1" applyProtection="1">
      <alignment vertical="center"/>
    </xf>
    <xf numFmtId="0" fontId="8" fillId="26" borderId="42" xfId="0" applyFont="1" applyFill="1" applyBorder="1" applyAlignment="1" applyProtection="1">
      <alignment vertical="center"/>
    </xf>
    <xf numFmtId="0" fontId="34" fillId="24" borderId="61" xfId="0" applyFont="1" applyFill="1" applyBorder="1" applyAlignment="1" applyProtection="1">
      <alignment horizontal="center" wrapText="1"/>
    </xf>
    <xf numFmtId="0" fontId="8" fillId="26" borderId="45" xfId="0" applyFont="1" applyFill="1" applyBorder="1" applyProtection="1"/>
    <xf numFmtId="0" fontId="5" fillId="26" borderId="44" xfId="0" applyFont="1" applyFill="1" applyBorder="1" applyProtection="1"/>
    <xf numFmtId="0" fontId="0" fillId="26" borderId="44" xfId="0" applyFill="1" applyBorder="1" applyAlignment="1" applyProtection="1">
      <alignment wrapText="1"/>
    </xf>
    <xf numFmtId="0" fontId="8" fillId="24" borderId="59" xfId="0" applyFont="1" applyFill="1" applyBorder="1" applyProtection="1"/>
    <xf numFmtId="0" fontId="43" fillId="26" borderId="17" xfId="0" applyFont="1" applyFill="1" applyBorder="1" applyAlignment="1" applyProtection="1">
      <alignment horizontal="center" vertical="center"/>
    </xf>
    <xf numFmtId="0" fontId="0" fillId="26" borderId="17" xfId="0" applyFill="1" applyBorder="1" applyAlignment="1" applyProtection="1">
      <alignment vertical="top" wrapText="1"/>
    </xf>
    <xf numFmtId="0" fontId="45" fillId="26" borderId="17" xfId="0" applyFont="1" applyFill="1" applyBorder="1" applyAlignment="1" applyProtection="1">
      <alignment vertical="top" wrapText="1"/>
    </xf>
    <xf numFmtId="0" fontId="5" fillId="24" borderId="61" xfId="0" applyFont="1" applyFill="1" applyBorder="1" applyAlignment="1" applyProtection="1">
      <alignment vertical="center"/>
    </xf>
    <xf numFmtId="0" fontId="5" fillId="24" borderId="0" xfId="0" applyFont="1" applyFill="1" applyBorder="1" applyAlignment="1" applyProtection="1">
      <alignment vertical="top" wrapText="1"/>
      <protection locked="0"/>
    </xf>
    <xf numFmtId="0" fontId="36" fillId="26" borderId="62" xfId="0" applyFont="1" applyFill="1" applyBorder="1" applyProtection="1"/>
    <xf numFmtId="0" fontId="36" fillId="26" borderId="62" xfId="0" applyFont="1" applyFill="1" applyBorder="1" applyAlignment="1" applyProtection="1"/>
    <xf numFmtId="0" fontId="9" fillId="27" borderId="17" xfId="0" applyFont="1" applyFill="1" applyBorder="1" applyAlignment="1" applyProtection="1">
      <alignment horizontal="center" vertical="center" wrapText="1"/>
    </xf>
    <xf numFmtId="3" fontId="5" fillId="26" borderId="17" xfId="0" applyNumberFormat="1" applyFont="1" applyFill="1" applyBorder="1" applyAlignment="1" applyProtection="1">
      <alignment horizontal="center" vertical="center"/>
    </xf>
    <xf numFmtId="3" fontId="5" fillId="26" borderId="23" xfId="0" applyNumberFormat="1" applyFont="1" applyFill="1" applyBorder="1" applyAlignment="1" applyProtection="1">
      <alignment horizontal="center" vertical="center"/>
    </xf>
    <xf numFmtId="0" fontId="45" fillId="0" borderId="16" xfId="0" applyFont="1" applyBorder="1" applyAlignment="1" applyProtection="1">
      <alignment vertical="top" wrapText="1"/>
    </xf>
    <xf numFmtId="0" fontId="43" fillId="25" borderId="16" xfId="0" applyFont="1" applyFill="1" applyBorder="1" applyAlignment="1" applyProtection="1">
      <alignment horizontal="center" vertical="center"/>
    </xf>
    <xf numFmtId="0" fontId="8" fillId="0" borderId="17" xfId="0" applyFont="1" applyFill="1" applyBorder="1" applyAlignment="1" applyProtection="1">
      <alignment horizontal="right" vertical="center" wrapText="1" indent="1"/>
    </xf>
    <xf numFmtId="0" fontId="8" fillId="24" borderId="17" xfId="0" applyFont="1" applyFill="1" applyBorder="1" applyAlignment="1" applyProtection="1">
      <alignment horizontal="right" vertical="center" wrapText="1" indent="1"/>
    </xf>
    <xf numFmtId="0" fontId="5" fillId="24" borderId="17" xfId="0" applyFont="1" applyFill="1" applyBorder="1" applyAlignment="1" applyProtection="1">
      <alignment horizontal="right" vertical="center" wrapText="1" indent="1"/>
    </xf>
    <xf numFmtId="0" fontId="8" fillId="24" borderId="23" xfId="0" applyFont="1" applyFill="1" applyBorder="1" applyAlignment="1" applyProtection="1">
      <alignment horizontal="center" vertical="center" wrapText="1"/>
    </xf>
    <xf numFmtId="0" fontId="5" fillId="24" borderId="23"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0" fillId="0" borderId="0" xfId="0" applyBorder="1" applyAlignment="1">
      <alignment wrapText="1"/>
    </xf>
    <xf numFmtId="0" fontId="0" fillId="26" borderId="0" xfId="0" applyFill="1" applyBorder="1" applyAlignment="1"/>
    <xf numFmtId="0" fontId="5" fillId="0" borderId="17" xfId="0" applyFont="1" applyFill="1" applyBorder="1" applyAlignment="1" applyProtection="1">
      <alignment horizontal="center" vertical="center" wrapText="1"/>
    </xf>
    <xf numFmtId="0" fontId="4" fillId="0" borderId="17" xfId="0" applyFont="1" applyFill="1" applyBorder="1" applyAlignment="1">
      <alignment horizontal="center" vertical="center" wrapText="1"/>
    </xf>
    <xf numFmtId="0" fontId="9"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9" fillId="26" borderId="0" xfId="0" applyFont="1" applyFill="1" applyBorder="1" applyAlignment="1" applyProtection="1">
      <alignment horizontal="left" vertical="top"/>
    </xf>
    <xf numFmtId="0" fontId="0" fillId="0" borderId="0" xfId="0" applyBorder="1" applyAlignment="1">
      <alignment wrapText="1"/>
    </xf>
    <xf numFmtId="0" fontId="0" fillId="0" borderId="0" xfId="0" applyBorder="1" applyAlignment="1">
      <alignment vertical="top" wrapText="1"/>
    </xf>
    <xf numFmtId="0" fontId="50" fillId="24" borderId="0" xfId="0" applyFont="1" applyFill="1" applyBorder="1" applyAlignment="1" applyProtection="1">
      <alignment vertical="top" wrapText="1"/>
    </xf>
    <xf numFmtId="0" fontId="9" fillId="28" borderId="17" xfId="0" applyFont="1" applyFill="1" applyBorder="1" applyAlignment="1" applyProtection="1">
      <alignment horizontal="center" vertical="center" wrapText="1"/>
    </xf>
    <xf numFmtId="0" fontId="9" fillId="28" borderId="23" xfId="0" applyFont="1" applyFill="1" applyBorder="1" applyAlignment="1" applyProtection="1">
      <alignment horizontal="center" vertical="center" wrapText="1"/>
    </xf>
    <xf numFmtId="0" fontId="0" fillId="26" borderId="0" xfId="0" applyFill="1" applyBorder="1" applyAlignment="1"/>
    <xf numFmtId="0" fontId="5" fillId="0" borderId="17" xfId="0" applyFont="1" applyFill="1" applyBorder="1" applyAlignment="1" applyProtection="1">
      <alignment horizontal="center" vertical="center" wrapText="1"/>
    </xf>
    <xf numFmtId="0" fontId="4" fillId="0" borderId="17" xfId="0" applyFont="1" applyFill="1" applyBorder="1" applyAlignment="1">
      <alignment horizontal="center" vertical="center" wrapText="1"/>
    </xf>
    <xf numFmtId="0" fontId="0" fillId="0" borderId="17" xfId="0" applyBorder="1" applyAlignment="1">
      <alignment vertical="center" wrapText="1"/>
    </xf>
    <xf numFmtId="0" fontId="0" fillId="26" borderId="0" xfId="0" applyFill="1" applyBorder="1" applyAlignment="1">
      <alignment horizontal="center" vertical="center" wrapText="1"/>
    </xf>
    <xf numFmtId="0" fontId="9" fillId="26" borderId="0" xfId="0" applyFont="1" applyFill="1" applyBorder="1" applyAlignment="1" applyProtection="1">
      <alignment horizontal="center" vertical="center" wrapText="1"/>
    </xf>
    <xf numFmtId="0" fontId="9" fillId="26" borderId="0" xfId="0" applyFont="1" applyFill="1" applyBorder="1" applyAlignment="1" applyProtection="1">
      <alignment horizontal="left" vertical="top"/>
    </xf>
    <xf numFmtId="0" fontId="5" fillId="26" borderId="59" xfId="0" applyFont="1" applyFill="1" applyBorder="1" applyProtection="1"/>
    <xf numFmtId="3" fontId="8" fillId="0" borderId="24" xfId="0" applyNumberFormat="1" applyFont="1" applyBorder="1" applyAlignment="1" applyProtection="1">
      <alignment horizontal="center" vertical="center" wrapText="1"/>
    </xf>
    <xf numFmtId="3" fontId="8" fillId="0" borderId="17" xfId="0" applyNumberFormat="1" applyFont="1" applyBorder="1" applyAlignment="1" applyProtection="1">
      <alignment horizontal="center" vertical="center" wrapText="1"/>
    </xf>
    <xf numFmtId="3" fontId="8" fillId="0" borderId="23" xfId="0" applyNumberFormat="1" applyFont="1" applyBorder="1" applyAlignment="1" applyProtection="1">
      <alignment horizontal="center" vertical="center" wrapText="1"/>
    </xf>
    <xf numFmtId="0" fontId="5" fillId="26" borderId="0" xfId="0" applyFont="1" applyFill="1" applyBorder="1" applyAlignment="1" applyProtection="1">
      <alignment horizontal="left" vertical="top" wrapText="1"/>
    </xf>
    <xf numFmtId="0" fontId="9" fillId="28" borderId="24" xfId="0" applyFont="1" applyFill="1" applyBorder="1" applyAlignment="1" applyProtection="1">
      <alignment horizontal="center" vertical="center" wrapText="1"/>
    </xf>
    <xf numFmtId="3" fontId="36" fillId="34" borderId="24" xfId="0" applyNumberFormat="1" applyFont="1" applyFill="1" applyBorder="1" applyAlignment="1" applyProtection="1">
      <alignment horizontal="center" vertical="center" wrapText="1"/>
    </xf>
    <xf numFmtId="3" fontId="36" fillId="34" borderId="17" xfId="0" applyNumberFormat="1" applyFont="1" applyFill="1" applyBorder="1" applyAlignment="1" applyProtection="1">
      <alignment horizontal="center" vertical="center" wrapText="1"/>
    </xf>
    <xf numFmtId="3" fontId="36" fillId="34" borderId="23" xfId="0" applyNumberFormat="1" applyFont="1" applyFill="1" applyBorder="1" applyAlignment="1" applyProtection="1">
      <alignment horizontal="center" vertical="center" wrapText="1"/>
    </xf>
    <xf numFmtId="3" fontId="5" fillId="29" borderId="24" xfId="0" applyNumberFormat="1" applyFont="1" applyFill="1" applyBorder="1" applyAlignment="1" applyProtection="1">
      <alignment horizontal="center" vertical="center" wrapText="1"/>
    </xf>
    <xf numFmtId="3" fontId="5" fillId="29" borderId="17" xfId="0" applyNumberFormat="1" applyFont="1" applyFill="1" applyBorder="1" applyAlignment="1" applyProtection="1">
      <alignment horizontal="center" vertical="center" wrapText="1"/>
    </xf>
    <xf numFmtId="3" fontId="5" fillId="29" borderId="23" xfId="0" applyNumberFormat="1" applyFont="1" applyFill="1" applyBorder="1" applyAlignment="1" applyProtection="1">
      <alignment horizontal="center" vertical="center" wrapText="1"/>
    </xf>
    <xf numFmtId="0" fontId="60" fillId="34" borderId="23" xfId="0" applyFont="1" applyFill="1" applyBorder="1" applyAlignment="1" applyProtection="1">
      <alignment horizontal="left" vertical="center" wrapText="1"/>
    </xf>
    <xf numFmtId="3" fontId="60" fillId="34" borderId="17" xfId="0" applyNumberFormat="1" applyFont="1" applyFill="1" applyBorder="1" applyAlignment="1" applyProtection="1">
      <alignment horizontal="center" vertical="center"/>
    </xf>
    <xf numFmtId="3" fontId="60" fillId="34" borderId="23" xfId="0" applyNumberFormat="1" applyFont="1" applyFill="1" applyBorder="1" applyAlignment="1" applyProtection="1">
      <alignment horizontal="center" vertical="center"/>
    </xf>
    <xf numFmtId="165" fontId="60" fillId="34" borderId="17" xfId="0" applyNumberFormat="1" applyFont="1" applyFill="1" applyBorder="1" applyAlignment="1" applyProtection="1">
      <alignment horizontal="center" vertical="center"/>
      <protection hidden="1"/>
    </xf>
    <xf numFmtId="165" fontId="60" fillId="34" borderId="20" xfId="0" applyNumberFormat="1" applyFont="1" applyFill="1" applyBorder="1" applyAlignment="1" applyProtection="1">
      <alignment horizontal="center" vertical="center"/>
      <protection hidden="1"/>
    </xf>
    <xf numFmtId="49" fontId="9" fillId="27" borderId="17" xfId="0" applyNumberFormat="1" applyFont="1" applyFill="1" applyBorder="1" applyAlignment="1">
      <alignment horizontal="center" vertical="center" wrapText="1" shrinkToFit="1"/>
    </xf>
    <xf numFmtId="49" fontId="9" fillId="27" borderId="23" xfId="0" applyNumberFormat="1" applyFont="1" applyFill="1" applyBorder="1" applyAlignment="1">
      <alignment horizontal="center" vertical="center" wrapText="1" shrinkToFit="1"/>
    </xf>
    <xf numFmtId="165" fontId="36" fillId="34" borderId="24" xfId="46" applyNumberFormat="1" applyFont="1" applyFill="1" applyBorder="1" applyAlignment="1" applyProtection="1">
      <alignment horizontal="center" vertical="top" wrapText="1"/>
    </xf>
    <xf numFmtId="3" fontId="36" fillId="34" borderId="17" xfId="46" applyNumberFormat="1" applyFont="1" applyFill="1" applyBorder="1" applyAlignment="1" applyProtection="1">
      <alignment horizontal="center" vertical="center"/>
    </xf>
    <xf numFmtId="3" fontId="36" fillId="34" borderId="23" xfId="46" applyNumberFormat="1" applyFont="1" applyFill="1" applyBorder="1" applyAlignment="1" applyProtection="1">
      <alignment horizontal="center" vertical="center"/>
    </xf>
    <xf numFmtId="165" fontId="5" fillId="29" borderId="24" xfId="46" applyNumberFormat="1" applyFont="1" applyFill="1" applyBorder="1" applyAlignment="1" applyProtection="1">
      <alignment horizontal="center" vertical="top" wrapText="1"/>
    </xf>
    <xf numFmtId="3" fontId="5" fillId="29" borderId="17" xfId="46" applyNumberFormat="1" applyFont="1" applyFill="1" applyBorder="1" applyAlignment="1" applyProtection="1">
      <alignment horizontal="center" vertical="center"/>
    </xf>
    <xf numFmtId="3" fontId="5" fillId="29" borderId="23" xfId="46" applyNumberFormat="1" applyFont="1" applyFill="1" applyBorder="1" applyAlignment="1" applyProtection="1">
      <alignment horizontal="center" vertical="center"/>
    </xf>
    <xf numFmtId="0" fontId="5" fillId="29" borderId="23" xfId="0" quotePrefix="1" applyFont="1" applyFill="1" applyBorder="1" applyAlignment="1" applyProtection="1">
      <alignment horizontal="center" vertical="center"/>
    </xf>
    <xf numFmtId="0" fontId="60" fillId="34" borderId="23" xfId="0" quotePrefix="1" applyFont="1" applyFill="1" applyBorder="1" applyAlignment="1" applyProtection="1">
      <alignment horizontal="center" vertical="center"/>
    </xf>
    <xf numFmtId="165" fontId="5" fillId="29" borderId="17" xfId="0" applyNumberFormat="1" applyFont="1" applyFill="1" applyBorder="1" applyAlignment="1" applyProtection="1">
      <alignment horizontal="right" vertical="center"/>
      <protection hidden="1"/>
    </xf>
    <xf numFmtId="165" fontId="60" fillId="34" borderId="17" xfId="0" applyNumberFormat="1" applyFont="1" applyFill="1" applyBorder="1" applyAlignment="1" applyProtection="1">
      <alignment horizontal="right" vertical="center"/>
      <protection hidden="1"/>
    </xf>
    <xf numFmtId="165" fontId="5" fillId="24" borderId="17" xfId="0" applyNumberFormat="1" applyFont="1" applyFill="1" applyBorder="1" applyAlignment="1">
      <alignment horizontal="right" vertical="center" wrapText="1"/>
    </xf>
    <xf numFmtId="165" fontId="5" fillId="24" borderId="20" xfId="0" applyNumberFormat="1" applyFont="1" applyFill="1" applyBorder="1" applyAlignment="1" applyProtection="1">
      <alignment horizontal="right" vertical="center"/>
    </xf>
    <xf numFmtId="165" fontId="5" fillId="0" borderId="23" xfId="0" applyNumberFormat="1" applyFont="1" applyFill="1" applyBorder="1" applyAlignment="1" applyProtection="1">
      <alignment horizontal="right" vertical="center"/>
    </xf>
    <xf numFmtId="165" fontId="5" fillId="29" borderId="23" xfId="0" applyNumberFormat="1" applyFont="1" applyFill="1" applyBorder="1" applyAlignment="1" applyProtection="1">
      <alignment horizontal="right" vertical="center"/>
      <protection hidden="1"/>
    </xf>
    <xf numFmtId="165" fontId="60" fillId="34" borderId="23" xfId="0" applyNumberFormat="1" applyFont="1" applyFill="1" applyBorder="1" applyAlignment="1" applyProtection="1">
      <alignment horizontal="right" vertical="center"/>
      <protection hidden="1"/>
    </xf>
    <xf numFmtId="167" fontId="5" fillId="28" borderId="23" xfId="0" applyNumberFormat="1" applyFont="1" applyFill="1" applyBorder="1" applyAlignment="1" applyProtection="1">
      <alignment horizontal="center" vertical="center"/>
    </xf>
    <xf numFmtId="0" fontId="9" fillId="28" borderId="17" xfId="0" applyFont="1" applyFill="1" applyBorder="1" applyAlignment="1" applyProtection="1">
      <alignment horizontal="center" vertical="center"/>
    </xf>
    <xf numFmtId="0" fontId="9" fillId="28" borderId="23" xfId="0" applyFont="1" applyFill="1" applyBorder="1" applyAlignment="1" applyProtection="1">
      <alignment horizontal="center" vertical="center"/>
    </xf>
    <xf numFmtId="0" fontId="9" fillId="33" borderId="17" xfId="0" applyFont="1" applyFill="1" applyBorder="1" applyAlignment="1" applyProtection="1">
      <alignment horizontal="center" vertical="center"/>
    </xf>
    <xf numFmtId="0" fontId="9" fillId="33" borderId="20" xfId="0" applyFont="1" applyFill="1" applyBorder="1" applyAlignment="1" applyProtection="1">
      <alignment horizontal="center" vertical="center"/>
    </xf>
    <xf numFmtId="3" fontId="5" fillId="33" borderId="23" xfId="0" applyNumberFormat="1" applyFont="1" applyFill="1" applyBorder="1" applyAlignment="1" applyProtection="1">
      <alignment horizontal="center" vertical="center"/>
    </xf>
    <xf numFmtId="167" fontId="38" fillId="0" borderId="0" xfId="0" applyNumberFormat="1" applyFont="1" applyFill="1" applyBorder="1" applyAlignment="1" applyProtection="1">
      <alignment horizontal="right"/>
    </xf>
    <xf numFmtId="0" fontId="55" fillId="0" borderId="0" xfId="0" applyFont="1" applyFill="1" applyBorder="1" applyAlignment="1" applyProtection="1">
      <alignment horizontal="left" vertical="top" wrapText="1"/>
    </xf>
    <xf numFmtId="1" fontId="55" fillId="0" borderId="0" xfId="0" applyNumberFormat="1" applyFont="1" applyFill="1" applyBorder="1" applyAlignment="1" applyProtection="1">
      <alignment horizontal="center" vertical="top"/>
    </xf>
    <xf numFmtId="9" fontId="60" fillId="34" borderId="17" xfId="0" applyNumberFormat="1" applyFont="1" applyFill="1" applyBorder="1" applyAlignment="1" applyProtection="1">
      <alignment horizontal="center" vertical="center"/>
    </xf>
    <xf numFmtId="9" fontId="60" fillId="34" borderId="23" xfId="0" applyNumberFormat="1" applyFont="1" applyFill="1" applyBorder="1" applyAlignment="1" applyProtection="1">
      <alignment horizontal="center" vertical="center"/>
    </xf>
    <xf numFmtId="0" fontId="61" fillId="0" borderId="16" xfId="0" applyFont="1" applyFill="1" applyBorder="1" applyAlignment="1">
      <alignment horizontal="center" wrapText="1"/>
    </xf>
    <xf numFmtId="0" fontId="61" fillId="0" borderId="17" xfId="0" applyFont="1" applyFill="1" applyBorder="1" applyAlignment="1">
      <alignment horizontal="center" wrapText="1"/>
    </xf>
    <xf numFmtId="167" fontId="62" fillId="0" borderId="16" xfId="0" applyNumberFormat="1" applyFont="1" applyFill="1" applyBorder="1" applyAlignment="1">
      <alignment horizontal="right"/>
    </xf>
    <xf numFmtId="0" fontId="62" fillId="0" borderId="17" xfId="0" applyFont="1" applyFill="1" applyBorder="1" applyAlignment="1">
      <alignment horizontal="right"/>
    </xf>
    <xf numFmtId="167" fontId="5" fillId="29" borderId="23" xfId="0" applyNumberFormat="1" applyFont="1" applyFill="1" applyBorder="1" applyAlignment="1" applyProtection="1">
      <alignment horizontal="center" vertical="center"/>
    </xf>
    <xf numFmtId="167" fontId="60" fillId="34" borderId="23" xfId="0" applyNumberFormat="1" applyFont="1" applyFill="1" applyBorder="1" applyAlignment="1" applyProtection="1">
      <alignment horizontal="center" vertical="center"/>
    </xf>
    <xf numFmtId="0" fontId="0" fillId="0" borderId="0" xfId="0" applyBorder="1" applyAlignment="1">
      <alignment wrapText="1"/>
    </xf>
    <xf numFmtId="0" fontId="0" fillId="0" borderId="0" xfId="0" applyBorder="1" applyAlignment="1">
      <alignment vertical="top" wrapText="1"/>
    </xf>
    <xf numFmtId="0" fontId="50" fillId="24" borderId="0" xfId="0" applyFont="1" applyFill="1" applyBorder="1" applyAlignment="1" applyProtection="1">
      <alignment vertical="top" wrapText="1"/>
    </xf>
    <xf numFmtId="0" fontId="9" fillId="28" borderId="17" xfId="0" applyFont="1" applyFill="1" applyBorder="1" applyAlignment="1" applyProtection="1">
      <alignment horizontal="center" vertical="center" wrapText="1"/>
    </xf>
    <xf numFmtId="0" fontId="9" fillId="28" borderId="23" xfId="0" applyFont="1" applyFill="1" applyBorder="1" applyAlignment="1" applyProtection="1">
      <alignment horizontal="center" vertical="center" wrapText="1"/>
    </xf>
    <xf numFmtId="0" fontId="0" fillId="26" borderId="0" xfId="0" applyFill="1" applyBorder="1" applyAlignment="1"/>
    <xf numFmtId="0" fontId="5" fillId="26" borderId="0" xfId="0" applyFont="1" applyFill="1" applyBorder="1" applyAlignment="1" applyProtection="1">
      <alignment horizontal="left" vertical="top" wrapText="1"/>
    </xf>
    <xf numFmtId="0" fontId="0" fillId="0" borderId="17" xfId="0" applyBorder="1" applyAlignment="1">
      <alignment vertical="center" wrapText="1"/>
    </xf>
    <xf numFmtId="0" fontId="9"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5" fillId="0" borderId="17" xfId="0" applyFont="1" applyFill="1" applyBorder="1" applyAlignment="1" applyProtection="1">
      <alignment horizontal="center" vertical="center" wrapText="1"/>
    </xf>
    <xf numFmtId="0" fontId="4" fillId="0" borderId="17" xfId="0" applyFont="1" applyFill="1" applyBorder="1" applyAlignment="1">
      <alignment horizontal="center" vertical="center" wrapText="1"/>
    </xf>
    <xf numFmtId="0" fontId="9" fillId="26" borderId="0" xfId="0" applyFont="1" applyFill="1" applyBorder="1" applyAlignment="1" applyProtection="1">
      <alignment horizontal="left" vertical="top"/>
    </xf>
    <xf numFmtId="3" fontId="5" fillId="35" borderId="23" xfId="0" applyNumberFormat="1" applyFont="1" applyFill="1" applyBorder="1" applyAlignment="1" applyProtection="1">
      <alignment horizontal="center" vertical="center"/>
    </xf>
    <xf numFmtId="0" fontId="57" fillId="26" borderId="50" xfId="0" applyFont="1" applyFill="1" applyBorder="1" applyAlignment="1" applyProtection="1">
      <alignment vertical="center"/>
    </xf>
    <xf numFmtId="0" fontId="62" fillId="0" borderId="17" xfId="0" applyFont="1" applyFill="1" applyBorder="1" applyAlignment="1">
      <alignment horizontal="center"/>
    </xf>
    <xf numFmtId="0" fontId="0" fillId="0" borderId="0" xfId="0" applyBorder="1" applyAlignment="1">
      <alignment wrapText="1"/>
    </xf>
    <xf numFmtId="0" fontId="0" fillId="0" borderId="0" xfId="0" applyBorder="1" applyAlignment="1">
      <alignment vertical="top" wrapText="1"/>
    </xf>
    <xf numFmtId="0" fontId="50" fillId="24" borderId="0" xfId="0" applyFont="1" applyFill="1" applyBorder="1" applyAlignment="1" applyProtection="1">
      <alignment vertical="top" wrapText="1"/>
    </xf>
    <xf numFmtId="0" fontId="0" fillId="26" borderId="0" xfId="0" applyFill="1" applyBorder="1" applyAlignment="1"/>
    <xf numFmtId="0" fontId="5" fillId="26" borderId="0" xfId="0" applyFont="1" applyFill="1" applyBorder="1" applyAlignment="1" applyProtection="1">
      <alignment horizontal="left" vertical="top" wrapText="1"/>
    </xf>
    <xf numFmtId="0" fontId="0" fillId="0" borderId="17" xfId="0" applyBorder="1" applyAlignment="1">
      <alignment vertical="center" wrapText="1"/>
    </xf>
    <xf numFmtId="0" fontId="5" fillId="0" borderId="17" xfId="0" applyFont="1" applyFill="1" applyBorder="1" applyAlignment="1" applyProtection="1">
      <alignment horizontal="center" vertical="center" wrapText="1"/>
    </xf>
    <xf numFmtId="0" fontId="4" fillId="0" borderId="17" xfId="0" applyFont="1" applyFill="1" applyBorder="1" applyAlignment="1">
      <alignment horizontal="center" vertical="center" wrapText="1"/>
    </xf>
    <xf numFmtId="0" fontId="0" fillId="26" borderId="0" xfId="0" applyFill="1" applyBorder="1" applyAlignment="1">
      <alignment horizontal="center" vertical="center" wrapText="1"/>
    </xf>
    <xf numFmtId="0" fontId="9" fillId="26" borderId="0" xfId="0" applyFont="1" applyFill="1" applyBorder="1" applyAlignment="1" applyProtection="1">
      <alignment horizontal="center" vertical="center" wrapText="1"/>
    </xf>
    <xf numFmtId="0" fontId="9" fillId="26" borderId="0" xfId="0" applyFont="1" applyFill="1" applyBorder="1" applyAlignment="1" applyProtection="1">
      <alignment horizontal="left" vertical="top"/>
    </xf>
    <xf numFmtId="0" fontId="62" fillId="0" borderId="0" xfId="0" applyFont="1" applyFill="1" applyBorder="1" applyAlignment="1">
      <alignment horizontal="left"/>
    </xf>
    <xf numFmtId="0" fontId="62" fillId="0" borderId="0" xfId="0" applyFont="1" applyFill="1" applyBorder="1" applyAlignment="1">
      <alignment horizontal="right" vertical="center"/>
    </xf>
    <xf numFmtId="0" fontId="62" fillId="0" borderId="0" xfId="0" applyFont="1" applyFill="1" applyBorder="1" applyAlignment="1">
      <alignment horizontal="right"/>
    </xf>
    <xf numFmtId="0" fontId="62" fillId="0" borderId="16" xfId="0" applyFont="1" applyFill="1" applyBorder="1" applyAlignment="1">
      <alignment horizontal="center"/>
    </xf>
    <xf numFmtId="3" fontId="62" fillId="0" borderId="17" xfId="0" applyNumberFormat="1" applyFont="1" applyFill="1" applyBorder="1" applyAlignment="1">
      <alignment horizontal="center"/>
    </xf>
    <xf numFmtId="0" fontId="9" fillId="26" borderId="0" xfId="0" applyFont="1" applyFill="1" applyBorder="1" applyAlignment="1" applyProtection="1">
      <alignment horizontal="left" vertical="top"/>
    </xf>
    <xf numFmtId="0" fontId="9" fillId="26" borderId="0" xfId="0" applyFont="1" applyFill="1" applyBorder="1" applyAlignment="1" applyProtection="1">
      <alignment horizontal="left" vertical="top"/>
    </xf>
    <xf numFmtId="16" fontId="9" fillId="33" borderId="17" xfId="0" quotePrefix="1" applyNumberFormat="1" applyFont="1" applyFill="1" applyBorder="1" applyAlignment="1" applyProtection="1">
      <alignment horizontal="center" vertical="center"/>
    </xf>
    <xf numFmtId="0" fontId="9" fillId="33" borderId="17" xfId="0" quotePrefix="1" applyFont="1" applyFill="1" applyBorder="1" applyAlignment="1" applyProtection="1">
      <alignment horizontal="center" vertical="center"/>
    </xf>
    <xf numFmtId="0" fontId="9" fillId="33" borderId="25" xfId="0" applyFont="1" applyFill="1" applyBorder="1" applyAlignment="1" applyProtection="1">
      <alignment horizontal="center" vertical="center"/>
    </xf>
    <xf numFmtId="0" fontId="0" fillId="0" borderId="0" xfId="0" applyBorder="1" applyAlignment="1">
      <alignment wrapText="1"/>
    </xf>
    <xf numFmtId="0" fontId="0" fillId="0" borderId="0" xfId="0" applyBorder="1" applyAlignment="1">
      <alignment vertical="top" wrapText="1"/>
    </xf>
    <xf numFmtId="0" fontId="50" fillId="24" borderId="0" xfId="0" applyFont="1" applyFill="1" applyBorder="1" applyAlignment="1" applyProtection="1">
      <alignment vertical="top" wrapText="1"/>
    </xf>
    <xf numFmtId="0" fontId="5" fillId="26" borderId="0" xfId="0" applyFont="1" applyFill="1" applyBorder="1" applyAlignment="1" applyProtection="1">
      <alignment horizontal="left" vertical="top" wrapText="1"/>
    </xf>
    <xf numFmtId="0" fontId="0" fillId="0" borderId="17" xfId="0" applyBorder="1" applyAlignment="1">
      <alignment vertical="center" wrapText="1"/>
    </xf>
    <xf numFmtId="0" fontId="0" fillId="26" borderId="0" xfId="0" applyFill="1" applyBorder="1" applyAlignment="1">
      <alignment horizontal="center" vertical="center" wrapText="1"/>
    </xf>
    <xf numFmtId="0" fontId="9" fillId="26" borderId="0" xfId="0" applyFont="1" applyFill="1" applyBorder="1" applyAlignment="1" applyProtection="1">
      <alignment horizontal="left" vertical="top"/>
    </xf>
    <xf numFmtId="0" fontId="9" fillId="26" borderId="0" xfId="0" applyFont="1" applyFill="1" applyBorder="1" applyAlignment="1" applyProtection="1">
      <alignment horizontal="center" vertical="center" wrapText="1"/>
    </xf>
    <xf numFmtId="0" fontId="5" fillId="0" borderId="17" xfId="0" applyFont="1" applyFill="1" applyBorder="1" applyAlignment="1" applyProtection="1">
      <alignment horizontal="center" vertical="center" wrapText="1"/>
    </xf>
    <xf numFmtId="0" fontId="4" fillId="0" borderId="17" xfId="0" applyFont="1" applyFill="1" applyBorder="1" applyAlignment="1">
      <alignment horizontal="center" vertical="center" wrapText="1"/>
    </xf>
    <xf numFmtId="0" fontId="9" fillId="26" borderId="64" xfId="0" applyFont="1" applyFill="1" applyBorder="1" applyAlignment="1" applyProtection="1">
      <alignment horizontal="left" vertical="top"/>
    </xf>
    <xf numFmtId="0" fontId="9" fillId="26" borderId="11" xfId="0" applyFont="1" applyFill="1" applyBorder="1" applyAlignment="1" applyProtection="1">
      <alignment horizontal="left" vertical="top"/>
    </xf>
    <xf numFmtId="0" fontId="0" fillId="26" borderId="11" xfId="0" applyFill="1" applyBorder="1" applyAlignment="1">
      <alignment horizontal="left" vertical="top"/>
    </xf>
    <xf numFmtId="0" fontId="0" fillId="26" borderId="63" xfId="0" applyFill="1" applyBorder="1" applyAlignment="1">
      <alignment horizontal="left" vertical="top"/>
    </xf>
    <xf numFmtId="0" fontId="9" fillId="26" borderId="65" xfId="0" applyFont="1" applyFill="1" applyBorder="1" applyAlignment="1" applyProtection="1">
      <alignment horizontal="left" vertical="top"/>
    </xf>
    <xf numFmtId="0" fontId="0" fillId="26" borderId="66" xfId="0" applyFill="1" applyBorder="1" applyAlignment="1">
      <alignment horizontal="left" vertical="top"/>
    </xf>
    <xf numFmtId="0" fontId="9" fillId="26" borderId="67" xfId="0" applyFont="1" applyFill="1" applyBorder="1" applyAlignment="1" applyProtection="1">
      <alignment horizontal="left" vertical="top"/>
    </xf>
    <xf numFmtId="0" fontId="9" fillId="26" borderId="52" xfId="0" applyFont="1" applyFill="1" applyBorder="1" applyAlignment="1" applyProtection="1">
      <alignment horizontal="left" vertical="top"/>
    </xf>
    <xf numFmtId="0" fontId="0" fillId="26" borderId="52" xfId="0" applyFill="1" applyBorder="1" applyAlignment="1">
      <alignment horizontal="left" vertical="top"/>
    </xf>
    <xf numFmtId="0" fontId="0" fillId="26" borderId="68" xfId="0" applyFill="1" applyBorder="1" applyAlignment="1">
      <alignment horizontal="left" vertical="top"/>
    </xf>
    <xf numFmtId="1" fontId="5" fillId="29" borderId="17" xfId="0" applyNumberFormat="1" applyFont="1" applyFill="1" applyBorder="1" applyAlignment="1" applyProtection="1">
      <alignment horizontal="center" vertical="center"/>
    </xf>
    <xf numFmtId="1" fontId="5" fillId="29" borderId="23" xfId="0" applyNumberFormat="1" applyFont="1" applyFill="1" applyBorder="1" applyAlignment="1" applyProtection="1">
      <alignment horizontal="center" vertical="center"/>
    </xf>
    <xf numFmtId="1" fontId="60" fillId="34" borderId="17" xfId="0" applyNumberFormat="1" applyFont="1" applyFill="1" applyBorder="1" applyAlignment="1" applyProtection="1">
      <alignment horizontal="center" vertical="center"/>
    </xf>
    <xf numFmtId="1" fontId="60" fillId="34" borderId="23" xfId="0" applyNumberFormat="1" applyFont="1" applyFill="1" applyBorder="1" applyAlignment="1" applyProtection="1">
      <alignment horizontal="center" vertical="center"/>
    </xf>
    <xf numFmtId="165" fontId="5" fillId="0" borderId="23" xfId="0" applyNumberFormat="1" applyFont="1" applyBorder="1" applyAlignment="1" applyProtection="1">
      <alignment horizontal="center" vertical="center"/>
    </xf>
    <xf numFmtId="165" fontId="5" fillId="29" borderId="17" xfId="0" applyNumberFormat="1" applyFont="1" applyFill="1" applyBorder="1" applyAlignment="1" applyProtection="1">
      <alignment horizontal="center" vertical="center"/>
    </xf>
    <xf numFmtId="165" fontId="5" fillId="29" borderId="23" xfId="0" applyNumberFormat="1" applyFont="1" applyFill="1" applyBorder="1" applyAlignment="1" applyProtection="1">
      <alignment horizontal="center" vertical="center"/>
    </xf>
    <xf numFmtId="165" fontId="60" fillId="34" borderId="17" xfId="0" applyNumberFormat="1" applyFont="1" applyFill="1" applyBorder="1" applyAlignment="1" applyProtection="1">
      <alignment horizontal="center" vertical="center"/>
    </xf>
    <xf numFmtId="165" fontId="60" fillId="34" borderId="23" xfId="0" applyNumberFormat="1" applyFont="1" applyFill="1" applyBorder="1" applyAlignment="1" applyProtection="1">
      <alignment horizontal="center" vertical="center"/>
    </xf>
    <xf numFmtId="0" fontId="9" fillId="28" borderId="13" xfId="0" applyFont="1" applyFill="1" applyBorder="1" applyAlignment="1" applyProtection="1">
      <alignment horizontal="center" vertical="center"/>
    </xf>
    <xf numFmtId="0" fontId="9" fillId="28" borderId="33" xfId="0" applyFont="1" applyFill="1" applyBorder="1" applyAlignment="1" applyProtection="1">
      <alignment horizontal="center" vertical="center"/>
    </xf>
    <xf numFmtId="0" fontId="0" fillId="0" borderId="0" xfId="0" applyBorder="1" applyAlignment="1">
      <alignment wrapText="1"/>
    </xf>
    <xf numFmtId="0" fontId="5" fillId="0" borderId="17" xfId="0" applyFont="1" applyFill="1" applyBorder="1" applyAlignment="1" applyProtection="1">
      <alignment horizontal="center" vertical="center" wrapText="1"/>
    </xf>
    <xf numFmtId="3" fontId="5" fillId="36" borderId="17" xfId="0" applyNumberFormat="1" applyFont="1" applyFill="1" applyBorder="1" applyAlignment="1" applyProtection="1">
      <alignment horizontal="center" vertical="center"/>
    </xf>
    <xf numFmtId="0" fontId="5" fillId="24" borderId="17" xfId="0" applyFont="1" applyFill="1" applyBorder="1" applyAlignment="1" applyProtection="1">
      <alignment horizontal="center" vertical="center" wrapText="1"/>
    </xf>
    <xf numFmtId="0" fontId="0" fillId="0" borderId="20" xfId="0" applyBorder="1" applyAlignment="1" applyProtection="1">
      <alignment vertical="center" wrapText="1"/>
    </xf>
    <xf numFmtId="0" fontId="5" fillId="26" borderId="27" xfId="0" applyFont="1" applyFill="1" applyBorder="1" applyProtection="1"/>
    <xf numFmtId="0" fontId="5" fillId="26" borderId="60" xfId="0" applyFont="1" applyFill="1" applyBorder="1" applyProtection="1"/>
    <xf numFmtId="3" fontId="5" fillId="0" borderId="17" xfId="0" applyNumberFormat="1" applyFont="1" applyBorder="1" applyAlignment="1" applyProtection="1">
      <alignment horizontal="center" vertical="center" shrinkToFit="1"/>
    </xf>
    <xf numFmtId="0" fontId="5" fillId="0" borderId="17" xfId="0" applyFont="1" applyFill="1" applyBorder="1" applyAlignment="1" applyProtection="1">
      <alignment horizontal="center" vertical="center" wrapText="1"/>
    </xf>
    <xf numFmtId="3" fontId="5" fillId="29" borderId="34" xfId="0" applyNumberFormat="1" applyFont="1" applyFill="1" applyBorder="1" applyAlignment="1" applyProtection="1">
      <alignment horizontal="center" vertical="center"/>
    </xf>
    <xf numFmtId="3" fontId="60" fillId="34" borderId="34" xfId="0" applyNumberFormat="1" applyFont="1" applyFill="1" applyBorder="1" applyAlignment="1" applyProtection="1">
      <alignment horizontal="center" vertical="center"/>
    </xf>
    <xf numFmtId="0" fontId="55" fillId="0" borderId="20" xfId="0" applyFont="1" applyFill="1" applyBorder="1" applyAlignment="1" applyProtection="1">
      <alignment horizontal="left" vertical="top" wrapText="1"/>
    </xf>
    <xf numFmtId="0" fontId="54" fillId="0" borderId="18" xfId="0" applyFont="1" applyFill="1" applyBorder="1" applyAlignment="1" applyProtection="1">
      <alignment horizontal="center" vertical="center"/>
    </xf>
    <xf numFmtId="0" fontId="62" fillId="0" borderId="18" xfId="0" applyFont="1" applyFill="1" applyBorder="1" applyAlignment="1">
      <alignment horizontal="center" vertical="center"/>
    </xf>
    <xf numFmtId="0" fontId="62" fillId="0" borderId="20" xfId="0" applyFont="1" applyFill="1" applyBorder="1" applyAlignment="1">
      <alignment horizontal="center"/>
    </xf>
    <xf numFmtId="0" fontId="5" fillId="0" borderId="23" xfId="0" applyFont="1" applyFill="1" applyBorder="1" applyAlignment="1" applyProtection="1">
      <alignment horizontal="center" vertical="center"/>
    </xf>
    <xf numFmtId="0" fontId="0" fillId="0" borderId="0" xfId="0" applyFill="1"/>
    <xf numFmtId="0" fontId="5" fillId="0" borderId="20" xfId="0" applyFont="1" applyFill="1" applyBorder="1" applyAlignment="1" applyProtection="1">
      <alignment horizontal="center" vertical="center" wrapText="1"/>
    </xf>
    <xf numFmtId="0" fontId="4" fillId="0" borderId="20" xfId="0" applyFont="1" applyFill="1" applyBorder="1" applyAlignment="1">
      <alignment horizontal="center" vertical="center" wrapText="1"/>
    </xf>
    <xf numFmtId="0" fontId="38" fillId="0" borderId="77" xfId="0" applyFont="1" applyFill="1" applyBorder="1" applyAlignment="1" applyProtection="1">
      <alignment horizontal="right"/>
    </xf>
    <xf numFmtId="0" fontId="41" fillId="24" borderId="78" xfId="0" applyFont="1" applyFill="1" applyBorder="1" applyAlignment="1" applyProtection="1">
      <alignment horizontal="right"/>
    </xf>
    <xf numFmtId="0" fontId="41" fillId="24" borderId="79" xfId="0" applyFont="1" applyFill="1" applyBorder="1" applyAlignment="1" applyProtection="1">
      <alignment horizontal="center"/>
    </xf>
    <xf numFmtId="0" fontId="56" fillId="24" borderId="65" xfId="0" applyFont="1" applyFill="1" applyBorder="1" applyAlignment="1" applyProtection="1">
      <alignment horizontal="left"/>
    </xf>
    <xf numFmtId="0" fontId="41" fillId="24" borderId="66" xfId="0" applyFont="1" applyFill="1" applyBorder="1" applyAlignment="1" applyProtection="1">
      <alignment horizontal="center"/>
    </xf>
    <xf numFmtId="0" fontId="5" fillId="0" borderId="24" xfId="0" applyFont="1" applyFill="1" applyBorder="1" applyAlignment="1" applyProtection="1">
      <alignment horizontal="center" vertical="center" wrapText="1"/>
    </xf>
    <xf numFmtId="167" fontId="38" fillId="0" borderId="65" xfId="0" applyNumberFormat="1" applyFont="1" applyFill="1" applyBorder="1" applyAlignment="1" applyProtection="1">
      <alignment horizontal="right"/>
    </xf>
    <xf numFmtId="167" fontId="38" fillId="0" borderId="66" xfId="0" applyNumberFormat="1" applyFont="1" applyFill="1" applyBorder="1" applyAlignment="1" applyProtection="1">
      <alignment horizontal="right"/>
    </xf>
    <xf numFmtId="9" fontId="38" fillId="0" borderId="80" xfId="0" applyNumberFormat="1" applyFont="1" applyFill="1" applyBorder="1" applyAlignment="1" applyProtection="1">
      <alignment horizontal="right"/>
    </xf>
    <xf numFmtId="9" fontId="38" fillId="0" borderId="81" xfId="0" applyNumberFormat="1" applyFont="1" applyFill="1" applyBorder="1" applyAlignment="1" applyProtection="1">
      <alignment horizontal="right"/>
    </xf>
    <xf numFmtId="9" fontId="38" fillId="0" borderId="82" xfId="0" applyNumberFormat="1" applyFont="1" applyFill="1" applyBorder="1" applyAlignment="1" applyProtection="1">
      <alignment horizontal="right"/>
    </xf>
    <xf numFmtId="0" fontId="41" fillId="24" borderId="77" xfId="0" applyFont="1" applyFill="1" applyBorder="1" applyAlignment="1" applyProtection="1">
      <alignment horizontal="center"/>
    </xf>
    <xf numFmtId="0" fontId="41" fillId="24" borderId="78" xfId="0" applyFont="1" applyFill="1" applyBorder="1" applyAlignment="1" applyProtection="1">
      <alignment horizontal="center"/>
    </xf>
    <xf numFmtId="167" fontId="38" fillId="0" borderId="80" xfId="0" applyNumberFormat="1" applyFont="1" applyFill="1" applyBorder="1" applyAlignment="1" applyProtection="1">
      <alignment horizontal="right"/>
    </xf>
    <xf numFmtId="167" fontId="38" fillId="0" borderId="81" xfId="0" applyNumberFormat="1" applyFont="1" applyFill="1" applyBorder="1" applyAlignment="1" applyProtection="1">
      <alignment horizontal="right"/>
    </xf>
    <xf numFmtId="167" fontId="38" fillId="0" borderId="82" xfId="0" applyNumberFormat="1" applyFont="1" applyFill="1" applyBorder="1" applyAlignment="1" applyProtection="1">
      <alignment horizontal="right"/>
    </xf>
    <xf numFmtId="0" fontId="5" fillId="24" borderId="61" xfId="0" applyFont="1" applyFill="1" applyBorder="1" applyAlignment="1" applyProtection="1"/>
    <xf numFmtId="0" fontId="39" fillId="24" borderId="61" xfId="0" applyFont="1" applyFill="1" applyBorder="1" applyProtection="1"/>
    <xf numFmtId="0" fontId="5" fillId="24" borderId="0" xfId="0" applyFont="1" applyFill="1" applyBorder="1" applyAlignment="1" applyProtection="1">
      <alignment horizontal="left" wrapText="1"/>
    </xf>
    <xf numFmtId="0" fontId="4" fillId="0" borderId="0" xfId="47"/>
    <xf numFmtId="0" fontId="34" fillId="37" borderId="17" xfId="47" applyFont="1" applyFill="1" applyBorder="1" applyAlignment="1" applyProtection="1">
      <alignment horizontal="center" vertical="center"/>
    </xf>
    <xf numFmtId="0" fontId="34" fillId="24" borderId="18" xfId="47" applyFont="1" applyFill="1" applyBorder="1" applyAlignment="1" applyProtection="1">
      <alignment vertical="center"/>
    </xf>
    <xf numFmtId="0" fontId="34" fillId="37" borderId="47" xfId="47" applyFont="1" applyFill="1" applyBorder="1" applyAlignment="1" applyProtection="1">
      <alignment horizontal="center" vertical="center"/>
    </xf>
    <xf numFmtId="0" fontId="5" fillId="0" borderId="46" xfId="47" applyFont="1" applyBorder="1" applyAlignment="1" applyProtection="1">
      <alignment horizontal="center" textRotation="90" wrapText="1"/>
    </xf>
    <xf numFmtId="0" fontId="5" fillId="0" borderId="18" xfId="47" applyFont="1" applyBorder="1" applyAlignment="1" applyProtection="1">
      <alignment horizontal="center" textRotation="90" wrapText="1"/>
    </xf>
    <xf numFmtId="0" fontId="5" fillId="0" borderId="25" xfId="47" applyFont="1" applyBorder="1" applyAlignment="1" applyProtection="1">
      <alignment horizontal="center" textRotation="90" wrapText="1"/>
    </xf>
    <xf numFmtId="0" fontId="5" fillId="0" borderId="17" xfId="47" applyFont="1" applyBorder="1" applyAlignment="1" applyProtection="1">
      <alignment horizontal="center" wrapText="1"/>
    </xf>
    <xf numFmtId="0" fontId="45" fillId="0" borderId="17" xfId="47" applyFont="1" applyBorder="1" applyAlignment="1" applyProtection="1">
      <alignment vertical="top" wrapText="1"/>
    </xf>
    <xf numFmtId="0" fontId="43" fillId="25" borderId="17" xfId="47" applyFont="1" applyFill="1" applyBorder="1" applyAlignment="1" applyProtection="1">
      <alignment horizontal="center" vertical="center"/>
    </xf>
    <xf numFmtId="0" fontId="4" fillId="0" borderId="17" xfId="47" applyBorder="1" applyAlignment="1" applyProtection="1">
      <alignment vertical="top" wrapText="1"/>
    </xf>
    <xf numFmtId="0" fontId="43" fillId="26" borderId="17" xfId="47" applyFont="1" applyFill="1" applyBorder="1" applyAlignment="1" applyProtection="1">
      <alignment horizontal="center" vertical="center"/>
    </xf>
    <xf numFmtId="0" fontId="4" fillId="26" borderId="17" xfId="47" applyFill="1" applyBorder="1" applyAlignment="1" applyProtection="1">
      <alignment vertical="top" wrapText="1"/>
    </xf>
    <xf numFmtId="0" fontId="45" fillId="26" borderId="17" xfId="47" applyFont="1" applyFill="1" applyBorder="1" applyAlignment="1" applyProtection="1">
      <alignment vertical="top" wrapText="1"/>
    </xf>
    <xf numFmtId="0" fontId="5" fillId="24" borderId="17" xfId="47" applyFont="1" applyFill="1" applyBorder="1" applyAlignment="1" applyProtection="1"/>
    <xf numFmtId="0" fontId="5" fillId="24" borderId="17" xfId="47" applyFont="1" applyFill="1" applyBorder="1" applyProtection="1"/>
    <xf numFmtId="0" fontId="4" fillId="24" borderId="17" xfId="47" applyFont="1" applyFill="1" applyBorder="1" applyAlignment="1" applyProtection="1">
      <alignment vertical="top" wrapText="1"/>
    </xf>
    <xf numFmtId="0" fontId="4" fillId="0" borderId="0" xfId="47" applyAlignment="1"/>
    <xf numFmtId="0" fontId="63" fillId="24" borderId="61" xfId="0" applyFont="1" applyFill="1" applyBorder="1" applyAlignment="1" applyProtection="1">
      <alignment horizontal="center"/>
    </xf>
    <xf numFmtId="0" fontId="62" fillId="0" borderId="17" xfId="0" applyFont="1" applyFill="1" applyBorder="1" applyAlignment="1">
      <alignment horizontal="center" vertical="center"/>
    </xf>
    <xf numFmtId="3" fontId="5" fillId="29" borderId="20" xfId="0" applyNumberFormat="1" applyFont="1" applyFill="1" applyBorder="1" applyAlignment="1" applyProtection="1">
      <alignment horizontal="center" vertical="center"/>
    </xf>
    <xf numFmtId="3" fontId="60" fillId="34" borderId="20" xfId="0" applyNumberFormat="1" applyFont="1" applyFill="1" applyBorder="1" applyAlignment="1" applyProtection="1">
      <alignment horizontal="center" vertical="center"/>
    </xf>
    <xf numFmtId="0" fontId="5" fillId="0" borderId="17" xfId="0" applyFont="1" applyFill="1" applyBorder="1" applyAlignment="1" applyProtection="1">
      <alignment horizontal="center" vertical="center" wrapText="1"/>
    </xf>
    <xf numFmtId="0" fontId="9"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33" fillId="24" borderId="0" xfId="0" applyFont="1" applyFill="1" applyBorder="1" applyAlignment="1" applyProtection="1">
      <alignment horizontal="left" vertical="center" wrapText="1"/>
    </xf>
    <xf numFmtId="0" fontId="5" fillId="0" borderId="28" xfId="0" applyFont="1" applyFill="1" applyBorder="1" applyAlignment="1" applyProtection="1">
      <alignment horizontal="center" vertical="center" wrapText="1"/>
    </xf>
    <xf numFmtId="1" fontId="5" fillId="26" borderId="17" xfId="0" applyNumberFormat="1" applyFont="1" applyFill="1" applyBorder="1" applyAlignment="1" applyProtection="1">
      <alignment horizontal="center" vertical="center"/>
    </xf>
    <xf numFmtId="0" fontId="0" fillId="26" borderId="0" xfId="0" applyFill="1" applyBorder="1" applyAlignment="1"/>
    <xf numFmtId="0" fontId="0" fillId="0" borderId="0" xfId="0" applyBorder="1" applyAlignment="1">
      <alignment wrapText="1"/>
    </xf>
    <xf numFmtId="0" fontId="5" fillId="0" borderId="17" xfId="0" applyFont="1" applyFill="1" applyBorder="1" applyAlignment="1" applyProtection="1">
      <alignment horizontal="center" vertical="center" wrapText="1"/>
    </xf>
    <xf numFmtId="0" fontId="9"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38" fillId="26" borderId="84" xfId="47" applyFont="1" applyFill="1" applyBorder="1" applyAlignment="1" applyProtection="1">
      <alignment horizontal="right"/>
    </xf>
    <xf numFmtId="0" fontId="5" fillId="0" borderId="0" xfId="47" applyFont="1" applyFill="1" applyBorder="1" applyProtection="1"/>
    <xf numFmtId="0" fontId="5" fillId="26" borderId="0" xfId="47" applyFont="1" applyFill="1" applyBorder="1" applyProtection="1"/>
    <xf numFmtId="0" fontId="4" fillId="26" borderId="0" xfId="47" applyFill="1" applyBorder="1" applyProtection="1"/>
    <xf numFmtId="0" fontId="36" fillId="26" borderId="0" xfId="47" applyFont="1" applyFill="1" applyBorder="1" applyProtection="1"/>
    <xf numFmtId="0" fontId="38" fillId="26" borderId="0" xfId="47" applyFont="1" applyFill="1" applyBorder="1" applyAlignment="1" applyProtection="1">
      <alignment horizontal="right"/>
    </xf>
    <xf numFmtId="0" fontId="38" fillId="26" borderId="85" xfId="47" applyFont="1" applyFill="1" applyBorder="1" applyAlignment="1" applyProtection="1">
      <alignment horizontal="right"/>
    </xf>
    <xf numFmtId="0" fontId="5" fillId="26" borderId="87" xfId="47" applyFont="1" applyFill="1" applyBorder="1" applyProtection="1"/>
    <xf numFmtId="0" fontId="4" fillId="26" borderId="87" xfId="47" applyFill="1" applyBorder="1" applyProtection="1"/>
    <xf numFmtId="0" fontId="36" fillId="26" borderId="87" xfId="47" applyFont="1" applyFill="1" applyBorder="1" applyProtection="1"/>
    <xf numFmtId="0" fontId="38" fillId="26" borderId="87" xfId="47" applyFont="1" applyFill="1" applyBorder="1" applyAlignment="1" applyProtection="1">
      <alignment horizontal="right"/>
    </xf>
    <xf numFmtId="0" fontId="38" fillId="26" borderId="88" xfId="47" applyFont="1" applyFill="1" applyBorder="1" applyAlignment="1" applyProtection="1">
      <alignment horizontal="right"/>
    </xf>
    <xf numFmtId="0" fontId="9" fillId="26" borderId="0" xfId="47" applyFont="1" applyFill="1" applyBorder="1" applyAlignment="1" applyProtection="1">
      <alignment horizontal="center"/>
    </xf>
    <xf numFmtId="0" fontId="5" fillId="26" borderId="85" xfId="47" applyFont="1" applyFill="1" applyBorder="1" applyProtection="1"/>
    <xf numFmtId="0" fontId="5" fillId="26" borderId="84" xfId="47" applyFont="1" applyFill="1" applyBorder="1" applyProtection="1"/>
    <xf numFmtId="0" fontId="5" fillId="26" borderId="92" xfId="47" applyFont="1" applyFill="1" applyBorder="1" applyProtection="1"/>
    <xf numFmtId="0" fontId="5" fillId="26" borderId="92" xfId="47" applyFont="1" applyFill="1" applyBorder="1"/>
    <xf numFmtId="0" fontId="5" fillId="26" borderId="85" xfId="47" applyFont="1" applyFill="1" applyBorder="1"/>
    <xf numFmtId="0" fontId="5" fillId="26" borderId="84" xfId="47" applyFont="1" applyFill="1" applyBorder="1"/>
    <xf numFmtId="0" fontId="60" fillId="0" borderId="0" xfId="47" applyFont="1" applyFill="1" applyAlignment="1">
      <alignment textRotation="90"/>
    </xf>
    <xf numFmtId="0" fontId="60" fillId="0" borderId="0" xfId="47" applyFont="1"/>
    <xf numFmtId="0" fontId="5" fillId="0" borderId="0" xfId="47" applyFont="1"/>
    <xf numFmtId="0" fontId="4" fillId="26" borderId="92" xfId="47" applyFill="1" applyBorder="1"/>
    <xf numFmtId="0" fontId="5" fillId="39" borderId="97" xfId="47" applyFont="1" applyFill="1" applyBorder="1" applyAlignment="1">
      <alignment vertical="center" wrapText="1"/>
    </xf>
    <xf numFmtId="1" fontId="5" fillId="0" borderId="70" xfId="47" applyNumberFormat="1" applyFont="1" applyBorder="1" applyAlignment="1">
      <alignment horizontal="center" vertical="center"/>
    </xf>
    <xf numFmtId="1" fontId="9" fillId="39" borderId="98" xfId="47" applyNumberFormat="1" applyFont="1" applyFill="1" applyBorder="1" applyAlignment="1">
      <alignment horizontal="center" vertical="center"/>
    </xf>
    <xf numFmtId="0" fontId="4" fillId="26" borderId="85" xfId="47" applyFill="1" applyBorder="1"/>
    <xf numFmtId="0" fontId="4" fillId="26" borderId="84" xfId="47" applyFill="1" applyBorder="1"/>
    <xf numFmtId="0" fontId="4" fillId="0" borderId="0" xfId="47" applyFill="1"/>
    <xf numFmtId="0" fontId="5" fillId="39" borderId="20" xfId="47" applyFont="1" applyFill="1" applyBorder="1" applyAlignment="1">
      <alignment vertical="center" wrapText="1"/>
    </xf>
    <xf numFmtId="9" fontId="5" fillId="0" borderId="17" xfId="47" applyNumberFormat="1" applyFont="1" applyBorder="1" applyAlignment="1">
      <alignment horizontal="center" vertical="center"/>
    </xf>
    <xf numFmtId="9" fontId="9" fillId="39" borderId="21" xfId="47" applyNumberFormat="1" applyFont="1" applyFill="1" applyBorder="1" applyAlignment="1">
      <alignment horizontal="center" vertical="center"/>
    </xf>
    <xf numFmtId="9" fontId="5" fillId="0" borderId="73" xfId="47" applyNumberFormat="1" applyFont="1" applyBorder="1" applyAlignment="1">
      <alignment horizontal="center" vertical="center"/>
    </xf>
    <xf numFmtId="9" fontId="9" fillId="39" borderId="101" xfId="47" applyNumberFormat="1" applyFont="1" applyFill="1" applyBorder="1" applyAlignment="1">
      <alignment horizontal="center" vertical="center"/>
    </xf>
    <xf numFmtId="0" fontId="5" fillId="26" borderId="97" xfId="47" applyFont="1" applyFill="1" applyBorder="1" applyAlignment="1">
      <alignment vertical="center" wrapText="1"/>
    </xf>
    <xf numFmtId="1" fontId="9" fillId="0" borderId="98" xfId="47" applyNumberFormat="1" applyFont="1" applyBorder="1" applyAlignment="1">
      <alignment horizontal="center" vertical="center"/>
    </xf>
    <xf numFmtId="0" fontId="5" fillId="26" borderId="20" xfId="47" applyFont="1" applyFill="1" applyBorder="1" applyAlignment="1">
      <alignment vertical="center" wrapText="1"/>
    </xf>
    <xf numFmtId="9" fontId="9" fillId="0" borderId="21" xfId="47" applyNumberFormat="1" applyFont="1" applyBorder="1" applyAlignment="1">
      <alignment horizontal="center" vertical="center"/>
    </xf>
    <xf numFmtId="0" fontId="5" fillId="26" borderId="100" xfId="47" applyFont="1" applyFill="1" applyBorder="1" applyAlignment="1">
      <alignment vertical="center" wrapText="1"/>
    </xf>
    <xf numFmtId="9" fontId="9" fillId="0" borderId="101" xfId="47" applyNumberFormat="1" applyFont="1" applyBorder="1" applyAlignment="1">
      <alignment horizontal="center" vertical="center"/>
    </xf>
    <xf numFmtId="0" fontId="64" fillId="39" borderId="75" xfId="34" applyFont="1" applyFill="1" applyBorder="1" applyAlignment="1" applyProtection="1">
      <alignment horizontal="center" vertical="center" wrapText="1"/>
    </xf>
    <xf numFmtId="0" fontId="5" fillId="39" borderId="102" xfId="47" applyFont="1" applyFill="1" applyBorder="1" applyAlignment="1">
      <alignment vertical="center" wrapText="1"/>
    </xf>
    <xf numFmtId="1" fontId="5" fillId="0" borderId="76" xfId="47" applyNumberFormat="1" applyFont="1" applyBorder="1" applyAlignment="1">
      <alignment horizontal="center" vertical="center"/>
    </xf>
    <xf numFmtId="1" fontId="9" fillId="39" borderId="103" xfId="47" applyNumberFormat="1" applyFont="1" applyFill="1" applyBorder="1" applyAlignment="1">
      <alignment horizontal="center" vertical="center"/>
    </xf>
    <xf numFmtId="0" fontId="5" fillId="39" borderId="97" xfId="47" applyFont="1" applyFill="1" applyBorder="1" applyAlignment="1" applyProtection="1">
      <alignment vertical="center" wrapText="1"/>
    </xf>
    <xf numFmtId="0" fontId="5" fillId="39" borderId="20" xfId="47" applyFont="1" applyFill="1" applyBorder="1" applyAlignment="1" applyProtection="1">
      <alignment vertical="center" wrapText="1"/>
    </xf>
    <xf numFmtId="0" fontId="5" fillId="39" borderId="100" xfId="47" applyFont="1" applyFill="1" applyBorder="1" applyAlignment="1" applyProtection="1">
      <alignment vertical="center" wrapText="1"/>
    </xf>
    <xf numFmtId="0" fontId="64" fillId="26" borderId="75" xfId="34" applyFont="1" applyFill="1" applyBorder="1" applyAlignment="1" applyProtection="1">
      <alignment horizontal="center" vertical="center" wrapText="1"/>
    </xf>
    <xf numFmtId="0" fontId="5" fillId="26" borderId="102" xfId="47" applyFont="1" applyFill="1" applyBorder="1" applyAlignment="1">
      <alignment vertical="center" wrapText="1"/>
    </xf>
    <xf numFmtId="1" fontId="9" fillId="0" borderId="103" xfId="47" applyNumberFormat="1" applyFont="1" applyBorder="1" applyAlignment="1">
      <alignment horizontal="center" vertical="center"/>
    </xf>
    <xf numFmtId="0" fontId="5" fillId="26" borderId="52" xfId="47" applyFont="1" applyFill="1" applyBorder="1" applyProtection="1"/>
    <xf numFmtId="0" fontId="9" fillId="26" borderId="52" xfId="47" applyFont="1" applyFill="1" applyBorder="1" applyAlignment="1" applyProtection="1">
      <alignment horizontal="center"/>
    </xf>
    <xf numFmtId="0" fontId="5" fillId="26" borderId="60" xfId="47" applyFont="1" applyFill="1" applyBorder="1" applyProtection="1"/>
    <xf numFmtId="0" fontId="5" fillId="0" borderId="0" xfId="47" applyFont="1" applyFill="1" applyProtection="1"/>
    <xf numFmtId="0" fontId="9" fillId="0" borderId="0" xfId="47" applyFont="1" applyFill="1" applyAlignment="1" applyProtection="1">
      <alignment horizontal="center"/>
    </xf>
    <xf numFmtId="0" fontId="5" fillId="39" borderId="19" xfId="47" applyFont="1" applyFill="1" applyBorder="1" applyAlignment="1">
      <alignment vertical="center" wrapText="1"/>
    </xf>
    <xf numFmtId="9" fontId="5" fillId="0" borderId="18" xfId="47" applyNumberFormat="1" applyFont="1" applyBorder="1" applyAlignment="1">
      <alignment horizontal="center" vertical="center"/>
    </xf>
    <xf numFmtId="9" fontId="9" fillId="39" borderId="29" xfId="47" applyNumberFormat="1" applyFont="1" applyFill="1" applyBorder="1" applyAlignment="1">
      <alignment horizontal="center" vertical="center"/>
    </xf>
    <xf numFmtId="1" fontId="52" fillId="40" borderId="24" xfId="0" applyNumberFormat="1" applyFont="1" applyFill="1" applyBorder="1" applyAlignment="1" applyProtection="1">
      <alignment horizontal="center"/>
    </xf>
    <xf numFmtId="1" fontId="52" fillId="40" borderId="17" xfId="0" applyNumberFormat="1" applyFont="1" applyFill="1" applyBorder="1" applyAlignment="1" applyProtection="1">
      <alignment horizontal="center"/>
    </xf>
    <xf numFmtId="1" fontId="52" fillId="40" borderId="23" xfId="0" applyNumberFormat="1" applyFont="1" applyFill="1" applyBorder="1" applyAlignment="1" applyProtection="1">
      <alignment horizontal="center"/>
    </xf>
    <xf numFmtId="0" fontId="66" fillId="24" borderId="61" xfId="0" applyFont="1" applyFill="1" applyBorder="1" applyAlignment="1" applyProtection="1">
      <alignment horizontal="center"/>
    </xf>
    <xf numFmtId="0" fontId="34" fillId="26" borderId="61" xfId="0" applyFont="1" applyFill="1" applyBorder="1" applyAlignment="1" applyProtection="1">
      <alignment wrapText="1"/>
    </xf>
    <xf numFmtId="0" fontId="0" fillId="26" borderId="0" xfId="0" applyFill="1" applyBorder="1" applyAlignment="1" applyProtection="1"/>
    <xf numFmtId="0" fontId="0" fillId="26" borderId="42" xfId="0" applyFill="1" applyBorder="1" applyAlignment="1" applyProtection="1"/>
    <xf numFmtId="0" fontId="5" fillId="24" borderId="87" xfId="0" applyFont="1" applyFill="1" applyBorder="1" applyProtection="1"/>
    <xf numFmtId="1" fontId="5" fillId="29" borderId="17" xfId="47" applyNumberFormat="1" applyFont="1" applyFill="1" applyBorder="1" applyAlignment="1" applyProtection="1">
      <alignment horizontal="center" vertical="center" wrapText="1"/>
    </xf>
    <xf numFmtId="0" fontId="4" fillId="0" borderId="0" xfId="47" applyFont="1"/>
    <xf numFmtId="0" fontId="4" fillId="0" borderId="0" xfId="47" applyAlignment="1">
      <alignment wrapText="1"/>
    </xf>
    <xf numFmtId="0" fontId="5" fillId="29" borderId="17" xfId="47" applyFont="1" applyFill="1" applyBorder="1" applyAlignment="1" applyProtection="1">
      <alignment horizontal="center" vertical="center" wrapText="1"/>
    </xf>
    <xf numFmtId="0" fontId="4" fillId="0" borderId="0" xfId="47" applyAlignment="1">
      <alignment horizontal="left"/>
    </xf>
    <xf numFmtId="1" fontId="35" fillId="0" borderId="17" xfId="46" applyNumberFormat="1" applyFont="1" applyFill="1" applyBorder="1" applyAlignment="1" applyProtection="1">
      <alignment horizontal="center" vertical="center" wrapText="1"/>
      <protection locked="0"/>
    </xf>
    <xf numFmtId="1" fontId="35" fillId="40" borderId="69" xfId="0" applyNumberFormat="1" applyFont="1" applyFill="1" applyBorder="1" applyAlignment="1" applyProtection="1">
      <alignment horizontal="center" vertical="center" wrapText="1"/>
      <protection locked="0"/>
    </xf>
    <xf numFmtId="1" fontId="35" fillId="40" borderId="70" xfId="0" applyNumberFormat="1" applyFont="1" applyFill="1" applyBorder="1" applyAlignment="1" applyProtection="1">
      <alignment horizontal="center" vertical="center" wrapText="1"/>
      <protection locked="0"/>
    </xf>
    <xf numFmtId="1" fontId="35" fillId="40" borderId="71" xfId="0" applyNumberFormat="1" applyFont="1" applyFill="1" applyBorder="1" applyAlignment="1" applyProtection="1">
      <alignment horizontal="center" vertical="center" wrapText="1"/>
      <protection locked="0"/>
    </xf>
    <xf numFmtId="1" fontId="35" fillId="40" borderId="24" xfId="0" applyNumberFormat="1" applyFont="1" applyFill="1" applyBorder="1" applyAlignment="1" applyProtection="1">
      <alignment horizontal="center" vertical="center" wrapText="1"/>
      <protection locked="0"/>
    </xf>
    <xf numFmtId="1" fontId="35" fillId="40" borderId="17" xfId="0" applyNumberFormat="1" applyFont="1" applyFill="1" applyBorder="1" applyAlignment="1" applyProtection="1">
      <alignment horizontal="center" vertical="center" wrapText="1"/>
      <protection locked="0"/>
    </xf>
    <xf numFmtId="1" fontId="35" fillId="40" borderId="23" xfId="0" applyNumberFormat="1" applyFont="1" applyFill="1" applyBorder="1" applyAlignment="1" applyProtection="1">
      <alignment horizontal="center" vertical="center" wrapText="1"/>
      <protection locked="0"/>
    </xf>
    <xf numFmtId="1" fontId="35" fillId="0" borderId="17" xfId="0" applyNumberFormat="1" applyFont="1" applyFill="1" applyBorder="1" applyAlignment="1" applyProtection="1">
      <alignment horizontal="center" vertical="center" wrapText="1"/>
      <protection locked="0"/>
    </xf>
    <xf numFmtId="1" fontId="35" fillId="0" borderId="23" xfId="0" applyNumberFormat="1" applyFont="1" applyFill="1" applyBorder="1" applyAlignment="1" applyProtection="1">
      <alignment horizontal="center" vertical="center" wrapText="1"/>
    </xf>
    <xf numFmtId="1" fontId="35" fillId="0" borderId="23" xfId="0" quotePrefix="1" applyNumberFormat="1" applyFont="1" applyFill="1" applyBorder="1" applyAlignment="1" applyProtection="1">
      <alignment horizontal="center" vertical="center" wrapText="1"/>
    </xf>
    <xf numFmtId="1" fontId="52" fillId="40" borderId="26" xfId="0" applyNumberFormat="1" applyFont="1" applyFill="1" applyBorder="1" applyAlignment="1" applyProtection="1">
      <alignment horizontal="center"/>
    </xf>
    <xf numFmtId="1" fontId="52" fillId="40" borderId="18" xfId="0" applyNumberFormat="1" applyFont="1" applyFill="1" applyBorder="1" applyAlignment="1" applyProtection="1">
      <alignment horizontal="center"/>
    </xf>
    <xf numFmtId="1" fontId="52" fillId="40" borderId="25" xfId="0" applyNumberFormat="1" applyFont="1" applyFill="1" applyBorder="1" applyAlignment="1" applyProtection="1">
      <alignment horizontal="center"/>
    </xf>
    <xf numFmtId="0" fontId="5" fillId="0" borderId="17" xfId="0" applyFont="1" applyFill="1" applyBorder="1" applyAlignment="1" applyProtection="1">
      <alignment vertical="center"/>
    </xf>
    <xf numFmtId="167" fontId="62" fillId="0" borderId="17" xfId="0" applyNumberFormat="1" applyFont="1" applyFill="1" applyBorder="1" applyAlignment="1">
      <alignment horizontal="right"/>
    </xf>
    <xf numFmtId="0" fontId="62" fillId="0" borderId="23" xfId="0" applyFont="1" applyFill="1" applyBorder="1" applyAlignment="1">
      <alignment horizontal="center"/>
    </xf>
    <xf numFmtId="0" fontId="62" fillId="0" borderId="23" xfId="0" applyFont="1" applyFill="1" applyBorder="1" applyAlignment="1">
      <alignment horizontal="center" vertical="center"/>
    </xf>
    <xf numFmtId="0" fontId="5" fillId="0" borderId="17" xfId="0" applyFont="1" applyFill="1" applyBorder="1" applyAlignment="1" applyProtection="1">
      <alignment horizontal="center" vertical="center"/>
    </xf>
    <xf numFmtId="0" fontId="62" fillId="0" borderId="17" xfId="0" applyFont="1" applyFill="1" applyBorder="1" applyAlignment="1" applyProtection="1">
      <alignment horizontal="center" vertical="center"/>
    </xf>
    <xf numFmtId="0" fontId="62" fillId="0" borderId="16" xfId="0" applyFont="1" applyFill="1" applyBorder="1" applyAlignment="1">
      <alignment horizontal="center" vertical="center"/>
    </xf>
    <xf numFmtId="0" fontId="62" fillId="0" borderId="23" xfId="0" applyFont="1" applyFill="1" applyBorder="1" applyAlignment="1" applyProtection="1">
      <alignment horizontal="center" vertical="center"/>
    </xf>
    <xf numFmtId="0" fontId="8" fillId="0" borderId="0" xfId="0" applyFont="1" applyFill="1"/>
    <xf numFmtId="0" fontId="35" fillId="0" borderId="0" xfId="0" applyFont="1" applyFill="1"/>
    <xf numFmtId="0" fontId="5" fillId="0" borderId="0" xfId="0" applyFont="1" applyFill="1" applyBorder="1" applyAlignment="1" applyProtection="1">
      <alignment vertical="center"/>
      <protection locked="0"/>
    </xf>
    <xf numFmtId="0" fontId="38" fillId="0" borderId="17" xfId="0" applyFont="1" applyFill="1" applyBorder="1" applyAlignment="1" applyProtection="1">
      <alignment horizontal="center" vertical="center"/>
    </xf>
    <xf numFmtId="0" fontId="5" fillId="0" borderId="52" xfId="0" applyFont="1" applyFill="1" applyBorder="1" applyProtection="1"/>
    <xf numFmtId="3" fontId="5" fillId="0" borderId="23" xfId="0" applyNumberFormat="1" applyFont="1" applyFill="1" applyBorder="1" applyAlignment="1" applyProtection="1">
      <alignment horizontal="center" vertical="center"/>
    </xf>
    <xf numFmtId="0" fontId="54" fillId="0" borderId="16" xfId="0" applyFont="1" applyFill="1" applyBorder="1" applyAlignment="1" applyProtection="1">
      <alignment horizontal="center" vertical="center" wrapText="1"/>
    </xf>
    <xf numFmtId="0" fontId="55" fillId="0" borderId="16" xfId="0" applyFont="1" applyFill="1" applyBorder="1" applyAlignment="1" applyProtection="1">
      <alignment horizontal="right"/>
    </xf>
    <xf numFmtId="0" fontId="5" fillId="0" borderId="10" xfId="0" applyFont="1" applyFill="1" applyBorder="1" applyProtection="1"/>
    <xf numFmtId="0" fontId="52" fillId="0" borderId="0" xfId="0" applyFont="1" applyFill="1" applyBorder="1" applyAlignment="1">
      <alignment horizontal="left"/>
    </xf>
    <xf numFmtId="0" fontId="38" fillId="0" borderId="0" xfId="0" applyFont="1" applyFill="1" applyBorder="1" applyAlignment="1">
      <alignment horizontal="right"/>
    </xf>
    <xf numFmtId="0" fontId="62" fillId="0" borderId="18" xfId="0" applyFont="1" applyFill="1" applyBorder="1" applyAlignment="1">
      <alignment horizontal="center" vertical="center" wrapText="1"/>
    </xf>
    <xf numFmtId="0" fontId="55" fillId="0" borderId="18" xfId="0" applyFont="1" applyFill="1" applyBorder="1" applyAlignment="1">
      <alignment horizontal="right"/>
    </xf>
    <xf numFmtId="0" fontId="55" fillId="0" borderId="17" xfId="0" applyFont="1" applyFill="1" applyBorder="1" applyAlignment="1">
      <alignment horizontal="right"/>
    </xf>
    <xf numFmtId="167" fontId="38" fillId="0" borderId="16" xfId="0" applyNumberFormat="1" applyFont="1" applyFill="1" applyBorder="1" applyAlignment="1" applyProtection="1">
      <alignment horizontal="center" vertical="center"/>
    </xf>
    <xf numFmtId="1" fontId="62" fillId="0" borderId="17" xfId="0" applyNumberFormat="1" applyFont="1" applyFill="1" applyBorder="1" applyAlignment="1">
      <alignment horizontal="center" vertical="center"/>
    </xf>
    <xf numFmtId="1" fontId="62" fillId="0" borderId="17" xfId="0" applyNumberFormat="1" applyFont="1" applyFill="1" applyBorder="1" applyAlignment="1">
      <alignment horizontal="center"/>
    </xf>
    <xf numFmtId="0" fontId="38" fillId="0" borderId="59" xfId="0" applyFont="1" applyFill="1" applyBorder="1" applyAlignment="1" applyProtection="1">
      <alignment horizontal="right"/>
    </xf>
    <xf numFmtId="1" fontId="5" fillId="0" borderId="17" xfId="0" applyNumberFormat="1" applyFont="1" applyFill="1" applyBorder="1" applyAlignment="1" applyProtection="1">
      <alignment horizontal="center" vertical="center"/>
    </xf>
    <xf numFmtId="0" fontId="62" fillId="0" borderId="23" xfId="0" applyFont="1" applyFill="1" applyBorder="1" applyAlignment="1" applyProtection="1">
      <alignment vertical="center"/>
    </xf>
    <xf numFmtId="0" fontId="62" fillId="0" borderId="17" xfId="0" applyFont="1" applyFill="1" applyBorder="1" applyAlignment="1" applyProtection="1">
      <alignment vertical="center"/>
    </xf>
    <xf numFmtId="0" fontId="62" fillId="0" borderId="16" xfId="0" applyFont="1" applyFill="1" applyBorder="1" applyAlignment="1" applyProtection="1">
      <alignment horizontal="center"/>
    </xf>
    <xf numFmtId="0" fontId="62" fillId="0" borderId="17" xfId="0" applyFont="1" applyFill="1" applyBorder="1" applyAlignment="1" applyProtection="1">
      <alignment horizontal="center"/>
    </xf>
    <xf numFmtId="0" fontId="56" fillId="0" borderId="17" xfId="0" applyFont="1" applyFill="1" applyBorder="1" applyAlignment="1" applyProtection="1">
      <alignment horizontal="center" vertical="center"/>
    </xf>
    <xf numFmtId="0" fontId="5" fillId="0" borderId="0" xfId="0" applyFont="1" applyFill="1"/>
    <xf numFmtId="0" fontId="5" fillId="0" borderId="0" xfId="0" applyFont="1" applyFill="1" applyBorder="1" applyAlignment="1">
      <alignment horizontal="left"/>
    </xf>
    <xf numFmtId="0" fontId="38" fillId="0" borderId="0" xfId="0" applyFont="1" applyFill="1" applyBorder="1" applyAlignment="1">
      <alignment horizontal="right" vertical="center"/>
    </xf>
    <xf numFmtId="0" fontId="62" fillId="0" borderId="0" xfId="0" applyFont="1" applyFill="1" applyBorder="1" applyAlignment="1">
      <alignment horizontal="left" vertical="center"/>
    </xf>
    <xf numFmtId="0" fontId="38" fillId="0" borderId="0" xfId="0" applyFont="1" applyFill="1" applyBorder="1" applyAlignment="1" applyProtection="1">
      <alignment horizontal="right" wrapText="1"/>
    </xf>
    <xf numFmtId="3" fontId="62" fillId="0" borderId="17" xfId="0" applyNumberFormat="1" applyFont="1" applyFill="1" applyBorder="1" applyAlignment="1">
      <alignment horizontal="center" vertical="center"/>
    </xf>
    <xf numFmtId="0" fontId="36" fillId="0" borderId="47" xfId="0" applyFont="1" applyFill="1" applyBorder="1" applyProtection="1"/>
    <xf numFmtId="0" fontId="5" fillId="0" borderId="18" xfId="47" applyFont="1" applyFill="1" applyBorder="1" applyAlignment="1" applyProtection="1">
      <alignment horizontal="center" vertical="center" textRotation="180" wrapText="1"/>
    </xf>
    <xf numFmtId="0" fontId="5" fillId="0" borderId="19" xfId="47" applyFont="1" applyFill="1" applyBorder="1" applyAlignment="1" applyProtection="1">
      <alignment horizontal="center" vertical="center" textRotation="180" wrapText="1"/>
    </xf>
    <xf numFmtId="0" fontId="5" fillId="29" borderId="17" xfId="47" applyFont="1" applyFill="1" applyBorder="1" applyAlignment="1" applyProtection="1">
      <alignment horizontal="center" vertical="center" textRotation="180" wrapText="1"/>
    </xf>
    <xf numFmtId="0" fontId="5" fillId="0" borderId="17" xfId="47" applyFont="1" applyBorder="1" applyAlignment="1">
      <alignment horizontal="center" vertical="center" textRotation="180"/>
    </xf>
    <xf numFmtId="0" fontId="67" fillId="26" borderId="52" xfId="47" applyFont="1" applyFill="1" applyBorder="1" applyAlignment="1">
      <alignment horizontal="centerContinuous" vertical="center"/>
    </xf>
    <xf numFmtId="0" fontId="67" fillId="26" borderId="60" xfId="47" applyFont="1" applyFill="1" applyBorder="1" applyAlignment="1">
      <alignment horizontal="centerContinuous" vertical="center"/>
    </xf>
    <xf numFmtId="0" fontId="68" fillId="41" borderId="17" xfId="47" applyFont="1" applyFill="1" applyBorder="1" applyAlignment="1" applyProtection="1">
      <alignment horizontal="left" vertical="top" wrapText="1"/>
    </xf>
    <xf numFmtId="0" fontId="5" fillId="42" borderId="20" xfId="47" applyFont="1" applyFill="1" applyBorder="1" applyAlignment="1" applyProtection="1">
      <alignment horizontal="left" vertical="top" wrapText="1"/>
    </xf>
    <xf numFmtId="0" fontId="5" fillId="0" borderId="17" xfId="47" applyFont="1" applyBorder="1" applyAlignment="1">
      <alignment horizontal="left" wrapText="1"/>
    </xf>
    <xf numFmtId="0" fontId="5" fillId="0" borderId="17" xfId="47" applyFont="1" applyBorder="1" applyAlignment="1">
      <alignment wrapText="1"/>
    </xf>
    <xf numFmtId="0" fontId="5" fillId="0" borderId="20" xfId="47" applyFont="1" applyBorder="1" applyAlignment="1">
      <alignment wrapText="1"/>
    </xf>
    <xf numFmtId="0" fontId="5" fillId="0" borderId="17" xfId="47" applyFont="1" applyBorder="1"/>
    <xf numFmtId="0" fontId="5" fillId="0" borderId="20" xfId="47" applyFont="1" applyFill="1" applyBorder="1" applyAlignment="1" applyProtection="1">
      <alignment horizontal="left" vertical="top" wrapText="1"/>
    </xf>
    <xf numFmtId="0" fontId="5" fillId="0" borderId="20" xfId="47" applyFont="1" applyBorder="1" applyAlignment="1">
      <alignment horizontal="left" wrapText="1"/>
    </xf>
    <xf numFmtId="1" fontId="5" fillId="0" borderId="17" xfId="46" applyNumberFormat="1" applyFont="1" applyFill="1" applyBorder="1" applyAlignment="1" applyProtection="1">
      <alignment horizontal="left" vertical="center" wrapText="1"/>
      <protection locked="0"/>
    </xf>
    <xf numFmtId="1" fontId="5" fillId="0" borderId="17" xfId="47" applyNumberFormat="1" applyFont="1" applyFill="1" applyBorder="1" applyAlignment="1" applyProtection="1">
      <alignment horizontal="left" vertical="center" wrapText="1"/>
      <protection locked="0"/>
    </xf>
    <xf numFmtId="0" fontId="9" fillId="43" borderId="20" xfId="47" applyFont="1" applyFill="1" applyBorder="1" applyAlignment="1" applyProtection="1">
      <alignment horizontal="left" vertical="top" wrapText="1"/>
    </xf>
    <xf numFmtId="49" fontId="5" fillId="0" borderId="20" xfId="47" quotePrefix="1" applyNumberFormat="1" applyFont="1" applyFill="1" applyBorder="1" applyAlignment="1" applyProtection="1">
      <alignment horizontal="left" vertical="top" wrapText="1"/>
    </xf>
    <xf numFmtId="0" fontId="5" fillId="24" borderId="20" xfId="47" applyFont="1" applyFill="1" applyBorder="1" applyAlignment="1">
      <alignment horizontal="left" vertical="top" wrapText="1"/>
    </xf>
    <xf numFmtId="0" fontId="5" fillId="24" borderId="20" xfId="47" applyFont="1" applyFill="1" applyBorder="1" applyAlignment="1" applyProtection="1">
      <alignment horizontal="left" vertical="top" wrapText="1"/>
    </xf>
    <xf numFmtId="1" fontId="5" fillId="24" borderId="17" xfId="47" applyNumberFormat="1" applyFont="1" applyFill="1" applyBorder="1" applyAlignment="1" applyProtection="1">
      <alignment horizontal="left" vertical="center" wrapText="1"/>
      <protection locked="0"/>
    </xf>
    <xf numFmtId="1" fontId="5" fillId="24" borderId="17" xfId="46" applyNumberFormat="1" applyFont="1" applyFill="1" applyBorder="1" applyAlignment="1" applyProtection="1">
      <alignment horizontal="left" vertical="center" wrapText="1"/>
      <protection locked="0"/>
    </xf>
    <xf numFmtId="0" fontId="5" fillId="0" borderId="17" xfId="47" applyFont="1" applyFill="1" applyBorder="1" applyAlignment="1">
      <alignment horizontal="left" wrapText="1"/>
    </xf>
    <xf numFmtId="1" fontId="5" fillId="26" borderId="23" xfId="47" applyNumberFormat="1" applyFont="1" applyFill="1" applyBorder="1" applyAlignment="1" applyProtection="1">
      <alignment horizontal="left" vertical="center" wrapText="1"/>
    </xf>
    <xf numFmtId="0" fontId="5" fillId="26" borderId="17" xfId="47" applyFont="1" applyFill="1" applyBorder="1" applyAlignment="1">
      <alignment horizontal="left" wrapText="1"/>
    </xf>
    <xf numFmtId="0" fontId="5" fillId="44" borderId="20" xfId="47" applyFont="1" applyFill="1" applyBorder="1" applyAlignment="1" applyProtection="1">
      <alignment horizontal="left" vertical="top" wrapText="1"/>
    </xf>
    <xf numFmtId="0" fontId="5" fillId="26" borderId="20" xfId="47" applyFont="1" applyFill="1" applyBorder="1" applyAlignment="1" applyProtection="1">
      <alignment horizontal="left" vertical="top" wrapText="1"/>
    </xf>
    <xf numFmtId="1" fontId="5" fillId="26" borderId="17" xfId="47" applyNumberFormat="1" applyFont="1" applyFill="1" applyBorder="1" applyAlignment="1" applyProtection="1">
      <alignment horizontal="left" vertical="center" wrapText="1"/>
      <protection locked="0"/>
    </xf>
    <xf numFmtId="1" fontId="5" fillId="26" borderId="17" xfId="46" applyNumberFormat="1" applyFont="1" applyFill="1" applyBorder="1" applyAlignment="1" applyProtection="1">
      <alignment horizontal="left" vertical="center" wrapText="1"/>
      <protection locked="0"/>
    </xf>
    <xf numFmtId="0" fontId="5" fillId="0" borderId="17" xfId="47" applyFont="1" applyFill="1" applyBorder="1" applyAlignment="1" applyProtection="1">
      <alignment horizontal="left" vertical="center" wrapText="1" indent="1"/>
    </xf>
    <xf numFmtId="0" fontId="68" fillId="40" borderId="17" xfId="47" applyFont="1" applyFill="1" applyBorder="1" applyAlignment="1" applyProtection="1">
      <alignment horizontal="left" vertical="top" wrapText="1"/>
    </xf>
    <xf numFmtId="0" fontId="68" fillId="0" borderId="17" xfId="47" applyFont="1" applyFill="1" applyBorder="1" applyAlignment="1" applyProtection="1">
      <alignment horizontal="left" vertical="top" wrapText="1"/>
    </xf>
    <xf numFmtId="0" fontId="68" fillId="0" borderId="17" xfId="47" applyFont="1" applyFill="1" applyBorder="1" applyAlignment="1">
      <alignment horizontal="left" vertical="top" wrapText="1"/>
    </xf>
    <xf numFmtId="1" fontId="5" fillId="26" borderId="17" xfId="47" applyNumberFormat="1" applyFont="1" applyFill="1" applyBorder="1" applyAlignment="1" applyProtection="1">
      <alignment horizontal="left" vertical="center" wrapText="1"/>
    </xf>
    <xf numFmtId="0" fontId="5" fillId="43" borderId="17" xfId="47" applyFont="1" applyFill="1" applyBorder="1" applyAlignment="1">
      <alignment wrapText="1"/>
    </xf>
    <xf numFmtId="0" fontId="5" fillId="43" borderId="17" xfId="47" applyFont="1" applyFill="1" applyBorder="1" applyAlignment="1" applyProtection="1">
      <alignment horizontal="center" vertical="center" wrapText="1"/>
    </xf>
    <xf numFmtId="0" fontId="69" fillId="26" borderId="0" xfId="0" applyFont="1" applyFill="1" applyBorder="1" applyAlignment="1">
      <alignment vertical="top"/>
    </xf>
    <xf numFmtId="0" fontId="5" fillId="0" borderId="17" xfId="0" applyFont="1" applyFill="1" applyBorder="1" applyAlignment="1" applyProtection="1">
      <alignment horizontal="center" vertical="center" wrapText="1"/>
    </xf>
    <xf numFmtId="165" fontId="60" fillId="34" borderId="23" xfId="0" quotePrefix="1" applyNumberFormat="1" applyFont="1" applyFill="1" applyBorder="1" applyAlignment="1" applyProtection="1">
      <alignment horizontal="right" vertical="center"/>
      <protection hidden="1"/>
    </xf>
    <xf numFmtId="165" fontId="60" fillId="34" borderId="20" xfId="0" quotePrefix="1" applyNumberFormat="1" applyFont="1" applyFill="1" applyBorder="1" applyAlignment="1" applyProtection="1">
      <alignment horizontal="center" vertical="center"/>
      <protection hidden="1"/>
    </xf>
    <xf numFmtId="3" fontId="62" fillId="0" borderId="17" xfId="0" applyNumberFormat="1" applyFont="1" applyFill="1" applyBorder="1" applyAlignment="1" applyProtection="1">
      <alignment horizontal="center" vertical="center"/>
    </xf>
    <xf numFmtId="3" fontId="62" fillId="0" borderId="23" xfId="0" applyNumberFormat="1" applyFont="1" applyFill="1" applyBorder="1" applyAlignment="1" applyProtection="1">
      <alignment horizontal="center" vertical="center"/>
    </xf>
    <xf numFmtId="1" fontId="5" fillId="0" borderId="23" xfId="0" applyNumberFormat="1" applyFont="1" applyFill="1" applyBorder="1" applyAlignment="1" applyProtection="1">
      <alignment horizontal="center" vertical="center"/>
    </xf>
    <xf numFmtId="9" fontId="5" fillId="0" borderId="17" xfId="0" applyNumberFormat="1" applyFont="1" applyFill="1" applyBorder="1" applyAlignment="1" applyProtection="1">
      <alignment horizontal="center" vertical="center"/>
    </xf>
    <xf numFmtId="9" fontId="5" fillId="0" borderId="23" xfId="0" applyNumberFormat="1" applyFont="1" applyFill="1" applyBorder="1" applyAlignment="1" applyProtection="1">
      <alignment horizontal="center" vertical="center"/>
    </xf>
    <xf numFmtId="0" fontId="62" fillId="0" borderId="17" xfId="0" applyFont="1" applyFill="1" applyBorder="1" applyAlignment="1" applyProtection="1">
      <alignment horizontal="right"/>
    </xf>
    <xf numFmtId="3" fontId="62" fillId="0" borderId="17" xfId="0" applyNumberFormat="1" applyFont="1" applyFill="1" applyBorder="1" applyAlignment="1">
      <alignment horizontal="right"/>
    </xf>
    <xf numFmtId="164" fontId="5" fillId="36" borderId="17" xfId="0" applyNumberFormat="1" applyFont="1" applyFill="1" applyBorder="1" applyAlignment="1" applyProtection="1">
      <alignment horizontal="center" vertical="center"/>
    </xf>
    <xf numFmtId="0" fontId="62" fillId="0" borderId="17" xfId="0" applyFont="1" applyFill="1" applyBorder="1" applyAlignment="1" applyProtection="1"/>
    <xf numFmtId="0" fontId="47" fillId="26" borderId="0" xfId="0" applyFont="1" applyFill="1" applyBorder="1" applyAlignment="1" applyProtection="1">
      <alignment horizontal="left" vertical="center" wrapText="1"/>
    </xf>
    <xf numFmtId="0" fontId="32" fillId="24" borderId="0" xfId="0" applyFont="1" applyFill="1" applyBorder="1" applyAlignment="1" applyProtection="1">
      <alignment vertical="top" wrapText="1"/>
    </xf>
    <xf numFmtId="0" fontId="32" fillId="24" borderId="0" xfId="0" applyFont="1" applyFill="1" applyBorder="1" applyAlignment="1" applyProtection="1">
      <alignment horizontal="left" vertical="top" wrapText="1"/>
    </xf>
    <xf numFmtId="0" fontId="5" fillId="26" borderId="83" xfId="47" applyFont="1" applyFill="1" applyBorder="1" applyProtection="1"/>
    <xf numFmtId="0" fontId="70" fillId="24" borderId="0" xfId="0" applyFont="1" applyFill="1" applyBorder="1" applyAlignment="1" applyProtection="1">
      <alignment vertical="top"/>
    </xf>
    <xf numFmtId="0" fontId="32" fillId="24" borderId="0" xfId="0" applyFont="1" applyFill="1" applyBorder="1" applyAlignment="1" applyProtection="1">
      <alignment vertical="top"/>
    </xf>
    <xf numFmtId="1" fontId="55" fillId="0" borderId="0" xfId="0" applyNumberFormat="1" applyFont="1" applyFill="1" applyBorder="1" applyProtection="1"/>
    <xf numFmtId="0" fontId="55" fillId="0" borderId="0" xfId="0" applyFont="1" applyFill="1" applyBorder="1" applyAlignment="1" applyProtection="1">
      <alignment horizontal="right" vertical="center"/>
    </xf>
    <xf numFmtId="0" fontId="55" fillId="0" borderId="0" xfId="0" applyFont="1" applyFill="1" applyBorder="1" applyProtection="1"/>
    <xf numFmtId="1" fontId="52" fillId="0" borderId="0" xfId="0" applyNumberFormat="1" applyFont="1" applyFill="1" applyBorder="1" applyAlignment="1" applyProtection="1">
      <alignment horizontal="center"/>
    </xf>
    <xf numFmtId="1" fontId="52" fillId="0" borderId="31" xfId="0" applyNumberFormat="1" applyFont="1" applyFill="1" applyBorder="1" applyAlignment="1" applyProtection="1">
      <alignment horizontal="center"/>
    </xf>
    <xf numFmtId="1" fontId="52" fillId="0" borderId="13" xfId="0" applyNumberFormat="1" applyFont="1" applyFill="1" applyBorder="1" applyAlignment="1" applyProtection="1">
      <alignment horizontal="center"/>
    </xf>
    <xf numFmtId="1" fontId="52" fillId="0" borderId="33" xfId="0" applyNumberFormat="1" applyFont="1" applyFill="1" applyBorder="1" applyAlignment="1" applyProtection="1">
      <alignment horizontal="center"/>
    </xf>
    <xf numFmtId="1" fontId="55" fillId="0" borderId="37" xfId="0" applyNumberFormat="1" applyFont="1" applyFill="1" applyBorder="1" applyProtection="1"/>
    <xf numFmtId="1" fontId="55" fillId="0" borderId="98" xfId="0" applyNumberFormat="1" applyFont="1" applyFill="1" applyBorder="1" applyProtection="1"/>
    <xf numFmtId="1" fontId="35" fillId="0" borderId="24" xfId="0" applyNumberFormat="1" applyFont="1" applyFill="1" applyBorder="1" applyAlignment="1" applyProtection="1">
      <alignment horizontal="center" vertical="center" wrapText="1"/>
      <protection locked="0"/>
    </xf>
    <xf numFmtId="1" fontId="35" fillId="0" borderId="24" xfId="46" applyNumberFormat="1" applyFont="1" applyFill="1" applyBorder="1" applyAlignment="1" applyProtection="1">
      <alignment horizontal="center" vertical="center" wrapText="1"/>
      <protection locked="0"/>
    </xf>
    <xf numFmtId="1" fontId="35" fillId="0" borderId="21" xfId="0" applyNumberFormat="1" applyFont="1" applyFill="1" applyBorder="1" applyAlignment="1" applyProtection="1">
      <alignment horizontal="center" vertical="center" wrapText="1"/>
    </xf>
    <xf numFmtId="1" fontId="5" fillId="0" borderId="72" xfId="0" applyNumberFormat="1" applyFont="1" applyFill="1" applyBorder="1" applyAlignment="1" applyProtection="1">
      <alignment horizontal="center" vertical="center" wrapText="1"/>
      <protection locked="0"/>
    </xf>
    <xf numFmtId="1" fontId="5" fillId="0" borderId="73" xfId="0" applyNumberFormat="1" applyFont="1" applyFill="1" applyBorder="1" applyAlignment="1" applyProtection="1">
      <alignment horizontal="center" vertical="center" wrapText="1"/>
      <protection locked="0"/>
    </xf>
    <xf numFmtId="1" fontId="55" fillId="0" borderId="101" xfId="0" applyNumberFormat="1" applyFont="1" applyFill="1" applyBorder="1" applyProtection="1"/>
    <xf numFmtId="0" fontId="9" fillId="25" borderId="20" xfId="0" applyFont="1" applyFill="1" applyBorder="1" applyAlignment="1" applyProtection="1">
      <alignment vertical="center" wrapText="1"/>
    </xf>
    <xf numFmtId="1" fontId="38" fillId="0" borderId="0" xfId="0" applyNumberFormat="1" applyFont="1" applyFill="1" applyBorder="1" applyAlignment="1" applyProtection="1">
      <alignment horizontal="right"/>
    </xf>
    <xf numFmtId="3" fontId="33" fillId="0" borderId="17" xfId="0" applyNumberFormat="1" applyFont="1" applyBorder="1" applyAlignment="1" applyProtection="1">
      <alignment horizontal="center" vertical="center"/>
    </xf>
    <xf numFmtId="3" fontId="33" fillId="0" borderId="17" xfId="0" applyNumberFormat="1" applyFont="1" applyBorder="1" applyAlignment="1" applyProtection="1">
      <alignment horizontal="center" vertical="center" shrinkToFit="1"/>
    </xf>
    <xf numFmtId="3" fontId="33" fillId="0" borderId="23" xfId="0" applyNumberFormat="1" applyFont="1" applyBorder="1" applyAlignment="1" applyProtection="1">
      <alignment horizontal="center" vertical="center"/>
    </xf>
    <xf numFmtId="3" fontId="33" fillId="36" borderId="17" xfId="0" applyNumberFormat="1" applyFont="1" applyFill="1" applyBorder="1" applyAlignment="1" applyProtection="1">
      <alignment horizontal="center" vertical="center"/>
    </xf>
    <xf numFmtId="0" fontId="5" fillId="26" borderId="62" xfId="47" applyFont="1" applyFill="1" applyBorder="1" applyAlignment="1">
      <alignment vertical="center" wrapText="1"/>
    </xf>
    <xf numFmtId="9" fontId="9" fillId="0" borderId="110" xfId="47" applyNumberFormat="1" applyFont="1" applyBorder="1" applyAlignment="1">
      <alignment horizontal="center" vertical="center"/>
    </xf>
    <xf numFmtId="9" fontId="5" fillId="0" borderId="111" xfId="47" applyNumberFormat="1" applyFont="1" applyBorder="1" applyAlignment="1">
      <alignment horizontal="center" vertical="center"/>
    </xf>
    <xf numFmtId="9" fontId="5" fillId="0" borderId="23" xfId="47" applyNumberFormat="1" applyFont="1" applyBorder="1" applyAlignment="1">
      <alignment horizontal="center" vertical="center"/>
    </xf>
    <xf numFmtId="9" fontId="5" fillId="0" borderId="70" xfId="47" applyNumberFormat="1" applyFont="1" applyBorder="1" applyAlignment="1">
      <alignment horizontal="center" vertical="center"/>
    </xf>
    <xf numFmtId="9" fontId="9" fillId="39" borderId="98" xfId="47" applyNumberFormat="1" applyFont="1" applyFill="1" applyBorder="1" applyAlignment="1">
      <alignment horizontal="center" vertical="center"/>
    </xf>
    <xf numFmtId="0" fontId="71" fillId="0" borderId="0" xfId="47" applyFont="1"/>
    <xf numFmtId="0" fontId="5" fillId="45" borderId="17" xfId="47" applyFont="1" applyFill="1" applyBorder="1" applyAlignment="1">
      <alignment horizontal="left" wrapText="1"/>
    </xf>
    <xf numFmtId="0" fontId="5" fillId="45" borderId="20" xfId="47" applyFont="1" applyFill="1" applyBorder="1" applyAlignment="1">
      <alignment horizontal="left" wrapText="1"/>
    </xf>
    <xf numFmtId="0" fontId="5" fillId="45" borderId="17" xfId="47" applyFont="1" applyFill="1" applyBorder="1" applyAlignment="1" applyProtection="1">
      <alignment horizontal="center" vertical="center" wrapText="1"/>
    </xf>
    <xf numFmtId="0" fontId="5" fillId="45" borderId="17" xfId="47" applyFont="1" applyFill="1" applyBorder="1"/>
    <xf numFmtId="1" fontId="5" fillId="0" borderId="111" xfId="47" applyNumberFormat="1" applyFont="1" applyBorder="1" applyAlignment="1">
      <alignment horizontal="center" vertical="center"/>
    </xf>
    <xf numFmtId="0" fontId="5" fillId="39" borderId="95" xfId="47" applyFont="1" applyFill="1" applyBorder="1" applyAlignment="1">
      <alignment vertical="center" wrapText="1"/>
    </xf>
    <xf numFmtId="1" fontId="5" fillId="0" borderId="94" xfId="47" applyNumberFormat="1" applyFont="1" applyBorder="1" applyAlignment="1">
      <alignment horizontal="center" vertical="center"/>
    </xf>
    <xf numFmtId="1" fontId="9" fillId="39" borderId="96" xfId="47" applyNumberFormat="1" applyFont="1" applyFill="1" applyBorder="1" applyAlignment="1">
      <alignment horizontal="center" vertical="center"/>
    </xf>
    <xf numFmtId="0" fontId="4" fillId="26" borderId="89" xfId="47" applyFill="1" applyBorder="1"/>
    <xf numFmtId="0" fontId="5" fillId="26" borderId="90" xfId="47" applyFont="1" applyFill="1" applyBorder="1" applyAlignment="1">
      <alignment horizontal="center" vertical="center" wrapText="1"/>
    </xf>
    <xf numFmtId="0" fontId="5" fillId="26" borderId="90" xfId="47" applyFont="1" applyFill="1" applyBorder="1" applyAlignment="1">
      <alignment vertical="center" wrapText="1"/>
    </xf>
    <xf numFmtId="1" fontId="5" fillId="26" borderId="90" xfId="47" applyNumberFormat="1" applyFont="1" applyFill="1" applyBorder="1" applyAlignment="1">
      <alignment horizontal="center" vertical="center"/>
    </xf>
    <xf numFmtId="1" fontId="9" fillId="26" borderId="90" xfId="47" applyNumberFormat="1" applyFont="1" applyFill="1" applyBorder="1" applyAlignment="1">
      <alignment horizontal="center" vertical="center"/>
    </xf>
    <xf numFmtId="0" fontId="4" fillId="26" borderId="91" xfId="47" applyFill="1" applyBorder="1"/>
    <xf numFmtId="0" fontId="5" fillId="26" borderId="92" xfId="47" applyFont="1" applyFill="1" applyBorder="1" applyAlignment="1" applyProtection="1">
      <alignment vertical="center"/>
    </xf>
    <xf numFmtId="0" fontId="5" fillId="26" borderId="0" xfId="47" applyFont="1" applyFill="1" applyBorder="1" applyAlignment="1" applyProtection="1">
      <alignment vertical="center"/>
    </xf>
    <xf numFmtId="0" fontId="9" fillId="26" borderId="0" xfId="47" applyFont="1" applyFill="1" applyBorder="1" applyAlignment="1" applyProtection="1">
      <alignment horizontal="center" vertical="center"/>
    </xf>
    <xf numFmtId="0" fontId="5" fillId="26" borderId="85" xfId="47" applyFont="1" applyFill="1" applyBorder="1" applyAlignment="1" applyProtection="1">
      <alignment vertical="center"/>
    </xf>
    <xf numFmtId="0" fontId="5" fillId="26" borderId="84" xfId="47" applyFont="1" applyFill="1" applyBorder="1" applyAlignment="1" applyProtection="1">
      <alignment vertical="center"/>
    </xf>
    <xf numFmtId="0" fontId="5" fillId="0" borderId="0" xfId="47" applyFont="1" applyFill="1" applyBorder="1" applyAlignment="1" applyProtection="1">
      <alignment vertical="center"/>
    </xf>
    <xf numFmtId="0" fontId="58" fillId="26" borderId="0" xfId="47" applyFont="1" applyFill="1" applyBorder="1" applyAlignment="1" applyProtection="1">
      <alignment horizontal="left" vertical="center" indent="1"/>
    </xf>
    <xf numFmtId="0" fontId="30" fillId="26" borderId="0" xfId="0" applyFont="1" applyFill="1" applyBorder="1" applyAlignment="1">
      <alignment horizontal="left"/>
    </xf>
    <xf numFmtId="0" fontId="30" fillId="26" borderId="0" xfId="0" applyFont="1" applyFill="1" applyBorder="1" applyAlignment="1"/>
    <xf numFmtId="0" fontId="30" fillId="26" borderId="0" xfId="0" applyFont="1" applyFill="1" applyBorder="1" applyAlignment="1">
      <alignment vertical="center"/>
    </xf>
    <xf numFmtId="0" fontId="30" fillId="26" borderId="0" xfId="0" applyFont="1" applyFill="1" applyBorder="1" applyAlignment="1">
      <alignment vertical="center" wrapText="1"/>
    </xf>
    <xf numFmtId="0" fontId="49" fillId="26" borderId="0" xfId="34" applyFill="1" applyBorder="1" applyAlignment="1" applyProtection="1">
      <alignment vertical="center"/>
    </xf>
    <xf numFmtId="0" fontId="30" fillId="26" borderId="53" xfId="0" applyFont="1" applyFill="1" applyBorder="1" applyAlignment="1">
      <alignment vertical="center"/>
    </xf>
    <xf numFmtId="0" fontId="30" fillId="26" borderId="53" xfId="0" applyFont="1" applyFill="1" applyBorder="1" applyAlignment="1">
      <alignment vertical="center" wrapText="1"/>
    </xf>
    <xf numFmtId="0" fontId="30" fillId="26" borderId="52" xfId="0" applyFont="1" applyFill="1" applyBorder="1" applyAlignment="1">
      <alignment horizontal="left" vertical="center" indent="2"/>
    </xf>
    <xf numFmtId="0" fontId="30" fillId="26" borderId="52" xfId="0" applyFont="1" applyFill="1" applyBorder="1" applyAlignment="1">
      <alignment vertical="center" wrapText="1"/>
    </xf>
    <xf numFmtId="0" fontId="30" fillId="26" borderId="53" xfId="0" applyFont="1" applyFill="1" applyBorder="1" applyAlignment="1"/>
    <xf numFmtId="0" fontId="4" fillId="26" borderId="0" xfId="0" applyFont="1" applyFill="1" applyBorder="1" applyAlignment="1">
      <alignment horizontal="left" vertical="top"/>
    </xf>
    <xf numFmtId="0" fontId="4" fillId="26" borderId="0" xfId="0" applyFont="1" applyFill="1" applyBorder="1" applyAlignment="1">
      <alignment vertical="center"/>
    </xf>
    <xf numFmtId="0" fontId="8" fillId="24" borderId="38" xfId="0" applyFont="1" applyFill="1" applyBorder="1"/>
    <xf numFmtId="0" fontId="8" fillId="24" borderId="39" xfId="0" applyFont="1" applyFill="1" applyBorder="1"/>
    <xf numFmtId="0" fontId="0" fillId="24" borderId="39" xfId="0" applyFill="1" applyBorder="1"/>
    <xf numFmtId="0" fontId="8" fillId="24" borderId="40" xfId="0" applyFont="1" applyFill="1" applyBorder="1"/>
    <xf numFmtId="0" fontId="8" fillId="24" borderId="61" xfId="0" applyFont="1" applyFill="1" applyBorder="1"/>
    <xf numFmtId="0" fontId="8" fillId="24" borderId="42" xfId="0" applyFont="1" applyFill="1" applyBorder="1"/>
    <xf numFmtId="0" fontId="9" fillId="24" borderId="42" xfId="0" applyFont="1" applyFill="1" applyBorder="1"/>
    <xf numFmtId="0" fontId="4" fillId="26" borderId="0" xfId="0" applyFont="1" applyFill="1" applyBorder="1" applyAlignment="1">
      <alignment horizontal="left" vertical="center" wrapText="1"/>
    </xf>
    <xf numFmtId="0" fontId="30" fillId="26" borderId="52" xfId="0" applyFont="1" applyFill="1" applyBorder="1" applyAlignment="1">
      <alignment horizontal="left"/>
    </xf>
    <xf numFmtId="0" fontId="30" fillId="26" borderId="52" xfId="0" applyFont="1" applyFill="1" applyBorder="1" applyAlignment="1"/>
    <xf numFmtId="0" fontId="35" fillId="24" borderId="61" xfId="0" applyFont="1" applyFill="1" applyBorder="1"/>
    <xf numFmtId="0" fontId="35" fillId="24" borderId="42" xfId="0" applyFont="1" applyFill="1" applyBorder="1"/>
    <xf numFmtId="0" fontId="8" fillId="24" borderId="86" xfId="0" applyFont="1" applyFill="1" applyBorder="1"/>
    <xf numFmtId="0" fontId="8" fillId="24" borderId="87" xfId="0" applyFont="1" applyFill="1" applyBorder="1"/>
    <xf numFmtId="0" fontId="0" fillId="24" borderId="87" xfId="0" applyFill="1" applyBorder="1"/>
    <xf numFmtId="0" fontId="8" fillId="24" borderId="58" xfId="0" applyFont="1" applyFill="1" applyBorder="1"/>
    <xf numFmtId="49" fontId="58" fillId="24" borderId="0" xfId="0" applyNumberFormat="1" applyFont="1" applyFill="1" applyBorder="1" applyAlignment="1">
      <alignment horizontal="right"/>
    </xf>
    <xf numFmtId="0" fontId="30" fillId="26" borderId="0" xfId="0" applyFont="1" applyFill="1" applyBorder="1" applyAlignment="1">
      <alignment horizontal="left" vertical="center" indent="2"/>
    </xf>
    <xf numFmtId="0" fontId="32" fillId="26" borderId="0" xfId="0" applyFont="1" applyFill="1" applyBorder="1" applyAlignment="1">
      <alignment vertical="center"/>
    </xf>
    <xf numFmtId="0" fontId="73" fillId="26" borderId="0" xfId="47" applyFont="1" applyFill="1" applyBorder="1" applyAlignment="1" applyProtection="1">
      <alignment horizontal="left" vertical="center"/>
    </xf>
    <xf numFmtId="0" fontId="5" fillId="26" borderId="114" xfId="47" applyFont="1" applyFill="1" applyBorder="1" applyProtection="1"/>
    <xf numFmtId="0" fontId="9" fillId="26" borderId="81" xfId="47" applyNumberFormat="1" applyFont="1" applyFill="1" applyBorder="1" applyAlignment="1">
      <alignment horizontal="center" wrapText="1"/>
    </xf>
    <xf numFmtId="1" fontId="5" fillId="0" borderId="75" xfId="47" applyNumberFormat="1" applyFont="1" applyBorder="1" applyAlignment="1">
      <alignment horizontal="center" vertical="center"/>
    </xf>
    <xf numFmtId="1" fontId="5" fillId="0" borderId="117" xfId="47" applyNumberFormat="1" applyFont="1" applyBorder="1" applyAlignment="1">
      <alignment horizontal="center" vertical="center"/>
    </xf>
    <xf numFmtId="1" fontId="5" fillId="0" borderId="69" xfId="47" applyNumberFormat="1" applyFont="1" applyBorder="1" applyAlignment="1">
      <alignment horizontal="center" vertical="center"/>
    </xf>
    <xf numFmtId="1" fontId="5" fillId="0" borderId="71" xfId="47" applyNumberFormat="1" applyFont="1" applyBorder="1" applyAlignment="1">
      <alignment horizontal="center" vertical="center"/>
    </xf>
    <xf numFmtId="9" fontId="5" fillId="0" borderId="24" xfId="47" applyNumberFormat="1" applyFont="1" applyBorder="1" applyAlignment="1">
      <alignment horizontal="center" vertical="center"/>
    </xf>
    <xf numFmtId="9" fontId="5" fillId="0" borderId="99" xfId="47" applyNumberFormat="1" applyFont="1" applyBorder="1" applyAlignment="1">
      <alignment horizontal="center" vertical="center"/>
    </xf>
    <xf numFmtId="9" fontId="5" fillId="0" borderId="116" xfId="47" applyNumberFormat="1" applyFont="1" applyBorder="1" applyAlignment="1">
      <alignment horizontal="center" vertical="center"/>
    </xf>
    <xf numFmtId="9" fontId="5" fillId="0" borderId="72" xfId="47" applyNumberFormat="1" applyFont="1" applyBorder="1" applyAlignment="1">
      <alignment horizontal="center" vertical="center"/>
    </xf>
    <xf numFmtId="9" fontId="5" fillId="0" borderId="74" xfId="47" applyNumberFormat="1" applyFont="1" applyBorder="1" applyAlignment="1">
      <alignment horizontal="center" vertical="center"/>
    </xf>
    <xf numFmtId="9" fontId="5" fillId="0" borderId="26" xfId="47" applyNumberFormat="1" applyFont="1" applyBorder="1" applyAlignment="1">
      <alignment horizontal="center" vertical="center"/>
    </xf>
    <xf numFmtId="9" fontId="5" fillId="0" borderId="25" xfId="47" applyNumberFormat="1" applyFont="1" applyBorder="1" applyAlignment="1">
      <alignment horizontal="center" vertical="center"/>
    </xf>
    <xf numFmtId="9" fontId="5" fillId="0" borderId="69" xfId="47" applyNumberFormat="1" applyFont="1" applyBorder="1" applyAlignment="1">
      <alignment horizontal="center" vertical="center"/>
    </xf>
    <xf numFmtId="9" fontId="5" fillId="0" borderId="71" xfId="47" applyNumberFormat="1" applyFont="1" applyBorder="1" applyAlignment="1">
      <alignment horizontal="center" vertical="center"/>
    </xf>
    <xf numFmtId="1" fontId="5" fillId="0" borderId="93" xfId="47" applyNumberFormat="1" applyFont="1" applyBorder="1" applyAlignment="1">
      <alignment horizontal="center" vertical="center"/>
    </xf>
    <xf numFmtId="1" fontId="5" fillId="0" borderId="115" xfId="47" applyNumberFormat="1" applyFont="1" applyBorder="1" applyAlignment="1">
      <alignment horizontal="center" vertical="center"/>
    </xf>
    <xf numFmtId="1" fontId="5" fillId="0" borderId="99" xfId="47" applyNumberFormat="1" applyFont="1" applyBorder="1" applyAlignment="1">
      <alignment horizontal="center" vertical="center"/>
    </xf>
    <xf numFmtId="1" fontId="5" fillId="0" borderId="116" xfId="47" applyNumberFormat="1" applyFont="1" applyBorder="1" applyAlignment="1">
      <alignment horizontal="center" vertical="center"/>
    </xf>
    <xf numFmtId="0" fontId="63" fillId="26" borderId="61" xfId="0" applyFont="1" applyFill="1" applyBorder="1" applyAlignment="1" applyProtection="1">
      <alignment horizontal="center"/>
    </xf>
    <xf numFmtId="0" fontId="5" fillId="32" borderId="17" xfId="0" applyFont="1" applyFill="1" applyBorder="1" applyAlignment="1" applyProtection="1">
      <alignment horizontal="center" vertical="center"/>
    </xf>
    <xf numFmtId="0" fontId="5" fillId="31" borderId="17" xfId="0" applyFont="1" applyFill="1" applyBorder="1" applyAlignment="1" applyProtection="1">
      <alignment horizontal="center" vertical="center" wrapText="1"/>
    </xf>
    <xf numFmtId="0" fontId="5" fillId="24" borderId="23" xfId="0" applyFont="1" applyFill="1" applyBorder="1" applyAlignment="1" applyProtection="1">
      <alignment horizontal="left" vertical="center" wrapText="1"/>
    </xf>
    <xf numFmtId="0" fontId="36" fillId="34" borderId="23" xfId="46" applyFont="1" applyFill="1" applyBorder="1" applyAlignment="1" applyProtection="1">
      <alignment horizontal="left" vertical="center" wrapText="1"/>
    </xf>
    <xf numFmtId="0" fontId="8" fillId="0" borderId="23" xfId="0" applyFont="1" applyFill="1" applyBorder="1" applyAlignment="1" applyProtection="1">
      <alignment horizontal="left" vertical="center" wrapText="1"/>
    </xf>
    <xf numFmtId="0" fontId="36" fillId="34" borderId="23" xfId="0" applyFont="1" applyFill="1" applyBorder="1" applyAlignment="1" applyProtection="1">
      <alignment horizontal="left" vertical="center" wrapText="1"/>
    </xf>
    <xf numFmtId="0" fontId="32" fillId="24" borderId="0" xfId="0" applyFont="1" applyFill="1" applyBorder="1" applyAlignment="1" applyProtection="1">
      <alignment horizontal="left" vertical="top"/>
    </xf>
    <xf numFmtId="0" fontId="5" fillId="26" borderId="61" xfId="0" applyFont="1" applyFill="1" applyBorder="1" applyProtection="1"/>
    <xf numFmtId="0" fontId="33" fillId="24" borderId="0" xfId="0" applyFont="1" applyFill="1" applyBorder="1" applyAlignment="1" applyProtection="1">
      <alignment horizontal="left" wrapText="1"/>
    </xf>
    <xf numFmtId="0" fontId="32" fillId="24" borderId="0" xfId="0" applyFont="1" applyFill="1" applyBorder="1" applyAlignment="1" applyProtection="1">
      <alignment vertical="top" wrapText="1"/>
    </xf>
    <xf numFmtId="0" fontId="75" fillId="26" borderId="17" xfId="0" applyFont="1" applyFill="1" applyBorder="1" applyAlignment="1" applyProtection="1">
      <alignment horizontal="center" vertical="center"/>
    </xf>
    <xf numFmtId="0" fontId="75" fillId="26" borderId="16" xfId="0" applyFont="1" applyFill="1" applyBorder="1" applyAlignment="1" applyProtection="1">
      <alignment horizontal="center" vertical="center"/>
    </xf>
    <xf numFmtId="0" fontId="5" fillId="38" borderId="16" xfId="0" applyFont="1" applyFill="1" applyBorder="1" applyAlignment="1" applyProtection="1">
      <alignment horizontal="center" vertical="center" wrapText="1"/>
    </xf>
    <xf numFmtId="0" fontId="5" fillId="38" borderId="17" xfId="0" applyFont="1" applyFill="1" applyBorder="1" applyAlignment="1" applyProtection="1">
      <alignment horizontal="center" vertical="center" wrapText="1"/>
    </xf>
    <xf numFmtId="0" fontId="5" fillId="38" borderId="0" xfId="0" applyFont="1" applyFill="1" applyBorder="1" applyAlignment="1" applyProtection="1">
      <alignment horizontal="right"/>
    </xf>
    <xf numFmtId="168" fontId="5" fillId="38" borderId="0" xfId="0" applyNumberFormat="1" applyFont="1" applyFill="1" applyBorder="1" applyAlignment="1" applyProtection="1">
      <alignment horizontal="center" vertical="center"/>
    </xf>
    <xf numFmtId="0" fontId="5" fillId="38" borderId="17" xfId="0" applyFont="1" applyFill="1" applyBorder="1" applyAlignment="1" applyProtection="1">
      <alignment horizontal="right" vertical="center"/>
    </xf>
    <xf numFmtId="0" fontId="5" fillId="38" borderId="20" xfId="0" applyFont="1" applyFill="1" applyBorder="1" applyAlignment="1" applyProtection="1">
      <alignment horizontal="center" vertical="center"/>
    </xf>
    <xf numFmtId="0" fontId="5" fillId="38" borderId="16" xfId="0" applyFont="1" applyFill="1" applyBorder="1" applyAlignment="1" applyProtection="1">
      <alignment horizontal="center" vertical="center"/>
    </xf>
    <xf numFmtId="0" fontId="5" fillId="0" borderId="23" xfId="0" applyFont="1" applyFill="1" applyBorder="1" applyAlignment="1">
      <alignment horizont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6" xfId="0" applyFont="1" applyFill="1" applyBorder="1" applyAlignment="1">
      <alignment horizontal="center"/>
    </xf>
    <xf numFmtId="0" fontId="5" fillId="0" borderId="17" xfId="0" applyFont="1" applyFill="1" applyBorder="1" applyAlignment="1">
      <alignment horizontal="center"/>
    </xf>
    <xf numFmtId="0" fontId="5" fillId="0" borderId="16" xfId="0" applyFont="1" applyFill="1" applyBorder="1" applyAlignment="1" applyProtection="1">
      <alignment horizontal="center"/>
    </xf>
    <xf numFmtId="0" fontId="5" fillId="0" borderId="17" xfId="0" applyFont="1" applyFill="1" applyBorder="1" applyAlignment="1" applyProtection="1">
      <alignment horizontal="center"/>
    </xf>
    <xf numFmtId="165" fontId="5" fillId="24" borderId="23" xfId="0" applyNumberFormat="1" applyFont="1" applyFill="1" applyBorder="1" applyAlignment="1">
      <alignment horizontal="center" vertical="center" wrapText="1"/>
    </xf>
    <xf numFmtId="165" fontId="5" fillId="29" borderId="23" xfId="0" applyNumberFormat="1" applyFont="1" applyFill="1" applyBorder="1" applyAlignment="1" applyProtection="1">
      <alignment horizontal="center" vertical="center"/>
      <protection hidden="1"/>
    </xf>
    <xf numFmtId="165" fontId="60" fillId="34" borderId="23" xfId="0" applyNumberFormat="1" applyFont="1" applyFill="1" applyBorder="1" applyAlignment="1" applyProtection="1">
      <alignment horizontal="center" vertical="center"/>
      <protection hidden="1"/>
    </xf>
    <xf numFmtId="0" fontId="35" fillId="36" borderId="17" xfId="0" applyFont="1" applyFill="1" applyBorder="1" applyAlignment="1" applyProtection="1">
      <alignment horizontal="center" vertical="center" wrapText="1"/>
      <protection locked="0"/>
    </xf>
    <xf numFmtId="0" fontId="60" fillId="36" borderId="17" xfId="0" applyFont="1" applyFill="1" applyBorder="1" applyAlignment="1" applyProtection="1">
      <alignment horizontal="center" vertical="center" wrapText="1"/>
      <protection locked="0"/>
    </xf>
    <xf numFmtId="0" fontId="5" fillId="26" borderId="89" xfId="47" applyFont="1" applyFill="1" applyBorder="1" applyProtection="1"/>
    <xf numFmtId="0" fontId="5" fillId="26" borderId="90" xfId="47" applyFont="1" applyFill="1" applyBorder="1" applyProtection="1"/>
    <xf numFmtId="0" fontId="4" fillId="26" borderId="90" xfId="47" applyFill="1" applyBorder="1" applyProtection="1"/>
    <xf numFmtId="0" fontId="36" fillId="26" borderId="90" xfId="47" applyFont="1" applyFill="1" applyBorder="1" applyProtection="1"/>
    <xf numFmtId="0" fontId="38" fillId="26" borderId="90" xfId="47" applyFont="1" applyFill="1" applyBorder="1" applyAlignment="1" applyProtection="1">
      <alignment horizontal="right"/>
    </xf>
    <xf numFmtId="0" fontId="38" fillId="26" borderId="91" xfId="47" applyFont="1" applyFill="1" applyBorder="1" applyAlignment="1" applyProtection="1">
      <alignment horizontal="right"/>
    </xf>
    <xf numFmtId="0" fontId="5" fillId="26" borderId="118" xfId="47" applyFont="1" applyFill="1" applyBorder="1" applyProtection="1"/>
    <xf numFmtId="0" fontId="5" fillId="26" borderId="0" xfId="47" applyFont="1" applyFill="1" applyBorder="1"/>
    <xf numFmtId="0" fontId="4" fillId="26" borderId="0" xfId="47" applyFill="1" applyBorder="1"/>
    <xf numFmtId="0" fontId="5" fillId="26" borderId="0" xfId="47" applyFont="1" applyFill="1" applyBorder="1" applyAlignment="1" applyProtection="1">
      <alignment horizontal="center"/>
    </xf>
    <xf numFmtId="0" fontId="5" fillId="0" borderId="19" xfId="0" applyFont="1" applyFill="1" applyBorder="1" applyAlignment="1" applyProtection="1">
      <alignment vertical="center"/>
    </xf>
    <xf numFmtId="0" fontId="54" fillId="47" borderId="17" xfId="0" applyFont="1" applyFill="1" applyBorder="1" applyAlignment="1" applyProtection="1">
      <alignment horizontal="center" vertical="center"/>
    </xf>
    <xf numFmtId="0" fontId="54" fillId="47" borderId="16" xfId="0" applyFont="1" applyFill="1" applyBorder="1" applyAlignment="1" applyProtection="1">
      <alignment horizontal="center" vertical="center"/>
    </xf>
    <xf numFmtId="164" fontId="52" fillId="47" borderId="18" xfId="0" applyNumberFormat="1" applyFont="1" applyFill="1" applyBorder="1" applyAlignment="1" applyProtection="1">
      <alignment vertical="center"/>
    </xf>
    <xf numFmtId="165" fontId="55" fillId="47" borderId="46" xfId="0" applyNumberFormat="1" applyFont="1" applyFill="1" applyBorder="1" applyAlignment="1" applyProtection="1">
      <alignment vertical="center"/>
    </xf>
    <xf numFmtId="0" fontId="55" fillId="47" borderId="17" xfId="0" applyFont="1" applyFill="1" applyBorder="1" applyAlignment="1" applyProtection="1">
      <alignment horizontal="center" vertical="center"/>
    </xf>
    <xf numFmtId="0" fontId="52" fillId="47" borderId="16" xfId="0" applyFont="1" applyFill="1" applyBorder="1" applyAlignment="1" applyProtection="1">
      <alignment horizontal="center" vertical="center" wrapText="1"/>
    </xf>
    <xf numFmtId="0" fontId="52" fillId="47" borderId="17" xfId="0" applyFont="1" applyFill="1" applyBorder="1" applyAlignment="1" applyProtection="1">
      <alignment horizontal="center" vertical="center" wrapText="1"/>
    </xf>
    <xf numFmtId="0" fontId="52" fillId="47" borderId="17" xfId="0" applyFont="1" applyFill="1" applyBorder="1" applyAlignment="1" applyProtection="1">
      <alignment horizontal="right" vertical="center"/>
    </xf>
    <xf numFmtId="165" fontId="55" fillId="47" borderId="17" xfId="0" applyNumberFormat="1" applyFont="1" applyFill="1" applyBorder="1" applyAlignment="1" applyProtection="1">
      <alignment vertical="center"/>
    </xf>
    <xf numFmtId="0" fontId="36" fillId="0" borderId="119" xfId="0" applyFont="1" applyFill="1" applyBorder="1" applyProtection="1"/>
    <xf numFmtId="0" fontId="5" fillId="26" borderId="0" xfId="0" applyFont="1" applyFill="1" applyAlignment="1" applyProtection="1"/>
    <xf numFmtId="0" fontId="36" fillId="0" borderId="19" xfId="0" applyFont="1" applyFill="1" applyBorder="1" applyProtection="1"/>
    <xf numFmtId="0" fontId="5" fillId="42" borderId="17" xfId="47" applyFont="1" applyFill="1" applyBorder="1" applyAlignment="1">
      <alignment horizontal="left" wrapText="1"/>
    </xf>
    <xf numFmtId="0" fontId="5" fillId="42" borderId="17" xfId="47" applyFont="1" applyFill="1" applyBorder="1" applyAlignment="1">
      <alignment wrapText="1"/>
    </xf>
    <xf numFmtId="0" fontId="5" fillId="42" borderId="20" xfId="47" applyFont="1" applyFill="1" applyBorder="1" applyAlignment="1">
      <alignment wrapText="1"/>
    </xf>
    <xf numFmtId="0" fontId="5" fillId="42" borderId="20" xfId="47" applyFont="1" applyFill="1" applyBorder="1" applyAlignment="1">
      <alignment horizontal="left" wrapText="1"/>
    </xf>
    <xf numFmtId="1" fontId="5" fillId="42" borderId="17" xfId="46" applyNumberFormat="1" applyFont="1" applyFill="1" applyBorder="1" applyAlignment="1" applyProtection="1">
      <alignment horizontal="left" vertical="center" wrapText="1"/>
      <protection locked="0"/>
    </xf>
    <xf numFmtId="1" fontId="5" fillId="42" borderId="17" xfId="47" applyNumberFormat="1" applyFont="1" applyFill="1" applyBorder="1" applyAlignment="1" applyProtection="1">
      <alignment horizontal="left" vertical="center" wrapText="1"/>
      <protection locked="0"/>
    </xf>
    <xf numFmtId="0" fontId="5" fillId="42" borderId="17" xfId="47" applyFont="1" applyFill="1" applyBorder="1"/>
    <xf numFmtId="0" fontId="5" fillId="48" borderId="17" xfId="47" applyFont="1" applyFill="1" applyBorder="1" applyAlignment="1">
      <alignment horizontal="left" wrapText="1"/>
    </xf>
    <xf numFmtId="0" fontId="5" fillId="48" borderId="17" xfId="47" applyFont="1" applyFill="1" applyBorder="1" applyAlignment="1">
      <alignment wrapText="1"/>
    </xf>
    <xf numFmtId="0" fontId="5" fillId="48" borderId="20" xfId="47" applyFont="1" applyFill="1" applyBorder="1" applyAlignment="1">
      <alignment horizontal="left" wrapText="1"/>
    </xf>
    <xf numFmtId="1" fontId="5" fillId="48" borderId="17" xfId="46" applyNumberFormat="1" applyFont="1" applyFill="1" applyBorder="1" applyAlignment="1" applyProtection="1">
      <alignment horizontal="left" vertical="center" wrapText="1"/>
      <protection locked="0"/>
    </xf>
    <xf numFmtId="1" fontId="5" fillId="48" borderId="17" xfId="47" applyNumberFormat="1" applyFont="1" applyFill="1" applyBorder="1" applyAlignment="1" applyProtection="1">
      <alignment horizontal="left" vertical="center" wrapText="1"/>
      <protection locked="0"/>
    </xf>
    <xf numFmtId="0" fontId="5" fillId="48" borderId="17" xfId="47" applyFont="1" applyFill="1" applyBorder="1"/>
    <xf numFmtId="0" fontId="5" fillId="48" borderId="17" xfId="47" applyFont="1" applyFill="1" applyBorder="1" applyAlignment="1" applyProtection="1">
      <alignment horizontal="center" vertical="center" wrapText="1"/>
    </xf>
    <xf numFmtId="0" fontId="5" fillId="42" borderId="17" xfId="47" applyFont="1" applyFill="1" applyBorder="1" applyAlignment="1" applyProtection="1">
      <alignment horizontal="center" vertical="center" wrapText="1"/>
    </xf>
    <xf numFmtId="3" fontId="5" fillId="42" borderId="17" xfId="47" applyNumberFormat="1" applyFont="1" applyFill="1" applyBorder="1" applyAlignment="1">
      <alignment horizontal="left" wrapText="1"/>
    </xf>
    <xf numFmtId="0" fontId="68" fillId="26" borderId="18" xfId="47" applyFont="1" applyFill="1" applyBorder="1" applyAlignment="1" applyProtection="1">
      <alignment vertical="top" wrapText="1"/>
    </xf>
    <xf numFmtId="0" fontId="5" fillId="26" borderId="13" xfId="47" applyFont="1" applyFill="1" applyBorder="1" applyAlignment="1">
      <alignment vertical="top" wrapText="1"/>
    </xf>
    <xf numFmtId="1" fontId="5" fillId="29" borderId="17" xfId="47" applyNumberFormat="1" applyFont="1" applyFill="1" applyBorder="1" applyAlignment="1" applyProtection="1">
      <alignment horizontal="center" vertical="center" wrapText="1"/>
      <protection locked="0"/>
    </xf>
    <xf numFmtId="1" fontId="5" fillId="24" borderId="17" xfId="47" applyNumberFormat="1" applyFont="1" applyFill="1" applyBorder="1" applyAlignment="1" applyProtection="1">
      <alignment horizontal="right" vertical="center" wrapText="1"/>
      <protection locked="0"/>
    </xf>
    <xf numFmtId="0" fontId="5" fillId="0" borderId="17" xfId="0" applyFont="1" applyFill="1" applyBorder="1" applyAlignment="1" applyProtection="1">
      <alignment horizontal="center" vertical="center" wrapText="1"/>
    </xf>
    <xf numFmtId="165" fontId="5" fillId="48" borderId="17" xfId="47" applyNumberFormat="1" applyFont="1" applyFill="1" applyBorder="1" applyAlignment="1" applyProtection="1">
      <alignment horizontal="center" vertical="center" wrapText="1"/>
    </xf>
    <xf numFmtId="1" fontId="5" fillId="0" borderId="17" xfId="47" applyNumberFormat="1" applyFont="1" applyBorder="1" applyAlignment="1">
      <alignment horizontal="left" wrapText="1"/>
    </xf>
    <xf numFmtId="1" fontId="5" fillId="29" borderId="17" xfId="47" applyNumberFormat="1" applyFont="1" applyFill="1" applyBorder="1" applyAlignment="1">
      <alignment horizontal="center" vertical="center" wrapText="1"/>
    </xf>
    <xf numFmtId="0" fontId="9" fillId="43" borderId="17" xfId="47" applyFont="1" applyFill="1" applyBorder="1" applyAlignment="1" applyProtection="1">
      <alignment horizontal="left" vertical="top" wrapText="1"/>
    </xf>
    <xf numFmtId="0" fontId="5" fillId="0" borderId="17" xfId="47" applyFont="1" applyBorder="1" applyAlignment="1">
      <alignment vertical="center" wrapText="1"/>
    </xf>
    <xf numFmtId="1" fontId="5" fillId="0" borderId="17" xfId="47" applyNumberFormat="1" applyFont="1" applyBorder="1" applyAlignment="1">
      <alignment horizontal="right" wrapText="1"/>
    </xf>
    <xf numFmtId="3" fontId="5" fillId="36" borderId="23" xfId="0" applyNumberFormat="1" applyFont="1" applyFill="1" applyBorder="1" applyAlignment="1" applyProtection="1">
      <alignment horizontal="center" vertical="center"/>
    </xf>
    <xf numFmtId="164" fontId="5" fillId="36" borderId="20" xfId="0" applyNumberFormat="1" applyFont="1" applyFill="1" applyBorder="1" applyAlignment="1" applyProtection="1">
      <alignment horizontal="center" vertical="center"/>
    </xf>
    <xf numFmtId="0" fontId="36" fillId="26" borderId="51" xfId="0" applyFont="1" applyFill="1" applyBorder="1" applyProtection="1"/>
    <xf numFmtId="0" fontId="5" fillId="24" borderId="38" xfId="0" applyFont="1" applyFill="1" applyBorder="1" applyAlignment="1" applyProtection="1">
      <alignment horizontal="center"/>
    </xf>
    <xf numFmtId="0" fontId="5" fillId="0" borderId="20" xfId="47" applyFont="1" applyFill="1" applyBorder="1" applyAlignment="1">
      <alignment vertical="center" wrapText="1"/>
    </xf>
    <xf numFmtId="0" fontId="5" fillId="0" borderId="100" xfId="47" applyFont="1" applyFill="1" applyBorder="1" applyAlignment="1">
      <alignment vertical="center" wrapText="1"/>
    </xf>
    <xf numFmtId="0" fontId="7" fillId="26" borderId="0" xfId="47" applyFont="1" applyFill="1" applyBorder="1" applyAlignment="1" applyProtection="1">
      <alignment vertical="top"/>
    </xf>
    <xf numFmtId="0" fontId="5" fillId="26" borderId="0" xfId="47" applyFont="1" applyFill="1" applyBorder="1" applyAlignment="1" applyProtection="1">
      <alignment horizontal="left"/>
    </xf>
    <xf numFmtId="0" fontId="35" fillId="26" borderId="0" xfId="47" applyFont="1" applyFill="1" applyBorder="1" applyAlignment="1" applyProtection="1">
      <alignment horizontal="left" vertical="center" indent="1"/>
    </xf>
    <xf numFmtId="0" fontId="5" fillId="0" borderId="19" xfId="47" applyFont="1" applyBorder="1" applyAlignment="1">
      <alignment wrapText="1"/>
    </xf>
    <xf numFmtId="0" fontId="4" fillId="0" borderId="0" xfId="47" applyFill="1" applyBorder="1"/>
    <xf numFmtId="0" fontId="4" fillId="0" borderId="0" xfId="47" applyFill="1" applyBorder="1" applyAlignment="1">
      <alignment horizontal="left"/>
    </xf>
    <xf numFmtId="1" fontId="4" fillId="0" borderId="0" xfId="47" applyNumberFormat="1" applyFill="1" applyBorder="1"/>
    <xf numFmtId="1" fontId="5" fillId="0" borderId="0" xfId="47" applyNumberFormat="1" applyFont="1" applyFill="1" applyBorder="1" applyAlignment="1" applyProtection="1">
      <alignment horizontal="center" vertical="center" wrapText="1"/>
    </xf>
    <xf numFmtId="0" fontId="5" fillId="0" borderId="0" xfId="47" applyFont="1" applyFill="1" applyBorder="1" applyAlignment="1" applyProtection="1">
      <alignment horizontal="center" vertical="center" wrapText="1"/>
    </xf>
    <xf numFmtId="0" fontId="0" fillId="26" borderId="0" xfId="0" applyFill="1" applyBorder="1" applyAlignment="1"/>
    <xf numFmtId="0" fontId="9" fillId="28" borderId="16" xfId="47" applyFont="1" applyFill="1" applyBorder="1" applyAlignment="1" applyProtection="1">
      <alignment horizontal="center" vertical="center" wrapText="1"/>
    </xf>
    <xf numFmtId="0" fontId="9" fillId="28" borderId="17" xfId="47" applyFont="1" applyFill="1" applyBorder="1" applyAlignment="1" applyProtection="1">
      <alignment horizontal="center" vertical="center" wrapText="1"/>
    </xf>
    <xf numFmtId="0" fontId="9" fillId="28" borderId="23" xfId="47" applyFont="1" applyFill="1" applyBorder="1" applyAlignment="1" applyProtection="1">
      <alignment horizontal="center" vertical="center" wrapText="1"/>
    </xf>
    <xf numFmtId="0" fontId="35" fillId="24" borderId="0" xfId="0" applyFont="1" applyFill="1" applyBorder="1" applyAlignment="1">
      <alignment horizontal="left"/>
    </xf>
    <xf numFmtId="0" fontId="44" fillId="24" borderId="0" xfId="0" applyFont="1" applyFill="1" applyBorder="1" applyAlignment="1">
      <alignment horizontal="right" vertical="top" wrapText="1"/>
    </xf>
    <xf numFmtId="0" fontId="0" fillId="0" borderId="0" xfId="0" applyBorder="1" applyAlignment="1">
      <alignment wrapText="1"/>
    </xf>
    <xf numFmtId="0" fontId="0" fillId="0" borderId="12" xfId="0" applyBorder="1" applyAlignment="1">
      <alignment wrapText="1"/>
    </xf>
    <xf numFmtId="0" fontId="7" fillId="40" borderId="28" xfId="0" applyFont="1" applyFill="1" applyBorder="1" applyAlignment="1">
      <alignment horizontal="center" vertical="center" wrapText="1"/>
    </xf>
    <xf numFmtId="0" fontId="7" fillId="40" borderId="28" xfId="0" applyFont="1" applyFill="1" applyBorder="1" applyAlignment="1">
      <alignment vertical="center" wrapText="1"/>
    </xf>
    <xf numFmtId="0" fontId="4" fillId="24" borderId="0" xfId="0" applyFont="1" applyFill="1" applyBorder="1" applyAlignment="1">
      <alignment horizontal="center" wrapText="1"/>
    </xf>
    <xf numFmtId="0" fontId="0" fillId="0" borderId="0" xfId="0" applyBorder="1" applyAlignment="1">
      <alignment horizontal="center" wrapText="1"/>
    </xf>
    <xf numFmtId="0" fontId="4" fillId="24" borderId="0" xfId="0" applyFont="1" applyFill="1" applyBorder="1" applyAlignment="1">
      <alignment horizontal="left" vertical="top" wrapText="1"/>
    </xf>
    <xf numFmtId="0" fontId="4" fillId="0" borderId="0" xfId="0" applyFont="1" applyBorder="1" applyAlignment="1">
      <alignment horizontal="left" vertical="top" wrapText="1"/>
    </xf>
    <xf numFmtId="0" fontId="72" fillId="24" borderId="113" xfId="0" applyFont="1" applyFill="1" applyBorder="1" applyAlignment="1">
      <alignment horizontal="center" vertical="center" wrapText="1"/>
    </xf>
    <xf numFmtId="0" fontId="74" fillId="26" borderId="0" xfId="34" applyFont="1" applyFill="1" applyBorder="1" applyAlignment="1" applyProtection="1">
      <alignment horizontal="center" vertical="center" wrapText="1"/>
    </xf>
    <xf numFmtId="0" fontId="32" fillId="26" borderId="0" xfId="0" applyFont="1" applyFill="1" applyBorder="1" applyAlignment="1">
      <alignment horizontal="left" vertical="center" wrapText="1" indent="2"/>
    </xf>
    <xf numFmtId="0" fontId="30" fillId="26" borderId="0" xfId="0" applyFont="1" applyFill="1" applyBorder="1" applyAlignment="1">
      <alignment horizontal="center" vertical="center" wrapText="1"/>
    </xf>
    <xf numFmtId="0" fontId="4" fillId="26" borderId="0" xfId="0" applyFont="1" applyFill="1" applyBorder="1" applyAlignment="1">
      <alignment horizontal="left" vertical="center" wrapText="1"/>
    </xf>
    <xf numFmtId="0" fontId="32" fillId="26" borderId="0" xfId="0" applyFont="1" applyFill="1" applyBorder="1" applyAlignment="1">
      <alignment horizontal="left" wrapText="1"/>
    </xf>
    <xf numFmtId="0" fontId="64" fillId="26" borderId="69" xfId="34" applyFont="1" applyFill="1" applyBorder="1" applyAlignment="1" applyProtection="1">
      <alignment horizontal="center" vertical="center" wrapText="1"/>
    </xf>
    <xf numFmtId="0" fontId="64" fillId="26" borderId="24" xfId="34" applyFont="1" applyFill="1" applyBorder="1" applyAlignment="1" applyProtection="1">
      <alignment horizontal="center" vertical="center" wrapText="1"/>
    </xf>
    <xf numFmtId="0" fontId="64" fillId="26" borderId="72" xfId="34" applyFont="1" applyFill="1" applyBorder="1" applyAlignment="1" applyProtection="1">
      <alignment horizontal="center" vertical="center" wrapText="1"/>
    </xf>
    <xf numFmtId="165" fontId="9" fillId="29" borderId="96" xfId="47" applyNumberFormat="1" applyFont="1" applyFill="1" applyBorder="1" applyAlignment="1" applyProtection="1">
      <alignment horizontal="center" vertical="center" textRotation="90" wrapText="1"/>
    </xf>
    <xf numFmtId="165" fontId="9" fillId="29" borderId="112" xfId="47" applyNumberFormat="1" applyFont="1" applyFill="1" applyBorder="1" applyAlignment="1" applyProtection="1">
      <alignment horizontal="center" vertical="center" textRotation="90" wrapText="1"/>
    </xf>
    <xf numFmtId="165" fontId="66" fillId="34" borderId="96" xfId="47" applyNumberFormat="1" applyFont="1" applyFill="1" applyBorder="1" applyAlignment="1" applyProtection="1">
      <alignment horizontal="center" vertical="center" textRotation="90" wrapText="1"/>
    </xf>
    <xf numFmtId="165" fontId="66" fillId="34" borderId="112" xfId="47" applyNumberFormat="1" applyFont="1" applyFill="1" applyBorder="1" applyAlignment="1" applyProtection="1">
      <alignment horizontal="center" vertical="center" textRotation="90" wrapText="1"/>
    </xf>
    <xf numFmtId="165" fontId="5" fillId="28" borderId="94" xfId="47" applyNumberFormat="1" applyFont="1" applyFill="1" applyBorder="1" applyAlignment="1" applyProtection="1">
      <alignment horizontal="center" vertical="center" textRotation="90" wrapText="1"/>
    </xf>
    <xf numFmtId="165" fontId="5" fillId="28" borderId="111" xfId="47" applyNumberFormat="1" applyFont="1" applyFill="1" applyBorder="1" applyAlignment="1" applyProtection="1">
      <alignment horizontal="center" vertical="center" textRotation="90" wrapText="1"/>
    </xf>
    <xf numFmtId="165" fontId="5" fillId="28" borderId="115" xfId="47" applyNumberFormat="1" applyFont="1" applyFill="1" applyBorder="1" applyAlignment="1" applyProtection="1">
      <alignment horizontal="center" vertical="center" textRotation="90" wrapText="1"/>
    </xf>
    <xf numFmtId="165" fontId="5" fillId="28" borderId="116" xfId="47" applyNumberFormat="1" applyFont="1" applyFill="1" applyBorder="1" applyAlignment="1" applyProtection="1">
      <alignment horizontal="center" vertical="center" textRotation="90" wrapText="1"/>
    </xf>
    <xf numFmtId="165" fontId="5" fillId="28" borderId="93" xfId="47" applyNumberFormat="1" applyFont="1" applyFill="1" applyBorder="1" applyAlignment="1" applyProtection="1">
      <alignment horizontal="center" vertical="center" textRotation="90" wrapText="1"/>
    </xf>
    <xf numFmtId="165" fontId="5" fillId="28" borderId="99" xfId="47" applyNumberFormat="1" applyFont="1" applyFill="1" applyBorder="1" applyAlignment="1" applyProtection="1">
      <alignment horizontal="center" vertical="center" textRotation="90" wrapText="1"/>
    </xf>
    <xf numFmtId="0" fontId="5" fillId="26" borderId="0" xfId="47" applyFont="1" applyFill="1" applyBorder="1" applyAlignment="1" applyProtection="1">
      <alignment horizontal="left" vertical="top" wrapText="1"/>
    </xf>
    <xf numFmtId="0" fontId="7" fillId="38" borderId="17" xfId="47" applyFont="1" applyFill="1" applyBorder="1" applyAlignment="1" applyProtection="1">
      <alignment horizontal="center" vertical="center"/>
      <protection locked="0"/>
    </xf>
    <xf numFmtId="0" fontId="7" fillId="46" borderId="17" xfId="47" applyFont="1" applyFill="1" applyBorder="1" applyAlignment="1" applyProtection="1">
      <alignment horizontal="right" vertical="top" indent="1"/>
    </xf>
    <xf numFmtId="0" fontId="64" fillId="26" borderId="93" xfId="34" applyFont="1" applyFill="1" applyBorder="1" applyAlignment="1" applyProtection="1">
      <alignment horizontal="center" vertical="center"/>
    </xf>
    <xf numFmtId="0" fontId="64" fillId="26" borderId="99" xfId="34" applyFont="1" applyFill="1" applyBorder="1" applyAlignment="1" applyProtection="1">
      <alignment horizontal="center" vertical="center"/>
    </xf>
    <xf numFmtId="0" fontId="5" fillId="26" borderId="104" xfId="47" applyFont="1" applyFill="1" applyBorder="1" applyAlignment="1" applyProtection="1">
      <alignment horizontal="center"/>
    </xf>
    <xf numFmtId="0" fontId="5" fillId="26" borderId="105" xfId="47" applyFont="1" applyFill="1" applyBorder="1" applyAlignment="1" applyProtection="1">
      <alignment horizontal="center"/>
    </xf>
    <xf numFmtId="0" fontId="5" fillId="26" borderId="106" xfId="47" applyFont="1" applyFill="1" applyBorder="1" applyAlignment="1" applyProtection="1">
      <alignment horizontal="center"/>
    </xf>
    <xf numFmtId="0" fontId="64" fillId="39" borderId="93" xfId="34" applyFont="1" applyFill="1" applyBorder="1" applyAlignment="1" applyProtection="1">
      <alignment horizontal="center" vertical="center" wrapText="1"/>
    </xf>
    <xf numFmtId="0" fontId="64" fillId="39" borderId="30" xfId="34" applyFont="1" applyFill="1" applyBorder="1" applyAlignment="1" applyProtection="1">
      <alignment horizontal="center" vertical="center" wrapText="1"/>
    </xf>
    <xf numFmtId="0" fontId="64" fillId="39" borderId="69" xfId="34" applyFont="1" applyFill="1" applyBorder="1" applyAlignment="1" applyProtection="1">
      <alignment horizontal="center" vertical="center" wrapText="1"/>
    </xf>
    <xf numFmtId="0" fontId="64" fillId="39" borderId="24" xfId="34" applyFont="1" applyFill="1" applyBorder="1" applyAlignment="1" applyProtection="1">
      <alignment horizontal="center" vertical="center" wrapText="1"/>
    </xf>
    <xf numFmtId="0" fontId="64" fillId="39" borderId="72" xfId="34" applyFont="1" applyFill="1" applyBorder="1" applyAlignment="1" applyProtection="1">
      <alignment horizontal="center" vertical="center" wrapText="1"/>
    </xf>
    <xf numFmtId="0" fontId="64" fillId="39" borderId="93" xfId="34" applyFont="1" applyFill="1" applyBorder="1" applyAlignment="1" applyProtection="1">
      <alignment horizontal="center" vertical="center"/>
    </xf>
    <xf numFmtId="0" fontId="64" fillId="39" borderId="30" xfId="34" applyFont="1" applyFill="1" applyBorder="1" applyAlignment="1" applyProtection="1">
      <alignment horizontal="center" vertical="center"/>
    </xf>
    <xf numFmtId="0" fontId="64" fillId="26" borderId="30" xfId="34" applyFont="1" applyFill="1" applyBorder="1" applyAlignment="1" applyProtection="1">
      <alignment horizontal="center" vertical="center" wrapText="1"/>
    </xf>
    <xf numFmtId="0" fontId="49" fillId="24" borderId="0" xfId="34" applyFill="1" applyBorder="1" applyAlignment="1" applyProtection="1">
      <alignment horizontal="left" vertical="center" wrapText="1"/>
    </xf>
    <xf numFmtId="0" fontId="0" fillId="0" borderId="0" xfId="0" applyBorder="1" applyAlignment="1"/>
    <xf numFmtId="0" fontId="49" fillId="0" borderId="0" xfId="34" applyBorder="1" applyAlignment="1" applyProtection="1"/>
    <xf numFmtId="0" fontId="49" fillId="26" borderId="0" xfId="34" applyFill="1" applyBorder="1" applyAlignment="1" applyProtection="1">
      <alignment horizontal="left" vertical="center" wrapText="1"/>
    </xf>
    <xf numFmtId="0" fontId="0" fillId="26" borderId="0" xfId="0" applyFill="1" applyBorder="1" applyAlignment="1"/>
    <xf numFmtId="0" fontId="49" fillId="26" borderId="0" xfId="34" applyFill="1" applyBorder="1" applyAlignment="1" applyProtection="1"/>
    <xf numFmtId="0" fontId="50" fillId="24" borderId="0" xfId="0" applyFont="1" applyFill="1" applyBorder="1" applyAlignment="1" applyProtection="1">
      <alignment vertical="top"/>
    </xf>
    <xf numFmtId="0" fontId="0" fillId="0" borderId="0" xfId="0" applyBorder="1" applyAlignment="1">
      <alignment vertical="top"/>
    </xf>
    <xf numFmtId="0" fontId="9" fillId="28" borderId="16" xfId="0" applyFont="1" applyFill="1" applyBorder="1" applyAlignment="1" applyProtection="1">
      <alignment horizontal="center" vertical="center" wrapText="1"/>
    </xf>
    <xf numFmtId="0" fontId="9" fillId="28" borderId="17" xfId="0" applyFont="1" applyFill="1" applyBorder="1" applyAlignment="1" applyProtection="1">
      <alignment horizontal="center" vertical="center" wrapText="1"/>
    </xf>
    <xf numFmtId="0" fontId="9" fillId="28" borderId="23" xfId="0" applyFont="1" applyFill="1" applyBorder="1" applyAlignment="1" applyProtection="1">
      <alignment horizontal="center" vertical="center" wrapText="1"/>
    </xf>
    <xf numFmtId="0" fontId="34" fillId="26" borderId="18" xfId="0" applyFont="1" applyFill="1" applyBorder="1" applyAlignment="1" applyProtection="1">
      <alignment horizontal="center" vertical="center"/>
    </xf>
    <xf numFmtId="0" fontId="34" fillId="26" borderId="54" xfId="0" applyFont="1" applyFill="1" applyBorder="1" applyAlignment="1" applyProtection="1">
      <alignment horizontal="center" vertical="center"/>
    </xf>
    <xf numFmtId="0" fontId="34" fillId="26" borderId="13" xfId="0" applyFont="1" applyFill="1" applyBorder="1" applyAlignment="1" applyProtection="1">
      <alignment horizontal="center" vertical="center"/>
    </xf>
    <xf numFmtId="0" fontId="34" fillId="24" borderId="18" xfId="0" applyFont="1" applyFill="1" applyBorder="1" applyAlignment="1" applyProtection="1">
      <alignment horizontal="center" vertical="center"/>
    </xf>
    <xf numFmtId="0" fontId="34" fillId="24" borderId="54" xfId="0" applyFont="1" applyFill="1" applyBorder="1" applyAlignment="1" applyProtection="1">
      <alignment horizontal="center" vertical="center"/>
    </xf>
    <xf numFmtId="0" fontId="34" fillId="24" borderId="13" xfId="0" applyFont="1" applyFill="1" applyBorder="1" applyAlignment="1" applyProtection="1">
      <alignment horizontal="center" vertical="center"/>
    </xf>
    <xf numFmtId="0" fontId="37" fillId="0" borderId="18" xfId="0" applyFont="1" applyBorder="1" applyAlignment="1" applyProtection="1">
      <alignment horizontal="center" textRotation="90" wrapText="1"/>
    </xf>
    <xf numFmtId="0" fontId="37" fillId="0" borderId="55" xfId="0" applyFont="1" applyBorder="1" applyAlignment="1" applyProtection="1">
      <alignment horizontal="center" textRotation="90" wrapText="1"/>
    </xf>
    <xf numFmtId="0" fontId="5" fillId="0" borderId="18" xfId="0" applyFont="1" applyBorder="1" applyAlignment="1" applyProtection="1">
      <alignment horizontal="center" textRotation="90" wrapText="1"/>
    </xf>
    <xf numFmtId="0" fontId="35" fillId="24" borderId="0" xfId="0" applyFont="1" applyFill="1" applyBorder="1" applyAlignment="1" applyProtection="1">
      <alignment vertical="top" wrapText="1"/>
    </xf>
    <xf numFmtId="0" fontId="35" fillId="0" borderId="0" xfId="0" applyFont="1" applyBorder="1" applyAlignment="1" applyProtection="1">
      <alignment wrapText="1"/>
    </xf>
    <xf numFmtId="0" fontId="37" fillId="0" borderId="25" xfId="0" applyFont="1" applyBorder="1" applyAlignment="1" applyProtection="1">
      <alignment horizontal="center" textRotation="90" wrapText="1"/>
    </xf>
    <xf numFmtId="0" fontId="37" fillId="0" borderId="33" xfId="0" applyFont="1" applyBorder="1" applyAlignment="1" applyProtection="1">
      <alignment horizontal="center" textRotation="90" wrapText="1"/>
    </xf>
    <xf numFmtId="0" fontId="37" fillId="0" borderId="46" xfId="0" applyFont="1" applyBorder="1" applyAlignment="1" applyProtection="1">
      <alignment horizontal="center" textRotation="90" wrapText="1"/>
    </xf>
    <xf numFmtId="0" fontId="37" fillId="0" borderId="60" xfId="0" applyFont="1" applyBorder="1" applyAlignment="1" applyProtection="1">
      <alignment horizontal="center" textRotation="90" wrapText="1"/>
    </xf>
    <xf numFmtId="0" fontId="34" fillId="24" borderId="25" xfId="0" applyFont="1" applyFill="1" applyBorder="1" applyAlignment="1" applyProtection="1">
      <alignment horizontal="center" vertical="center" wrapText="1"/>
    </xf>
    <xf numFmtId="0" fontId="34" fillId="24" borderId="32" xfId="0" applyFont="1" applyFill="1" applyBorder="1" applyAlignment="1" applyProtection="1">
      <alignment horizontal="center" vertical="center" wrapText="1"/>
    </xf>
    <xf numFmtId="0" fontId="34" fillId="24" borderId="33" xfId="0" applyFont="1" applyFill="1" applyBorder="1" applyAlignment="1" applyProtection="1">
      <alignment horizontal="center" vertical="center" wrapText="1"/>
    </xf>
    <xf numFmtId="0" fontId="34" fillId="24" borderId="18" xfId="0" applyFont="1" applyFill="1" applyBorder="1" applyAlignment="1" applyProtection="1">
      <alignment horizontal="center" vertical="center" wrapText="1"/>
    </xf>
    <xf numFmtId="0" fontId="34" fillId="24" borderId="54" xfId="0" applyFont="1" applyFill="1" applyBorder="1" applyAlignment="1" applyProtection="1">
      <alignment horizontal="center" vertical="center" wrapText="1"/>
    </xf>
    <xf numFmtId="0" fontId="34" fillId="24" borderId="13" xfId="0" applyFont="1" applyFill="1" applyBorder="1" applyAlignment="1" applyProtection="1">
      <alignment horizontal="center" vertical="center" wrapText="1"/>
    </xf>
    <xf numFmtId="0" fontId="0" fillId="0" borderId="0" xfId="0" applyBorder="1" applyAlignment="1" applyProtection="1">
      <alignment wrapText="1"/>
    </xf>
    <xf numFmtId="0" fontId="50" fillId="24" borderId="0" xfId="0" applyFont="1" applyFill="1" applyBorder="1" applyAlignment="1" applyProtection="1">
      <alignment vertical="top" wrapText="1"/>
    </xf>
    <xf numFmtId="0" fontId="0" fillId="0" borderId="0" xfId="0" applyBorder="1" applyAlignment="1">
      <alignment vertical="top" wrapText="1"/>
    </xf>
    <xf numFmtId="0" fontId="8" fillId="24" borderId="43" xfId="0" applyFont="1" applyFill="1" applyBorder="1" applyAlignment="1" applyProtection="1">
      <alignment horizontal="center" wrapText="1"/>
    </xf>
    <xf numFmtId="0" fontId="8" fillId="24" borderId="44" xfId="0" applyFont="1" applyFill="1" applyBorder="1" applyAlignment="1" applyProtection="1">
      <alignment horizontal="center" wrapText="1"/>
    </xf>
    <xf numFmtId="0" fontId="34" fillId="24" borderId="41" xfId="0" applyFont="1" applyFill="1" applyBorder="1" applyAlignment="1" applyProtection="1">
      <alignment horizontal="center" wrapText="1"/>
    </xf>
    <xf numFmtId="0" fontId="47" fillId="26" borderId="11" xfId="0" applyFont="1" applyFill="1" applyBorder="1" applyAlignment="1" applyProtection="1">
      <alignment horizontal="left" vertical="center" wrapText="1"/>
    </xf>
    <xf numFmtId="0" fontId="35" fillId="24" borderId="0" xfId="0" applyFont="1" applyFill="1" applyBorder="1" applyAlignment="1" applyProtection="1">
      <alignment horizontal="left" vertical="top" wrapText="1"/>
    </xf>
    <xf numFmtId="0" fontId="32" fillId="24" borderId="0" xfId="0" applyFont="1" applyFill="1" applyBorder="1" applyAlignment="1" applyProtection="1">
      <alignment vertical="top" wrapText="1"/>
    </xf>
    <xf numFmtId="0" fontId="0" fillId="0" borderId="0" xfId="0" applyBorder="1" applyAlignment="1" applyProtection="1">
      <alignment vertical="top" wrapText="1"/>
    </xf>
    <xf numFmtId="0" fontId="50" fillId="26" borderId="0" xfId="0" applyFont="1" applyFill="1" applyBorder="1" applyAlignment="1" applyProtection="1">
      <alignment vertical="top" wrapText="1"/>
    </xf>
    <xf numFmtId="0" fontId="0" fillId="26" borderId="0" xfId="0" applyFill="1" applyBorder="1" applyAlignment="1">
      <alignment vertical="top" wrapText="1"/>
    </xf>
    <xf numFmtId="0" fontId="5" fillId="26" borderId="0" xfId="0" applyFont="1" applyFill="1" applyBorder="1" applyAlignment="1" applyProtection="1">
      <alignment horizontal="left" vertical="center" wrapText="1"/>
    </xf>
    <xf numFmtId="0" fontId="0" fillId="0" borderId="0" xfId="0" applyBorder="1" applyAlignment="1" applyProtection="1"/>
    <xf numFmtId="0" fontId="0" fillId="0" borderId="42" xfId="0" applyBorder="1" applyAlignment="1" applyProtection="1"/>
    <xf numFmtId="0" fontId="33" fillId="24" borderId="43" xfId="0" applyFont="1" applyFill="1" applyBorder="1" applyAlignment="1" applyProtection="1">
      <alignment horizontal="center" wrapText="1"/>
    </xf>
    <xf numFmtId="0" fontId="33" fillId="0" borderId="44" xfId="0" applyFont="1" applyBorder="1" applyAlignment="1" applyProtection="1">
      <alignment horizontal="center" wrapText="1"/>
    </xf>
    <xf numFmtId="0" fontId="33" fillId="0" borderId="57" xfId="0" applyFont="1" applyBorder="1" applyAlignment="1" applyProtection="1">
      <alignment horizontal="center" wrapText="1"/>
    </xf>
    <xf numFmtId="0" fontId="33" fillId="0" borderId="45" xfId="0" applyFont="1" applyBorder="1" applyAlignment="1" applyProtection="1">
      <alignment horizontal="center" wrapText="1"/>
    </xf>
    <xf numFmtId="0" fontId="9" fillId="24" borderId="20" xfId="0" applyFont="1" applyFill="1" applyBorder="1" applyAlignment="1" applyProtection="1">
      <alignment horizontal="left" vertical="top" wrapText="1"/>
      <protection locked="0"/>
    </xf>
    <xf numFmtId="0" fontId="0" fillId="0" borderId="28" xfId="0" applyBorder="1" applyAlignment="1" applyProtection="1">
      <alignment wrapText="1"/>
      <protection locked="0"/>
    </xf>
    <xf numFmtId="0" fontId="0" fillId="0" borderId="16" xfId="0" applyBorder="1" applyAlignment="1" applyProtection="1">
      <alignment wrapText="1"/>
      <protection locked="0"/>
    </xf>
    <xf numFmtId="0" fontId="5" fillId="24" borderId="15" xfId="0" applyFont="1" applyFill="1" applyBorder="1" applyAlignment="1" applyProtection="1">
      <alignment horizontal="left" vertical="center" wrapText="1"/>
    </xf>
    <xf numFmtId="0" fontId="5" fillId="24" borderId="59" xfId="0" applyFont="1" applyFill="1" applyBorder="1" applyAlignment="1" applyProtection="1">
      <alignment horizontal="left" vertical="center" wrapText="1"/>
    </xf>
    <xf numFmtId="0" fontId="5" fillId="24" borderId="60" xfId="0" applyFont="1" applyFill="1" applyBorder="1" applyAlignment="1" applyProtection="1">
      <alignment horizontal="left" vertical="center" wrapText="1"/>
    </xf>
    <xf numFmtId="0" fontId="5" fillId="0" borderId="20" xfId="0" applyFont="1" applyBorder="1" applyAlignment="1" applyProtection="1">
      <alignment horizontal="left" vertical="center" wrapText="1"/>
    </xf>
    <xf numFmtId="0" fontId="5" fillId="0" borderId="28" xfId="0" applyFont="1" applyBorder="1" applyAlignment="1" applyProtection="1">
      <alignment horizontal="left" vertical="center" wrapText="1"/>
    </xf>
    <xf numFmtId="0" fontId="5" fillId="0" borderId="16" xfId="0" applyFont="1" applyBorder="1" applyAlignment="1" applyProtection="1">
      <alignment horizontal="left" vertical="center" wrapText="1"/>
    </xf>
    <xf numFmtId="0" fontId="54" fillId="0" borderId="18" xfId="0" applyFont="1" applyFill="1" applyBorder="1" applyAlignment="1" applyProtection="1">
      <alignment horizontal="center" vertical="center" wrapText="1"/>
    </xf>
    <xf numFmtId="0" fontId="54" fillId="0" borderId="13" xfId="0" applyFont="1" applyFill="1" applyBorder="1" applyAlignment="1" applyProtection="1">
      <alignment horizontal="center" vertical="center" wrapText="1"/>
    </xf>
    <xf numFmtId="0" fontId="5" fillId="24" borderId="20" xfId="0" applyFont="1" applyFill="1" applyBorder="1" applyAlignment="1" applyProtection="1">
      <alignment horizontal="center" vertical="center"/>
    </xf>
    <xf numFmtId="0" fontId="5" fillId="24" borderId="16" xfId="0" applyFont="1" applyFill="1" applyBorder="1" applyAlignment="1" applyProtection="1">
      <alignment horizontal="center" vertical="center"/>
    </xf>
    <xf numFmtId="0" fontId="5" fillId="0" borderId="20" xfId="0" applyFont="1" applyBorder="1" applyAlignment="1">
      <alignment horizontal="left" vertical="center" wrapText="1"/>
    </xf>
    <xf numFmtId="0" fontId="5" fillId="0" borderId="16" xfId="0" applyFont="1" applyBorder="1" applyAlignment="1">
      <alignment horizontal="left" vertical="center" wrapText="1"/>
    </xf>
    <xf numFmtId="0" fontId="9" fillId="27" borderId="20" xfId="0" applyFont="1" applyFill="1" applyBorder="1" applyAlignment="1">
      <alignment horizontal="center" vertical="center" wrapText="1"/>
    </xf>
    <xf numFmtId="0" fontId="9" fillId="27" borderId="28" xfId="0" applyFont="1" applyFill="1" applyBorder="1" applyAlignment="1">
      <alignment horizontal="center" vertical="center" wrapText="1"/>
    </xf>
    <xf numFmtId="0" fontId="9" fillId="27" borderId="34" xfId="0" applyFont="1" applyFill="1" applyBorder="1" applyAlignment="1">
      <alignment horizontal="center" vertical="center" wrapText="1"/>
    </xf>
    <xf numFmtId="0" fontId="7" fillId="28" borderId="17" xfId="0" applyFont="1" applyFill="1" applyBorder="1" applyAlignment="1">
      <alignment horizontal="center" vertical="center" wrapText="1"/>
    </xf>
    <xf numFmtId="0" fontId="7" fillId="28" borderId="23" xfId="0" applyFont="1" applyFill="1" applyBorder="1" applyAlignment="1">
      <alignment horizontal="center" vertical="center" wrapText="1"/>
    </xf>
    <xf numFmtId="0" fontId="9" fillId="28" borderId="29" xfId="0" applyFont="1" applyFill="1" applyBorder="1" applyAlignment="1" applyProtection="1">
      <alignment horizontal="center" vertical="center" wrapText="1"/>
    </xf>
    <xf numFmtId="0" fontId="9" fillId="28" borderId="37" xfId="0" applyFont="1" applyFill="1" applyBorder="1" applyAlignment="1" applyProtection="1">
      <alignment horizontal="center" vertical="center" wrapText="1"/>
    </xf>
    <xf numFmtId="0" fontId="9" fillId="33" borderId="20" xfId="0" applyFont="1" applyFill="1" applyBorder="1" applyAlignment="1" applyProtection="1">
      <alignment horizontal="center" vertical="center" wrapText="1"/>
    </xf>
    <xf numFmtId="0" fontId="9" fillId="33" borderId="28" xfId="0" applyFont="1" applyFill="1" applyBorder="1" applyAlignment="1" applyProtection="1">
      <alignment horizontal="center" vertical="center" wrapText="1"/>
    </xf>
    <xf numFmtId="0" fontId="9" fillId="33" borderId="25" xfId="0" applyFont="1" applyFill="1" applyBorder="1" applyAlignment="1" applyProtection="1">
      <alignment horizontal="center" vertical="center" wrapText="1"/>
    </xf>
    <xf numFmtId="0" fontId="9" fillId="33" borderId="33" xfId="0" applyFont="1" applyFill="1" applyBorder="1" applyAlignment="1" applyProtection="1">
      <alignment horizontal="center" vertical="center" wrapText="1"/>
    </xf>
    <xf numFmtId="0" fontId="5" fillId="24" borderId="0" xfId="0" applyFont="1" applyFill="1" applyBorder="1" applyAlignment="1" applyProtection="1">
      <alignment horizontal="left" wrapText="1"/>
    </xf>
    <xf numFmtId="0" fontId="5" fillId="24" borderId="83" xfId="0" applyFont="1" applyFill="1" applyBorder="1" applyAlignment="1" applyProtection="1">
      <alignment horizontal="left" wrapText="1"/>
    </xf>
    <xf numFmtId="3" fontId="5" fillId="24" borderId="20" xfId="0" applyNumberFormat="1" applyFont="1" applyFill="1" applyBorder="1" applyAlignment="1" applyProtection="1">
      <alignment horizontal="center" vertical="center"/>
    </xf>
    <xf numFmtId="3" fontId="5" fillId="24" borderId="16" xfId="0" applyNumberFormat="1" applyFont="1" applyFill="1" applyBorder="1" applyAlignment="1" applyProtection="1">
      <alignment horizontal="center" vertical="center"/>
    </xf>
    <xf numFmtId="3" fontId="5" fillId="24" borderId="34" xfId="0" applyNumberFormat="1" applyFont="1" applyFill="1" applyBorder="1" applyAlignment="1" applyProtection="1">
      <alignment horizontal="center" vertical="center"/>
    </xf>
    <xf numFmtId="0" fontId="5" fillId="24" borderId="19" xfId="0" applyFont="1" applyFill="1" applyBorder="1" applyAlignment="1" applyProtection="1">
      <alignment horizontal="center" vertical="top" wrapText="1"/>
      <protection locked="0"/>
    </xf>
    <xf numFmtId="0" fontId="5" fillId="24" borderId="11" xfId="0" applyFont="1" applyFill="1" applyBorder="1" applyAlignment="1" applyProtection="1">
      <alignment horizontal="center" vertical="top" wrapText="1"/>
      <protection locked="0"/>
    </xf>
    <xf numFmtId="0" fontId="5" fillId="24" borderId="27" xfId="0" applyFont="1" applyFill="1" applyBorder="1" applyAlignment="1" applyProtection="1">
      <alignment horizontal="center" vertical="top" wrapText="1"/>
      <protection locked="0"/>
    </xf>
    <xf numFmtId="0" fontId="5" fillId="24" borderId="15" xfId="0" applyFont="1" applyFill="1" applyBorder="1" applyAlignment="1" applyProtection="1">
      <alignment horizontal="center" vertical="top" wrapText="1"/>
      <protection locked="0"/>
    </xf>
    <xf numFmtId="0" fontId="5" fillId="24" borderId="108" xfId="0" applyFont="1" applyFill="1" applyBorder="1" applyAlignment="1" applyProtection="1">
      <alignment horizontal="center" vertical="top" wrapText="1"/>
      <protection locked="0"/>
    </xf>
    <xf numFmtId="0" fontId="5" fillId="24" borderId="109" xfId="0" applyFont="1" applyFill="1" applyBorder="1" applyAlignment="1" applyProtection="1">
      <alignment horizontal="center" vertical="top" wrapText="1"/>
      <protection locked="0"/>
    </xf>
    <xf numFmtId="3" fontId="5" fillId="24" borderId="17" xfId="0" applyNumberFormat="1" applyFont="1" applyFill="1" applyBorder="1" applyAlignment="1" applyProtection="1">
      <alignment horizontal="center" vertical="center"/>
    </xf>
    <xf numFmtId="0" fontId="5" fillId="24" borderId="17" xfId="0" applyFont="1" applyFill="1" applyBorder="1" applyAlignment="1" applyProtection="1">
      <alignment horizontal="center" vertical="center"/>
    </xf>
    <xf numFmtId="0" fontId="5" fillId="24" borderId="23" xfId="0" applyFont="1" applyFill="1" applyBorder="1" applyAlignment="1" applyProtection="1">
      <alignment horizontal="center" vertical="center"/>
    </xf>
    <xf numFmtId="0" fontId="34" fillId="24" borderId="61" xfId="0" applyFont="1" applyFill="1" applyBorder="1" applyAlignment="1" applyProtection="1">
      <alignment horizontal="center" wrapText="1"/>
    </xf>
    <xf numFmtId="0" fontId="0" fillId="28" borderId="17" xfId="0" applyFill="1" applyBorder="1" applyAlignment="1">
      <alignment wrapText="1"/>
    </xf>
    <xf numFmtId="0" fontId="33" fillId="24" borderId="86" xfId="0" applyFont="1" applyFill="1" applyBorder="1" applyAlignment="1" applyProtection="1">
      <alignment horizontal="center" wrapText="1"/>
    </xf>
    <xf numFmtId="0" fontId="33" fillId="0" borderId="87" xfId="0" applyFont="1" applyBorder="1" applyAlignment="1" applyProtection="1">
      <alignment horizontal="center" wrapText="1"/>
    </xf>
    <xf numFmtId="0" fontId="33" fillId="0" borderId="107" xfId="0" applyFont="1" applyBorder="1" applyAlignment="1" applyProtection="1">
      <alignment horizontal="center" wrapText="1"/>
    </xf>
    <xf numFmtId="0" fontId="54" fillId="0" borderId="29" xfId="0" applyFont="1" applyFill="1" applyBorder="1" applyAlignment="1" applyProtection="1">
      <alignment horizontal="center" vertical="center" textRotation="90" wrapText="1"/>
    </xf>
    <xf numFmtId="0" fontId="54" fillId="0" borderId="110" xfId="0" applyFont="1" applyFill="1" applyBorder="1" applyAlignment="1" applyProtection="1">
      <alignment horizontal="center" vertical="center" textRotation="90" wrapText="1"/>
    </xf>
    <xf numFmtId="0" fontId="7" fillId="26" borderId="20" xfId="0" applyFont="1" applyFill="1" applyBorder="1" applyAlignment="1">
      <alignment horizontal="center" vertical="center"/>
    </xf>
    <xf numFmtId="0" fontId="7" fillId="26" borderId="28" xfId="0" applyFont="1" applyFill="1" applyBorder="1" applyAlignment="1">
      <alignment horizontal="center" vertical="center"/>
    </xf>
    <xf numFmtId="0" fontId="7" fillId="26" borderId="16" xfId="0" applyFont="1" applyFill="1" applyBorder="1" applyAlignment="1">
      <alignment horizontal="center" vertical="center"/>
    </xf>
    <xf numFmtId="0" fontId="59" fillId="30" borderId="28" xfId="0" applyFont="1" applyFill="1" applyBorder="1" applyAlignment="1" applyProtection="1">
      <alignment horizontal="center" vertical="center"/>
      <protection locked="0"/>
    </xf>
    <xf numFmtId="0" fontId="59" fillId="30" borderId="16" xfId="0" applyFont="1" applyFill="1" applyBorder="1" applyAlignment="1" applyProtection="1">
      <alignment horizontal="center" vertical="center"/>
      <protection locked="0"/>
    </xf>
    <xf numFmtId="0" fontId="9" fillId="25" borderId="17" xfId="0" applyFont="1" applyFill="1" applyBorder="1" applyAlignment="1" applyProtection="1">
      <alignment horizontal="center" vertical="center" wrapText="1"/>
    </xf>
    <xf numFmtId="0" fontId="0" fillId="0" borderId="23" xfId="0" applyBorder="1" applyAlignment="1">
      <alignment wrapText="1"/>
    </xf>
    <xf numFmtId="0" fontId="0" fillId="0" borderId="17" xfId="0" applyBorder="1" applyAlignment="1">
      <alignment wrapText="1"/>
    </xf>
    <xf numFmtId="0" fontId="0" fillId="28" borderId="23" xfId="0" applyFill="1" applyBorder="1" applyAlignment="1">
      <alignment wrapText="1"/>
    </xf>
    <xf numFmtId="0" fontId="5" fillId="24" borderId="108" xfId="0" applyFont="1" applyFill="1" applyBorder="1" applyAlignment="1" applyProtection="1">
      <alignment horizontal="left" wrapText="1"/>
    </xf>
    <xf numFmtId="0" fontId="5" fillId="26" borderId="0" xfId="0" applyFont="1" applyFill="1" applyBorder="1" applyAlignment="1" applyProtection="1">
      <alignment horizontal="left" wrapText="1"/>
    </xf>
    <xf numFmtId="0" fontId="5" fillId="26" borderId="108" xfId="0" applyFont="1" applyFill="1" applyBorder="1" applyAlignment="1" applyProtection="1">
      <alignment horizontal="left" wrapText="1"/>
    </xf>
    <xf numFmtId="0" fontId="9" fillId="0" borderId="18" xfId="0" applyFont="1" applyFill="1" applyBorder="1" applyAlignment="1" applyProtection="1">
      <alignment horizontal="center" vertical="center" wrapText="1"/>
    </xf>
    <xf numFmtId="0" fontId="9" fillId="0" borderId="55" xfId="0" applyFont="1" applyFill="1" applyBorder="1" applyAlignment="1" applyProtection="1">
      <alignment horizontal="center" vertical="center" wrapText="1"/>
    </xf>
    <xf numFmtId="0" fontId="9" fillId="0" borderId="17" xfId="0" applyFont="1" applyFill="1" applyBorder="1" applyAlignment="1" applyProtection="1">
      <alignment horizontal="center" vertical="center" wrapText="1"/>
    </xf>
    <xf numFmtId="0" fontId="0" fillId="0" borderId="23" xfId="0" applyFill="1" applyBorder="1" applyAlignment="1">
      <alignment wrapText="1"/>
    </xf>
    <xf numFmtId="0" fontId="32" fillId="24" borderId="0" xfId="0" applyFont="1" applyFill="1" applyBorder="1" applyAlignment="1" applyProtection="1">
      <alignment horizontal="left" vertical="top" wrapText="1"/>
    </xf>
    <xf numFmtId="0" fontId="0" fillId="0" borderId="17" xfId="0" applyFill="1" applyBorder="1" applyAlignment="1">
      <alignment wrapText="1"/>
    </xf>
    <xf numFmtId="0" fontId="38" fillId="0" borderId="17" xfId="0" applyFont="1" applyFill="1" applyBorder="1" applyAlignment="1" applyProtection="1">
      <alignment horizontal="center"/>
    </xf>
    <xf numFmtId="0" fontId="32" fillId="26" borderId="0" xfId="0" applyFont="1" applyFill="1" applyBorder="1" applyAlignment="1" applyProtection="1">
      <alignment horizontal="left" vertical="top" wrapText="1"/>
    </xf>
    <xf numFmtId="0" fontId="9" fillId="26" borderId="0" xfId="0" applyFont="1" applyFill="1" applyBorder="1" applyAlignment="1" applyProtection="1">
      <alignment horizontal="left" vertical="top" wrapText="1"/>
    </xf>
    <xf numFmtId="0" fontId="52" fillId="0" borderId="20" xfId="0" applyFont="1" applyFill="1" applyBorder="1" applyAlignment="1" applyProtection="1">
      <alignment horizontal="center"/>
    </xf>
    <xf numFmtId="0" fontId="52" fillId="0" borderId="28" xfId="0" applyFont="1" applyFill="1" applyBorder="1" applyAlignment="1" applyProtection="1">
      <alignment horizontal="center"/>
    </xf>
    <xf numFmtId="0" fontId="52" fillId="0" borderId="34" xfId="0" applyFont="1" applyFill="1" applyBorder="1" applyAlignment="1" applyProtection="1">
      <alignment horizontal="center"/>
    </xf>
    <xf numFmtId="0" fontId="52" fillId="0" borderId="16" xfId="0" applyFont="1" applyFill="1" applyBorder="1" applyAlignment="1" applyProtection="1">
      <alignment horizontal="center"/>
    </xf>
    <xf numFmtId="0" fontId="9" fillId="27" borderId="19" xfId="0" applyFont="1" applyFill="1" applyBorder="1" applyAlignment="1">
      <alignment horizontal="center" vertical="center" wrapText="1"/>
    </xf>
    <xf numFmtId="0" fontId="9" fillId="27" borderId="11" xfId="0" applyFont="1" applyFill="1" applyBorder="1" applyAlignment="1">
      <alignment horizontal="center" vertical="center" wrapText="1"/>
    </xf>
    <xf numFmtId="0" fontId="9" fillId="27" borderId="63" xfId="0" applyFont="1" applyFill="1" applyBorder="1" applyAlignment="1">
      <alignment horizontal="center" vertical="center" wrapText="1"/>
    </xf>
    <xf numFmtId="0" fontId="32" fillId="26" borderId="0" xfId="0" applyFont="1" applyFill="1" applyBorder="1" applyAlignment="1" applyProtection="1">
      <alignment horizontal="left" wrapText="1"/>
    </xf>
    <xf numFmtId="0" fontId="7" fillId="26" borderId="0" xfId="0" applyFont="1" applyFill="1" applyBorder="1" applyAlignment="1" applyProtection="1">
      <alignment horizontal="left" vertical="top" wrapText="1"/>
    </xf>
    <xf numFmtId="9" fontId="5" fillId="0" borderId="20" xfId="0" applyNumberFormat="1" applyFont="1" applyFill="1" applyBorder="1" applyAlignment="1" applyProtection="1">
      <alignment horizontal="center" vertical="center"/>
    </xf>
    <xf numFmtId="9" fontId="5" fillId="0" borderId="16" xfId="0" applyNumberFormat="1" applyFont="1" applyFill="1" applyBorder="1" applyAlignment="1" applyProtection="1">
      <alignment horizontal="center" vertical="center"/>
    </xf>
    <xf numFmtId="9" fontId="5" fillId="29" borderId="20" xfId="0" applyNumberFormat="1" applyFont="1" applyFill="1" applyBorder="1" applyAlignment="1" applyProtection="1">
      <alignment horizontal="center" vertical="center"/>
    </xf>
    <xf numFmtId="9" fontId="5" fillId="29" borderId="16" xfId="0" applyNumberFormat="1" applyFont="1" applyFill="1" applyBorder="1" applyAlignment="1" applyProtection="1">
      <alignment horizontal="center" vertical="center"/>
    </xf>
    <xf numFmtId="9" fontId="60" fillId="34" borderId="20" xfId="0" applyNumberFormat="1" applyFont="1" applyFill="1" applyBorder="1" applyAlignment="1" applyProtection="1">
      <alignment horizontal="center" vertical="center"/>
    </xf>
    <xf numFmtId="9" fontId="60" fillId="34" borderId="16" xfId="0" applyNumberFormat="1" applyFont="1" applyFill="1" applyBorder="1" applyAlignment="1" applyProtection="1">
      <alignment horizontal="center" vertical="center"/>
    </xf>
    <xf numFmtId="0" fontId="9" fillId="33" borderId="20" xfId="0" quotePrefix="1" applyFont="1" applyFill="1" applyBorder="1" applyAlignment="1" applyProtection="1">
      <alignment horizontal="center" vertical="center" wrapText="1"/>
    </xf>
    <xf numFmtId="0" fontId="9" fillId="33" borderId="16" xfId="0" applyFont="1" applyFill="1" applyBorder="1" applyAlignment="1" applyProtection="1">
      <alignment horizontal="center" vertical="center" wrapText="1"/>
    </xf>
    <xf numFmtId="0" fontId="9" fillId="33" borderId="22" xfId="0" applyFont="1" applyFill="1" applyBorder="1" applyAlignment="1" applyProtection="1">
      <alignment horizontal="center" vertical="center" wrapText="1"/>
    </xf>
    <xf numFmtId="0" fontId="9" fillId="33" borderId="34" xfId="0" applyFont="1" applyFill="1" applyBorder="1" applyAlignment="1" applyProtection="1">
      <alignment horizontal="center" vertical="center" wrapText="1"/>
    </xf>
    <xf numFmtId="0" fontId="5" fillId="26" borderId="83" xfId="0" applyFont="1" applyFill="1" applyBorder="1" applyAlignment="1" applyProtection="1">
      <alignment horizontal="left" wrapText="1"/>
    </xf>
    <xf numFmtId="0" fontId="9" fillId="28" borderId="20" xfId="0" applyFont="1" applyFill="1" applyBorder="1" applyAlignment="1" applyProtection="1">
      <alignment horizontal="center" vertical="center" wrapText="1"/>
    </xf>
    <xf numFmtId="0" fontId="9" fillId="28" borderId="28" xfId="0" applyFont="1" applyFill="1" applyBorder="1" applyAlignment="1" applyProtection="1">
      <alignment horizontal="center" vertical="center" wrapText="1"/>
    </xf>
    <xf numFmtId="0" fontId="9" fillId="28" borderId="34" xfId="0" applyFont="1" applyFill="1" applyBorder="1" applyAlignment="1" applyProtection="1">
      <alignment horizontal="center" vertical="center" wrapText="1"/>
    </xf>
    <xf numFmtId="0" fontId="33" fillId="24" borderId="87" xfId="0" applyFont="1" applyFill="1" applyBorder="1" applyAlignment="1" applyProtection="1">
      <alignment horizontal="center" wrapText="1"/>
    </xf>
    <xf numFmtId="0" fontId="33" fillId="24" borderId="107" xfId="0" applyFont="1" applyFill="1" applyBorder="1" applyAlignment="1" applyProtection="1">
      <alignment horizontal="center" wrapText="1"/>
    </xf>
    <xf numFmtId="0" fontId="5" fillId="0" borderId="17" xfId="0" applyFont="1" applyBorder="1" applyAlignment="1" applyProtection="1">
      <alignment vertical="center" wrapText="1"/>
    </xf>
    <xf numFmtId="0" fontId="0" fillId="0" borderId="17" xfId="0" applyBorder="1" applyAlignment="1">
      <alignment vertical="center" wrapText="1"/>
    </xf>
    <xf numFmtId="0" fontId="9" fillId="0" borderId="19" xfId="0" applyFont="1" applyFill="1" applyBorder="1" applyAlignment="1" applyProtection="1">
      <alignment horizontal="center" vertical="top" wrapText="1"/>
      <protection locked="0"/>
    </xf>
    <xf numFmtId="0" fontId="9" fillId="0" borderId="11" xfId="0" applyFont="1" applyFill="1" applyBorder="1" applyAlignment="1" applyProtection="1">
      <alignment horizontal="center" vertical="top" wrapText="1"/>
      <protection locked="0"/>
    </xf>
    <xf numFmtId="0" fontId="9" fillId="0" borderId="27" xfId="0" applyFont="1" applyFill="1" applyBorder="1" applyAlignment="1" applyProtection="1">
      <alignment horizontal="center" vertical="top" wrapText="1"/>
      <protection locked="0"/>
    </xf>
    <xf numFmtId="0" fontId="9" fillId="0" borderId="15" xfId="0" applyFont="1" applyFill="1" applyBorder="1" applyAlignment="1" applyProtection="1">
      <alignment horizontal="center" vertical="top" wrapText="1"/>
      <protection locked="0"/>
    </xf>
    <xf numFmtId="0" fontId="9" fillId="0" borderId="108" xfId="0" applyFont="1" applyFill="1" applyBorder="1" applyAlignment="1" applyProtection="1">
      <alignment horizontal="center" vertical="top" wrapText="1"/>
      <protection locked="0"/>
    </xf>
    <xf numFmtId="0" fontId="9" fillId="0" borderId="109" xfId="0" applyFont="1" applyFill="1" applyBorder="1" applyAlignment="1" applyProtection="1">
      <alignment horizontal="center" vertical="top" wrapText="1"/>
      <protection locked="0"/>
    </xf>
    <xf numFmtId="0" fontId="9" fillId="27" borderId="25" xfId="0" applyFont="1" applyFill="1" applyBorder="1" applyAlignment="1" applyProtection="1">
      <alignment horizontal="center" vertical="center" wrapText="1"/>
    </xf>
    <xf numFmtId="0" fontId="9" fillId="27" borderId="33" xfId="0" applyFont="1" applyFill="1" applyBorder="1" applyAlignment="1" applyProtection="1">
      <alignment horizontal="center" vertical="center" wrapText="1"/>
    </xf>
    <xf numFmtId="0" fontId="5" fillId="0" borderId="17" xfId="0" applyFont="1" applyBorder="1" applyAlignment="1" applyProtection="1">
      <alignment horizontal="center" vertical="center" wrapText="1"/>
      <protection locked="0"/>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11" xfId="48"/>
    <cellStyle name="Normal 2" xfId="38"/>
    <cellStyle name="Normal 2 2 2" xfId="47"/>
    <cellStyle name="Normal 2 2 2 2" xfId="54"/>
    <cellStyle name="Normal 2 3" xfId="46"/>
    <cellStyle name="Normal 3" xfId="49"/>
    <cellStyle name="Normal 3 2" xfId="50"/>
    <cellStyle name="Normal 4" xfId="51"/>
    <cellStyle name="Normal 5" xfId="52"/>
    <cellStyle name="Note" xfId="39" builtinId="10" customBuiltin="1"/>
    <cellStyle name="Output" xfId="40" builtinId="21" customBuiltin="1"/>
    <cellStyle name="Title" xfId="41" builtinId="15" customBuiltin="1"/>
    <cellStyle name="Total" xfId="42" builtinId="25" customBuiltin="1"/>
    <cellStyle name="u" xfId="43"/>
    <cellStyle name="u 2" xfId="53"/>
    <cellStyle name="Undefined" xfId="44"/>
    <cellStyle name="Warning Text" xfId="45" builtinId="11" customBuiltin="1"/>
  </cellStyles>
  <dxfs count="312">
    <dxf>
      <fill>
        <patternFill>
          <bgColor rgb="FF66FF99"/>
        </patternFill>
      </fill>
    </dxf>
    <dxf>
      <fill>
        <patternFill>
          <bgColor rgb="FF66FF99"/>
        </patternFill>
      </fill>
    </dxf>
    <dxf>
      <font>
        <color theme="1" tint="0.24994659260841701"/>
      </font>
    </dxf>
    <dxf>
      <font>
        <color theme="5" tint="0.39994506668294322"/>
      </font>
    </dxf>
    <dxf>
      <font>
        <color theme="0"/>
      </font>
    </dxf>
    <dxf>
      <font>
        <color theme="0"/>
      </font>
    </dxf>
    <dxf>
      <font>
        <color theme="0"/>
      </font>
    </dxf>
    <dxf>
      <font>
        <color theme="0"/>
      </font>
    </dxf>
    <dxf>
      <font>
        <color theme="0"/>
      </font>
    </dxf>
    <dxf>
      <font>
        <color theme="0"/>
      </font>
    </dxf>
    <dxf>
      <font>
        <color theme="9" tint="0.39994506668294322"/>
      </font>
    </dxf>
    <dxf>
      <font>
        <color theme="0"/>
      </font>
    </dxf>
    <dxf>
      <font>
        <color theme="9" tint="0.79998168889431442"/>
      </font>
    </dxf>
    <dxf>
      <fill>
        <patternFill>
          <bgColor rgb="FF66FF99"/>
        </patternFill>
      </fill>
    </dxf>
    <dxf>
      <font>
        <color theme="0"/>
      </font>
    </dxf>
    <dxf>
      <font>
        <color theme="0"/>
      </font>
    </dxf>
    <dxf>
      <font>
        <color theme="0"/>
      </font>
    </dxf>
    <dxf>
      <font>
        <color theme="0"/>
      </font>
    </dxf>
    <dxf>
      <fill>
        <patternFill>
          <bgColor rgb="FF66FF99"/>
        </patternFill>
      </fill>
    </dxf>
    <dxf>
      <font>
        <color theme="0"/>
      </font>
    </dxf>
    <dxf>
      <font>
        <condense val="0"/>
        <extend val="0"/>
        <color indexed="9"/>
      </font>
    </dxf>
    <dxf>
      <font>
        <color theme="5" tint="0.3999450666829432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39994506668294322"/>
      </font>
    </dxf>
    <dxf>
      <font>
        <color theme="1" tint="0.24994659260841701"/>
      </font>
    </dxf>
    <dxf>
      <font>
        <color theme="1" tint="0.24994659260841701"/>
      </font>
    </dxf>
    <dxf>
      <font>
        <color theme="1" tint="0.24994659260841701"/>
      </font>
    </dxf>
    <dxf>
      <font>
        <color theme="1" tint="0.24994659260841701"/>
      </font>
    </dxf>
    <dxf>
      <font>
        <color theme="1" tint="0.24994659260841701"/>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ont>
        <condense val="0"/>
        <extend val="0"/>
        <color indexed="9"/>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ont>
        <color theme="0"/>
      </font>
    </dxf>
    <dxf>
      <fill>
        <patternFill>
          <bgColor rgb="FF66FF99"/>
        </patternFill>
      </fill>
    </dxf>
    <dxf>
      <fill>
        <patternFill>
          <bgColor rgb="FF66FF99"/>
        </patternFill>
      </fill>
    </dxf>
    <dxf>
      <fill>
        <patternFill>
          <bgColor rgb="FF66FF99"/>
        </patternFill>
      </fill>
    </dxf>
    <dxf>
      <font>
        <b/>
        <i val="0"/>
      </font>
      <fill>
        <patternFill>
          <bgColor indexed="42"/>
        </patternFill>
      </fill>
    </dxf>
    <dxf>
      <font>
        <color theme="0"/>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ill>
        <patternFill>
          <bgColor rgb="FF66FF99"/>
        </patternFill>
      </fill>
    </dxf>
    <dxf>
      <fill>
        <patternFill>
          <bgColor rgb="FF66FF99"/>
        </patternFill>
      </fill>
    </dxf>
    <dxf>
      <font>
        <color theme="0"/>
      </font>
    </dxf>
    <dxf>
      <font>
        <color theme="0"/>
      </font>
    </dxf>
    <dxf>
      <font>
        <color theme="0"/>
      </font>
    </dxf>
    <dxf>
      <font>
        <color theme="0"/>
      </font>
    </dxf>
    <dxf>
      <font>
        <color theme="0"/>
      </font>
    </dxf>
    <dxf>
      <font>
        <color theme="0"/>
      </font>
    </dxf>
    <dxf>
      <font>
        <b/>
        <i val="0"/>
      </font>
      <fill>
        <patternFill>
          <bgColor indexed="42"/>
        </patternFill>
      </fill>
    </dxf>
    <dxf>
      <fill>
        <patternFill>
          <bgColor rgb="FF66FF99"/>
        </patternFill>
      </fill>
    </dxf>
    <dxf>
      <fill>
        <patternFill>
          <bgColor rgb="FF66FF99"/>
        </patternFill>
      </fill>
    </dxf>
    <dxf>
      <fill>
        <patternFill>
          <bgColor rgb="FF66FF99"/>
        </patternFill>
      </fill>
    </dxf>
    <dxf>
      <fill>
        <patternFill>
          <bgColor rgb="FF66FF99"/>
        </patternFill>
      </fill>
    </dxf>
    <dxf>
      <font>
        <b/>
        <i val="0"/>
      </font>
      <fill>
        <patternFill>
          <bgColor indexed="42"/>
        </patternFill>
      </fill>
    </dxf>
    <dxf>
      <font>
        <color theme="0"/>
      </font>
    </dxf>
    <dxf>
      <fill>
        <patternFill>
          <bgColor rgb="FF66FF99"/>
        </patternFill>
      </fill>
    </dxf>
    <dxf>
      <font>
        <condense val="0"/>
        <extend val="0"/>
        <color indexed="9"/>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ont>
        <color theme="0"/>
      </font>
    </dxf>
    <dxf>
      <font>
        <color theme="0"/>
      </font>
    </dxf>
    <dxf>
      <font>
        <color theme="0"/>
      </font>
    </dxf>
    <dxf>
      <font>
        <condense val="0"/>
        <extend val="0"/>
        <color indexed="9"/>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ont>
        <color theme="0"/>
      </font>
    </dxf>
    <dxf>
      <fill>
        <patternFill>
          <bgColor rgb="FF66FF99"/>
        </patternFill>
      </fill>
    </dxf>
    <dxf>
      <font>
        <color theme="0"/>
      </font>
    </dxf>
    <dxf>
      <font>
        <color theme="0"/>
      </font>
    </dxf>
    <dxf>
      <font>
        <color theme="0"/>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5" tint="0.39994506668294322"/>
      </font>
    </dxf>
    <dxf>
      <font>
        <color theme="1" tint="0.24994659260841701"/>
      </font>
    </dxf>
    <dxf>
      <font>
        <color theme="0"/>
      </font>
    </dxf>
    <dxf>
      <fill>
        <patternFill>
          <bgColor rgb="FF66FF99"/>
        </patternFill>
      </fill>
    </dxf>
    <dxf>
      <font>
        <color theme="5" tint="0.39994506668294322"/>
      </font>
    </dxf>
    <dxf>
      <font>
        <color theme="1" tint="0.24994659260841701"/>
      </font>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ont>
        <color theme="0"/>
      </font>
    </dxf>
    <dxf>
      <font>
        <color theme="0"/>
      </font>
    </dxf>
    <dxf>
      <font>
        <color theme="0"/>
      </font>
    </dxf>
    <dxf>
      <fill>
        <patternFill>
          <bgColor rgb="FF66FF99"/>
        </patternFill>
      </fill>
    </dxf>
    <dxf>
      <font>
        <color theme="0"/>
      </font>
    </dxf>
    <dxf>
      <font>
        <condense val="0"/>
        <extend val="0"/>
        <color indexed="9"/>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ont>
        <color theme="0"/>
      </font>
    </dxf>
    <dxf>
      <font>
        <color theme="0"/>
      </font>
    </dxf>
    <dxf>
      <fill>
        <patternFill>
          <bgColor rgb="FF66FF99"/>
        </patternFill>
      </fill>
    </dxf>
    <dxf>
      <font>
        <color theme="0"/>
      </font>
    </dxf>
    <dxf>
      <font>
        <color theme="0"/>
      </font>
    </dxf>
    <dxf>
      <font>
        <color theme="0"/>
      </font>
    </dxf>
    <dxf>
      <font>
        <condense val="0"/>
        <extend val="0"/>
        <color indexed="9"/>
      </font>
    </dxf>
    <dxf>
      <font>
        <color theme="0"/>
      </font>
    </dxf>
    <dxf>
      <font>
        <color theme="0"/>
      </font>
    </dxf>
    <dxf>
      <fill>
        <patternFill>
          <bgColor rgb="FF66FF99"/>
        </patternFill>
      </fill>
    </dxf>
    <dxf>
      <border>
        <top style="thin">
          <color rgb="FF66FF99"/>
        </top>
        <bottom style="thin">
          <color rgb="FF66FF99"/>
        </bottom>
        <vertical/>
        <horizontal/>
      </border>
    </dxf>
    <dxf>
      <font>
        <color theme="0"/>
      </font>
    </dxf>
    <dxf>
      <font>
        <color theme="0"/>
      </font>
    </dxf>
    <dxf>
      <fill>
        <patternFill>
          <bgColor rgb="FF66FF99"/>
        </patternFill>
      </fill>
    </dxf>
    <dxf>
      <border>
        <top style="thin">
          <color rgb="FF66FF99"/>
        </top>
        <bottom style="thin">
          <color rgb="FF66FF99"/>
        </bottom>
        <vertical/>
        <horizontal/>
      </border>
    </dxf>
    <dxf>
      <font>
        <color theme="0"/>
      </font>
    </dxf>
    <dxf>
      <font>
        <color theme="0"/>
      </font>
    </dxf>
    <dxf>
      <font>
        <color theme="0"/>
      </font>
    </dxf>
    <dxf>
      <fill>
        <patternFill>
          <bgColor rgb="FF66FF99"/>
        </patternFill>
      </fill>
    </dxf>
    <dxf>
      <border>
        <top style="thin">
          <color rgb="FF66FF99"/>
        </top>
        <bottom style="thin">
          <color rgb="FF66FF99"/>
        </bottom>
        <vertical/>
        <horizontal/>
      </border>
    </dxf>
    <dxf>
      <font>
        <color theme="0"/>
      </font>
    </dxf>
    <dxf>
      <font>
        <color theme="0"/>
      </font>
    </dxf>
    <dxf>
      <font>
        <color theme="0"/>
      </font>
    </dxf>
    <dxf>
      <font>
        <color theme="0"/>
      </font>
    </dxf>
    <dxf>
      <font>
        <color theme="5" tint="0.39994506668294322"/>
      </font>
    </dxf>
    <dxf>
      <fill>
        <patternFill>
          <bgColor rgb="FF66FF99"/>
        </patternFill>
      </fill>
    </dxf>
    <dxf>
      <fill>
        <patternFill>
          <bgColor rgb="FF66FF99"/>
        </patternFill>
      </fill>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ill>
        <patternFill>
          <bgColor rgb="FF66FF99"/>
        </patternFill>
      </fill>
    </dxf>
    <dxf>
      <fill>
        <patternFill>
          <bgColor rgb="FF66FF99"/>
        </patternFill>
      </fill>
    </dxf>
    <dxf>
      <font>
        <color theme="0"/>
      </font>
    </dxf>
    <dxf>
      <font>
        <b/>
        <i val="0"/>
      </font>
      <fill>
        <patternFill>
          <bgColor indexed="42"/>
        </patternFill>
      </fill>
    </dxf>
    <dxf>
      <font>
        <color theme="0"/>
      </font>
    </dxf>
    <dxf>
      <font>
        <condense val="0"/>
        <extend val="0"/>
        <color indexed="9"/>
      </font>
    </dxf>
    <dxf>
      <font>
        <color theme="0"/>
      </font>
    </dxf>
    <dxf>
      <font>
        <color theme="0"/>
      </font>
    </dxf>
    <dxf>
      <font>
        <b val="0"/>
        <i val="0"/>
        <color auto="1"/>
      </font>
      <fill>
        <patternFill>
          <bgColor rgb="FF66FF99"/>
        </patternFill>
      </fill>
    </dxf>
    <dxf>
      <font>
        <b/>
        <i val="0"/>
      </font>
      <fill>
        <patternFill>
          <bgColor indexed="42"/>
        </patternFill>
      </fill>
    </dxf>
    <dxf>
      <font>
        <color theme="0"/>
      </font>
    </dxf>
    <dxf>
      <font>
        <color theme="0"/>
      </font>
    </dxf>
    <dxf>
      <font>
        <b val="0"/>
        <i val="0"/>
      </font>
      <fill>
        <patternFill>
          <bgColor rgb="FF66FF99"/>
        </patternFill>
      </fill>
    </dxf>
    <dxf>
      <border>
        <top style="thin">
          <color rgb="FF66FF99"/>
        </top>
        <bottom style="thin">
          <color rgb="FF66FF99"/>
        </bottom>
        <vertical/>
        <horizontal/>
      </border>
    </dxf>
    <dxf>
      <fill>
        <patternFill>
          <bgColor rgb="FF66FF99"/>
        </patternFill>
      </fill>
    </dxf>
    <dxf>
      <font>
        <b/>
        <i val="0"/>
      </font>
      <border>
        <left style="thin">
          <color rgb="FF66FF99"/>
        </left>
        <right style="thin">
          <color rgb="FF66FF99"/>
        </right>
      </border>
    </dxf>
    <dxf>
      <font>
        <b/>
        <i val="0"/>
      </font>
      <border>
        <left style="thin">
          <color rgb="FF66FF99"/>
        </left>
        <right style="thin">
          <color rgb="FF66FF99"/>
        </right>
      </border>
    </dxf>
    <dxf>
      <font>
        <b/>
        <i val="0"/>
      </font>
      <border>
        <left style="thin">
          <color rgb="FF66FF99"/>
        </left>
        <right style="thin">
          <color rgb="FF66FF99"/>
        </right>
      </border>
    </dxf>
    <dxf>
      <font>
        <b/>
        <i val="0"/>
      </font>
      <border>
        <left style="thin">
          <color rgb="FF66FF99"/>
        </left>
        <right style="thin">
          <color rgb="FF66FF99"/>
        </right>
      </border>
    </dxf>
    <dxf>
      <font>
        <b/>
        <i val="0"/>
      </font>
      <border>
        <left style="thin">
          <color rgb="FF66FF99"/>
        </left>
        <right style="thin">
          <color rgb="FF66FF99"/>
        </right>
      </border>
    </dxf>
    <dxf>
      <font>
        <b/>
        <i val="0"/>
      </font>
      <border>
        <left style="thin">
          <color rgb="FF66FF99"/>
        </left>
        <right style="thin">
          <color rgb="FF66FF99"/>
        </right>
      </border>
    </dxf>
    <dxf>
      <font>
        <b/>
        <i val="0"/>
      </font>
      <border>
        <left style="thin">
          <color rgb="FF66FF99"/>
        </left>
        <right style="thin">
          <color rgb="FF66FF99"/>
        </right>
      </border>
    </dxf>
    <dxf>
      <font>
        <b/>
        <i val="0"/>
      </font>
      <border>
        <left style="thin">
          <color rgb="FF66FF99"/>
        </left>
        <right style="thin">
          <color rgb="FF66FF99"/>
        </right>
      </border>
    </dxf>
    <dxf>
      <font>
        <b/>
        <i val="0"/>
      </font>
      <border>
        <left style="thin">
          <color rgb="FF66FF99"/>
        </left>
        <right style="thin">
          <color rgb="FF66FF99"/>
        </right>
      </border>
    </dxf>
    <dxf>
      <font>
        <b/>
        <i val="0"/>
      </font>
      <border>
        <left style="thin">
          <color rgb="FF66FF99"/>
        </left>
        <right style="thin">
          <color rgb="FF66FF99"/>
        </right>
      </border>
    </dxf>
    <dxf>
      <font>
        <b val="0"/>
        <i val="0"/>
      </font>
      <border>
        <left style="thin">
          <color rgb="FF66FF99"/>
        </left>
        <right style="thin">
          <color rgb="FF66FF99"/>
        </right>
      </border>
    </dxf>
    <dxf>
      <fill>
        <patternFill>
          <fgColor auto="1"/>
          <bgColor rgb="FF00FF99"/>
        </patternFill>
      </fill>
    </dxf>
    <dxf>
      <font>
        <b val="0"/>
        <i val="0"/>
      </font>
      <border>
        <left style="thin">
          <color rgb="FF66FF99"/>
        </left>
        <right style="thin">
          <color rgb="FF66FF99"/>
        </right>
      </border>
    </dxf>
    <dxf>
      <fill>
        <patternFill>
          <fgColor auto="1"/>
          <bgColor rgb="FF00FF99"/>
        </patternFill>
      </fill>
    </dxf>
    <dxf>
      <font>
        <color theme="0"/>
      </font>
    </dxf>
    <dxf>
      <fill>
        <patternFill>
          <bgColor theme="5"/>
        </patternFill>
      </fill>
    </dxf>
    <dxf>
      <font>
        <color theme="0"/>
      </font>
    </dxf>
    <dxf>
      <fill>
        <patternFill>
          <bgColor theme="5"/>
        </patternFill>
      </fill>
    </dxf>
    <dxf>
      <fill>
        <patternFill>
          <bgColor rgb="FF66FF99"/>
        </patternFill>
      </fill>
    </dxf>
    <dxf>
      <font>
        <color theme="0"/>
      </font>
    </dxf>
    <dxf>
      <font>
        <color theme="0"/>
      </font>
    </dxf>
    <dxf>
      <fill>
        <patternFill>
          <bgColor theme="5"/>
        </patternFill>
      </fill>
    </dxf>
    <dxf>
      <font>
        <color theme="0"/>
      </font>
    </dxf>
    <dxf>
      <fill>
        <patternFill>
          <bgColor theme="5"/>
        </patternFill>
      </fill>
    </dxf>
    <dxf>
      <fill>
        <patternFill>
          <bgColor rgb="FF66FF99"/>
        </patternFill>
      </fill>
    </dxf>
    <dxf>
      <font>
        <color theme="0"/>
      </font>
    </dxf>
    <dxf>
      <fill>
        <patternFill>
          <bgColor theme="5"/>
        </patternFill>
      </fill>
    </dxf>
    <dxf>
      <font>
        <color theme="0"/>
      </font>
    </dxf>
    <dxf>
      <fill>
        <patternFill>
          <bgColor theme="5"/>
        </patternFill>
      </fill>
    </dxf>
    <dxf>
      <fill>
        <patternFill>
          <bgColor rgb="FF66FF99"/>
        </patternFill>
      </fill>
    </dxf>
    <dxf>
      <font>
        <color theme="0"/>
      </font>
    </dxf>
    <dxf>
      <font>
        <color theme="0"/>
      </font>
    </dxf>
    <dxf>
      <fill>
        <patternFill>
          <bgColor theme="5"/>
        </patternFill>
      </fill>
    </dxf>
    <dxf>
      <font>
        <color theme="0"/>
      </font>
    </dxf>
    <dxf>
      <fill>
        <patternFill>
          <bgColor theme="5"/>
        </patternFill>
      </fill>
    </dxf>
    <dxf>
      <fill>
        <patternFill>
          <bgColor rgb="FF66FF99"/>
        </patternFill>
      </fill>
    </dxf>
    <dxf>
      <font>
        <color theme="0"/>
      </font>
    </dxf>
    <dxf>
      <font>
        <color theme="0"/>
      </font>
    </dxf>
    <dxf>
      <fill>
        <patternFill>
          <bgColor theme="5"/>
        </patternFill>
      </fill>
    </dxf>
    <dxf>
      <font>
        <color theme="0"/>
      </font>
    </dxf>
    <dxf>
      <fill>
        <patternFill>
          <bgColor theme="5"/>
        </patternFill>
      </fill>
    </dxf>
    <dxf>
      <fill>
        <patternFill>
          <bgColor rgb="FF66FF9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6FEB8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5F5F5"/>
      <rgbColor rgb="00CCFFFF"/>
      <rgbColor rgb="00F16A05"/>
      <rgbColor rgb="00F04242"/>
      <rgbColor rgb="00BF4900"/>
      <rgbColor rgb="00FB994F"/>
      <rgbColor rgb="00000080"/>
      <rgbColor rgb="009B4719"/>
      <rgbColor rgb="00FFFF00"/>
      <rgbColor rgb="0000FFFF"/>
      <rgbColor rgb="00800080"/>
      <rgbColor rgb="00BA1400"/>
      <rgbColor rgb="00008080"/>
      <rgbColor rgb="00C851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FF99"/>
      <color rgb="FFEAF0F6"/>
      <color rgb="FF0099FF"/>
      <color rgb="FFCCECFF"/>
      <color rgb="FFE4ECF4"/>
      <color rgb="FF6699FF"/>
      <color rgb="FF8CADD4"/>
      <color rgb="FFF6F9FC"/>
      <color rgb="FFCB9763"/>
      <color rgb="FFFFCC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06/relationships/vbaProject" Target="vbaProject.bin"/></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48.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52.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57.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61.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63.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73.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77.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79.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87.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92.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94.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96.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IDACI 2015</a:t>
            </a:r>
          </a:p>
        </c:rich>
      </c:tx>
      <c:layout>
        <c:manualLayout>
          <c:xMode val="edge"/>
          <c:yMode val="edge"/>
          <c:x val="0.43082700099380783"/>
          <c:y val="2.2758155230596176E-2"/>
        </c:manualLayout>
      </c:layout>
      <c:overlay val="0"/>
      <c:spPr>
        <a:noFill/>
        <a:ln w="25400">
          <a:noFill/>
        </a:ln>
      </c:spPr>
    </c:title>
    <c:autoTitleDeleted val="0"/>
    <c:plotArea>
      <c:layout>
        <c:manualLayout>
          <c:layoutTarget val="inner"/>
          <c:xMode val="edge"/>
          <c:yMode val="edge"/>
          <c:x val="6.8866012241828409E-2"/>
          <c:y val="8.493502597889549E-2"/>
          <c:w val="0.90222275346511482"/>
          <c:h val="0.64850779366864852"/>
        </c:manualLayout>
      </c:layout>
      <c:barChart>
        <c:barDir val="col"/>
        <c:grouping val="clustered"/>
        <c:varyColors val="0"/>
        <c:ser>
          <c:idx val="2"/>
          <c:order val="0"/>
          <c:tx>
            <c:strRef>
              <c:f>IDACI!$C$8</c:f>
              <c:strCache>
                <c:ptCount val="1"/>
                <c:pt idx="0">
                  <c:v>IDACI 2015</c:v>
                </c:pt>
              </c:strCache>
            </c:strRef>
          </c:tx>
          <c:spPr>
            <a:solidFill>
              <a:srgbClr val="FB994F"/>
            </a:solidFill>
            <a:ln w="25400">
              <a:noFill/>
            </a:ln>
          </c:spPr>
          <c:invertIfNegative val="0"/>
          <c:dPt>
            <c:idx val="22"/>
            <c:invertIfNegative val="0"/>
            <c:bubble3D val="0"/>
            <c:spPr>
              <a:solidFill>
                <a:srgbClr val="C00000"/>
              </a:solidFill>
              <a:ln w="25400">
                <a:noFill/>
              </a:ln>
            </c:spPr>
          </c:dPt>
          <c:dPt>
            <c:idx val="23"/>
            <c:invertIfNegative val="0"/>
            <c:bubble3D val="0"/>
            <c:spPr>
              <a:solidFill>
                <a:schemeClr val="tx1">
                  <a:lumMod val="75000"/>
                  <a:lumOff val="25000"/>
                </a:schemeClr>
              </a:solidFill>
              <a:ln w="25400">
                <a:noFill/>
              </a:ln>
            </c:spPr>
          </c:dPt>
          <c:cat>
            <c:strRef>
              <c:f>IDACI!$B$9:$B$32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IDACI!$C$9:$C$32</c:f>
              <c:numCache>
                <c:formatCode>0.0</c:formatCode>
                <c:ptCount val="24"/>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14.8</c:v>
                </c:pt>
                <c:pt idx="14">
                  <c:v>25</c:v>
                </c:pt>
                <c:pt idx="15">
                  <c:v>9.7000000000000011</c:v>
                </c:pt>
                <c:pt idx="16">
                  <c:v>17.2</c:v>
                </c:pt>
                <c:pt idx="17">
                  <c:v>24.1</c:v>
                </c:pt>
                <c:pt idx="18">
                  <c:v>10.4</c:v>
                </c:pt>
                <c:pt idx="19">
                  <c:v>12.9</c:v>
                </c:pt>
                <c:pt idx="20">
                  <c:v>8.4</c:v>
                </c:pt>
                <c:pt idx="21">
                  <c:v>6.8000000000000007</c:v>
                </c:pt>
                <c:pt idx="22">
                  <c:v>14.45223640702325</c:v>
                </c:pt>
                <c:pt idx="23">
                  <c:v>19.902611588091716</c:v>
                </c:pt>
              </c:numCache>
            </c:numRef>
          </c:val>
        </c:ser>
        <c:ser>
          <c:idx val="0"/>
          <c:order val="1"/>
          <c:tx>
            <c:strRef>
              <c:f>IDACI!$T$5</c:f>
              <c:strCache>
                <c:ptCount val="1"/>
                <c:pt idx="0">
                  <c:v>(none)</c:v>
                </c:pt>
              </c:strCache>
            </c:strRef>
          </c:tx>
          <c:spPr>
            <a:solidFill>
              <a:srgbClr val="66FF99"/>
            </a:solidFill>
            <a:ln w="12700">
              <a:solidFill>
                <a:schemeClr val="tx1">
                  <a:lumMod val="75000"/>
                  <a:lumOff val="25000"/>
                </a:schemeClr>
              </a:solidFill>
              <a:prstDash val="solid"/>
            </a:ln>
          </c:spPr>
          <c:invertIfNegative val="0"/>
          <c:cat>
            <c:strRef>
              <c:f>IDACI!$B$9:$B$32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IDACI!$U$9:$U$31</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72250624"/>
        <c:axId val="172252160"/>
      </c:barChart>
      <c:catAx>
        <c:axId val="172250624"/>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172252160"/>
        <c:crossesAt val="0"/>
        <c:auto val="1"/>
        <c:lblAlgn val="ctr"/>
        <c:lblOffset val="100"/>
        <c:noMultiLvlLbl val="0"/>
      </c:catAx>
      <c:valAx>
        <c:axId val="17225216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2250624"/>
        <c:crosses val="autoZero"/>
        <c:crossBetween val="between"/>
      </c:valAx>
      <c:spPr>
        <a:noFill/>
        <a:ln w="12700">
          <a:solidFill>
            <a:schemeClr val="tx1"/>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Individual</a:t>
            </a:r>
          </a:p>
        </c:rich>
      </c:tx>
      <c:layout>
        <c:manualLayout>
          <c:xMode val="edge"/>
          <c:yMode val="edge"/>
          <c:x val="0.40504854368932036"/>
          <c:y val="1.923076923076923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Referral_Source!$D$40</c:f>
              <c:strCache>
                <c:ptCount val="1"/>
                <c:pt idx="0">
                  <c:v>Individual</c:v>
                </c:pt>
              </c:strCache>
            </c:strRef>
          </c:tx>
          <c:spPr>
            <a:solidFill>
              <a:srgbClr val="F79646"/>
            </a:solidFill>
            <a:ln w="12700">
              <a:solidFill>
                <a:srgbClr val="000000"/>
              </a:solidFill>
              <a:prstDash val="solid"/>
            </a:ln>
          </c:spPr>
          <c:invertIfNegative val="0"/>
          <c:cat>
            <c:strRef>
              <c:f>Referral_Source!$B$41:$B$62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Referral_Source!$D$41:$D$62</c:f>
              <c:numCache>
                <c:formatCode>#,##0</c:formatCode>
                <c:ptCount val="22"/>
                <c:pt idx="0">
                  <c:v>6.4321055525013744</c:v>
                </c:pt>
                <c:pt idx="1">
                  <c:v>4.6351674641148328</c:v>
                </c:pt>
                <c:pt idx="2">
                  <c:v>7.2651639740737153</c:v>
                </c:pt>
                <c:pt idx="3">
                  <c:v>9.5030913670712156</c:v>
                </c:pt>
                <c:pt idx="4">
                  <c:v>11.399317406143345</c:v>
                </c:pt>
                <c:pt idx="5">
                  <c:v>9.7197106690777577</c:v>
                </c:pt>
                <c:pt idx="6">
                  <c:v>11.190832602075053</c:v>
                </c:pt>
                <c:pt idx="7">
                  <c:v>9.4563552833078095</c:v>
                </c:pt>
                <c:pt idx="8">
                  <c:v>9.1609589041095898</c:v>
                </c:pt>
                <c:pt idx="9">
                  <c:v>5.6207807455239216</c:v>
                </c:pt>
                <c:pt idx="10">
                  <c:v>8.6467486818980674</c:v>
                </c:pt>
                <c:pt idx="11">
                  <c:v>6.4665127020785222</c:v>
                </c:pt>
                <c:pt idx="12">
                  <c:v>6.9269521410579351</c:v>
                </c:pt>
                <c:pt idx="13">
                  <c:v>12.410454985479188</c:v>
                </c:pt>
                <c:pt idx="14">
                  <c:v>3.788748564867968</c:v>
                </c:pt>
                <c:pt idx="15">
                  <c:v>4.7996477322765303</c:v>
                </c:pt>
                <c:pt idx="16">
                  <c:v>8.7951475048249232</c:v>
                </c:pt>
                <c:pt idx="17">
                  <c:v>7.81163434903047</c:v>
                </c:pt>
                <c:pt idx="18">
                  <c:v>9.3163538873994653</c:v>
                </c:pt>
                <c:pt idx="19">
                  <c:v>9.1945972986493256</c:v>
                </c:pt>
                <c:pt idx="20">
                  <c:v>13.854853911404335</c:v>
                </c:pt>
                <c:pt idx="21">
                  <c:v>8.9167280766396466</c:v>
                </c:pt>
              </c:numCache>
            </c:numRef>
          </c:val>
        </c:ser>
        <c:dLbls>
          <c:showLegendKey val="0"/>
          <c:showVal val="0"/>
          <c:showCatName val="0"/>
          <c:showSerName val="0"/>
          <c:showPercent val="0"/>
          <c:showBubbleSize val="0"/>
        </c:dLbls>
        <c:gapWidth val="0"/>
        <c:axId val="179844992"/>
        <c:axId val="179877376"/>
      </c:barChart>
      <c:scatterChart>
        <c:scatterStyle val="smoothMarker"/>
        <c:varyColors val="0"/>
        <c:ser>
          <c:idx val="1"/>
          <c:order val="1"/>
          <c:tx>
            <c:strRef>
              <c:f>Referral_Source!$AB$79</c:f>
              <c:strCache>
                <c:ptCount val="1"/>
                <c:pt idx="0">
                  <c:v>South East</c:v>
                </c:pt>
              </c:strCache>
            </c:strRef>
          </c:tx>
          <c:spPr>
            <a:ln w="19050">
              <a:solidFill>
                <a:srgbClr val="C00000"/>
              </a:solidFill>
              <a:prstDash val="sysDash"/>
            </a:ln>
          </c:spPr>
          <c:marker>
            <c:symbol val="none"/>
          </c:marker>
          <c:xVal>
            <c:numRef>
              <c:f>Referral_Source!$AC$82:$AC$83</c:f>
              <c:numCache>
                <c:formatCode>General</c:formatCode>
                <c:ptCount val="2"/>
                <c:pt idx="0">
                  <c:v>0.5</c:v>
                </c:pt>
                <c:pt idx="1">
                  <c:v>23.5</c:v>
                </c:pt>
              </c:numCache>
            </c:numRef>
          </c:xVal>
          <c:yVal>
            <c:numRef>
              <c:f>Referral_Source!$AD$82:$AD$83</c:f>
              <c:numCache>
                <c:formatCode>#,##0</c:formatCode>
                <c:ptCount val="2"/>
                <c:pt idx="0">
                  <c:v>8.5489746863967557</c:v>
                </c:pt>
                <c:pt idx="1">
                  <c:v>8.5489746863967557</c:v>
                </c:pt>
              </c:numCache>
            </c:numRef>
          </c:yVal>
          <c:smooth val="1"/>
        </c:ser>
        <c:dLbls>
          <c:showLegendKey val="0"/>
          <c:showVal val="0"/>
          <c:showCatName val="0"/>
          <c:showSerName val="0"/>
          <c:showPercent val="0"/>
          <c:showBubbleSize val="0"/>
        </c:dLbls>
        <c:axId val="179844992"/>
        <c:axId val="179877376"/>
      </c:scatterChart>
      <c:catAx>
        <c:axId val="179844992"/>
        <c:scaling>
          <c:orientation val="minMax"/>
        </c:scaling>
        <c:delete val="0"/>
        <c:axPos val="b"/>
        <c:numFmt formatCode="General" sourceLinked="1"/>
        <c:majorTickMark val="out"/>
        <c:minorTickMark val="none"/>
        <c:tickLblPos val="nextTo"/>
        <c:txPr>
          <a:bodyPr rot="5400000" vert="horz"/>
          <a:lstStyle/>
          <a:p>
            <a:pPr>
              <a:defRPr sz="700"/>
            </a:pPr>
            <a:endParaRPr lang="en-US"/>
          </a:p>
        </c:txPr>
        <c:crossAx val="179877376"/>
        <c:crosses val="autoZero"/>
        <c:auto val="1"/>
        <c:lblAlgn val="ctr"/>
        <c:lblOffset val="100"/>
        <c:noMultiLvlLbl val="0"/>
      </c:catAx>
      <c:valAx>
        <c:axId val="17987737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844992"/>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Schools</a:t>
            </a:r>
            <a:r>
              <a:rPr lang="en-GB" sz="1000" b="1" baseline="0"/>
              <a:t>/ </a:t>
            </a:r>
            <a:r>
              <a:rPr lang="en-GB" sz="1000" b="1"/>
              <a:t>Education</a:t>
            </a:r>
          </a:p>
        </c:rich>
      </c:tx>
      <c:layout>
        <c:manualLayout>
          <c:xMode val="edge"/>
          <c:yMode val="edge"/>
          <c:x val="0.3144336569579288"/>
          <c:y val="1.278963317991048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Referral_Source!$F$40</c:f>
              <c:strCache>
                <c:ptCount val="1"/>
                <c:pt idx="0">
                  <c:v>Schools</c:v>
                </c:pt>
              </c:strCache>
            </c:strRef>
          </c:tx>
          <c:spPr>
            <a:solidFill>
              <a:srgbClr val="FFFF66"/>
            </a:solidFill>
            <a:ln w="12700">
              <a:solidFill>
                <a:srgbClr val="000000"/>
              </a:solidFill>
              <a:prstDash val="solid"/>
            </a:ln>
          </c:spPr>
          <c:invertIfNegative val="0"/>
          <c:cat>
            <c:strRef>
              <c:f>Referral_Source!$B$41:$B$62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Referral_Source!$F$41:$F$62</c:f>
              <c:numCache>
                <c:formatCode>#,##0</c:formatCode>
                <c:ptCount val="22"/>
                <c:pt idx="0">
                  <c:v>29.466739967014846</c:v>
                </c:pt>
                <c:pt idx="1">
                  <c:v>18.600478468899521</c:v>
                </c:pt>
                <c:pt idx="2">
                  <c:v>19.841346618941667</c:v>
                </c:pt>
                <c:pt idx="3">
                  <c:v>20.403022670025187</c:v>
                </c:pt>
                <c:pt idx="4">
                  <c:v>23.406763884579583</c:v>
                </c:pt>
                <c:pt idx="5">
                  <c:v>30.153707052441231</c:v>
                </c:pt>
                <c:pt idx="6">
                  <c:v>17.059825530377328</c:v>
                </c:pt>
                <c:pt idx="7">
                  <c:v>21.209800918836137</c:v>
                </c:pt>
                <c:pt idx="8">
                  <c:v>20.034246575342465</c:v>
                </c:pt>
                <c:pt idx="9">
                  <c:v>13.149398297622541</c:v>
                </c:pt>
                <c:pt idx="10">
                  <c:v>18.699472759226715</c:v>
                </c:pt>
                <c:pt idx="11">
                  <c:v>18.55273287143957</c:v>
                </c:pt>
                <c:pt idx="12">
                  <c:v>17.506297229219143</c:v>
                </c:pt>
                <c:pt idx="13">
                  <c:v>14.249757986447241</c:v>
                </c:pt>
                <c:pt idx="14">
                  <c:v>21.39303482587065</c:v>
                </c:pt>
                <c:pt idx="15">
                  <c:v>20.24071627770439</c:v>
                </c:pt>
                <c:pt idx="16">
                  <c:v>20.126826578439481</c:v>
                </c:pt>
                <c:pt idx="17">
                  <c:v>21.16343490304709</c:v>
                </c:pt>
                <c:pt idx="18">
                  <c:v>22.050938337801611</c:v>
                </c:pt>
                <c:pt idx="19">
                  <c:v>18.779389694847424</c:v>
                </c:pt>
                <c:pt idx="20">
                  <c:v>9.1423185673892551</c:v>
                </c:pt>
                <c:pt idx="21">
                  <c:v>#N/A</c:v>
                </c:pt>
              </c:numCache>
            </c:numRef>
          </c:val>
        </c:ser>
        <c:dLbls>
          <c:showLegendKey val="0"/>
          <c:showVal val="0"/>
          <c:showCatName val="0"/>
          <c:showSerName val="0"/>
          <c:showPercent val="0"/>
          <c:showBubbleSize val="0"/>
        </c:dLbls>
        <c:gapWidth val="0"/>
        <c:axId val="189639296"/>
        <c:axId val="189649280"/>
      </c:barChart>
      <c:scatterChart>
        <c:scatterStyle val="smoothMarker"/>
        <c:varyColors val="0"/>
        <c:ser>
          <c:idx val="1"/>
          <c:order val="1"/>
          <c:tx>
            <c:strRef>
              <c:f>Referral_Source!$AB$79</c:f>
              <c:strCache>
                <c:ptCount val="1"/>
                <c:pt idx="0">
                  <c:v>South East</c:v>
                </c:pt>
              </c:strCache>
            </c:strRef>
          </c:tx>
          <c:spPr>
            <a:ln w="19050">
              <a:solidFill>
                <a:srgbClr val="C00000"/>
              </a:solidFill>
              <a:prstDash val="sysDash"/>
            </a:ln>
          </c:spPr>
          <c:marker>
            <c:symbol val="none"/>
          </c:marker>
          <c:xVal>
            <c:numRef>
              <c:f>Referral_Source!$AC$84:$AC$85</c:f>
              <c:numCache>
                <c:formatCode>General</c:formatCode>
                <c:ptCount val="2"/>
                <c:pt idx="0">
                  <c:v>0.5</c:v>
                </c:pt>
                <c:pt idx="1">
                  <c:v>23.5</c:v>
                </c:pt>
              </c:numCache>
            </c:numRef>
          </c:xVal>
          <c:yVal>
            <c:numRef>
              <c:f>Referral_Source!$AD$84:$AD$85</c:f>
              <c:numCache>
                <c:formatCode>#,##0</c:formatCode>
                <c:ptCount val="2"/>
                <c:pt idx="0">
                  <c:v>19.606775332381883</c:v>
                </c:pt>
                <c:pt idx="1">
                  <c:v>19.606775332381883</c:v>
                </c:pt>
              </c:numCache>
            </c:numRef>
          </c:yVal>
          <c:smooth val="1"/>
        </c:ser>
        <c:dLbls>
          <c:showLegendKey val="0"/>
          <c:showVal val="0"/>
          <c:showCatName val="0"/>
          <c:showSerName val="0"/>
          <c:showPercent val="0"/>
          <c:showBubbleSize val="0"/>
        </c:dLbls>
        <c:axId val="189639296"/>
        <c:axId val="189649280"/>
      </c:scatterChart>
      <c:catAx>
        <c:axId val="189639296"/>
        <c:scaling>
          <c:orientation val="minMax"/>
        </c:scaling>
        <c:delete val="0"/>
        <c:axPos val="b"/>
        <c:numFmt formatCode="General" sourceLinked="1"/>
        <c:majorTickMark val="out"/>
        <c:minorTickMark val="none"/>
        <c:tickLblPos val="nextTo"/>
        <c:txPr>
          <a:bodyPr rot="5400000" vert="horz"/>
          <a:lstStyle/>
          <a:p>
            <a:pPr>
              <a:defRPr sz="700"/>
            </a:pPr>
            <a:endParaRPr lang="en-US"/>
          </a:p>
        </c:txPr>
        <c:crossAx val="189649280"/>
        <c:crosses val="autoZero"/>
        <c:auto val="1"/>
        <c:lblAlgn val="ctr"/>
        <c:lblOffset val="100"/>
        <c:noMultiLvlLbl val="0"/>
      </c:catAx>
      <c:valAx>
        <c:axId val="18964928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9639296"/>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Health Services</a:t>
            </a:r>
          </a:p>
        </c:rich>
      </c:tx>
      <c:layout>
        <c:manualLayout>
          <c:xMode val="edge"/>
          <c:yMode val="edge"/>
          <c:x val="0.32737864077669904"/>
          <c:y val="1.278963317991048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Referral_Source!$H$40</c:f>
              <c:strCache>
                <c:ptCount val="1"/>
                <c:pt idx="0">
                  <c:v>Health services</c:v>
                </c:pt>
              </c:strCache>
            </c:strRef>
          </c:tx>
          <c:spPr>
            <a:solidFill>
              <a:srgbClr val="92D050"/>
            </a:solidFill>
            <a:ln w="12700">
              <a:solidFill>
                <a:srgbClr val="000000"/>
              </a:solidFill>
              <a:prstDash val="solid"/>
            </a:ln>
          </c:spPr>
          <c:invertIfNegative val="0"/>
          <c:cat>
            <c:strRef>
              <c:f>Referral_Source!$B$41:$B$62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Referral_Source!$H$41:$H$62</c:f>
              <c:numCache>
                <c:formatCode>#,##0</c:formatCode>
                <c:ptCount val="22"/>
                <c:pt idx="0">
                  <c:v>7.4766355140186906</c:v>
                </c:pt>
                <c:pt idx="1">
                  <c:v>11.064593301435407</c:v>
                </c:pt>
                <c:pt idx="2">
                  <c:v>16.523169198026508</c:v>
                </c:pt>
                <c:pt idx="3">
                  <c:v>10.190061827341426</c:v>
                </c:pt>
                <c:pt idx="4">
                  <c:v>13.447098976109215</c:v>
                </c:pt>
                <c:pt idx="5">
                  <c:v>12.793851717902353</c:v>
                </c:pt>
                <c:pt idx="6">
                  <c:v>12.25932999535436</c:v>
                </c:pt>
                <c:pt idx="7">
                  <c:v>12.098009188361408</c:v>
                </c:pt>
                <c:pt idx="8">
                  <c:v>12.756849315068495</c:v>
                </c:pt>
                <c:pt idx="9">
                  <c:v>9.1135896683299098</c:v>
                </c:pt>
                <c:pt idx="10">
                  <c:v>15.360281195079088</c:v>
                </c:pt>
                <c:pt idx="11">
                  <c:v>15.280985373364125</c:v>
                </c:pt>
                <c:pt idx="12">
                  <c:v>12.594458438287154</c:v>
                </c:pt>
                <c:pt idx="13">
                  <c:v>15.605033881897388</c:v>
                </c:pt>
                <c:pt idx="14">
                  <c:v>13.088404133180253</c:v>
                </c:pt>
                <c:pt idx="15">
                  <c:v>13.048583590195214</c:v>
                </c:pt>
                <c:pt idx="16">
                  <c:v>12.682657843948167</c:v>
                </c:pt>
                <c:pt idx="17">
                  <c:v>14.459833795013852</c:v>
                </c:pt>
                <c:pt idx="18">
                  <c:v>12.533512064343164</c:v>
                </c:pt>
                <c:pt idx="19">
                  <c:v>10.835417708854427</c:v>
                </c:pt>
                <c:pt idx="20">
                  <c:v>12.535344015080113</c:v>
                </c:pt>
                <c:pt idx="21">
                  <c:v>12.896094325718495</c:v>
                </c:pt>
              </c:numCache>
            </c:numRef>
          </c:val>
        </c:ser>
        <c:dLbls>
          <c:showLegendKey val="0"/>
          <c:showVal val="0"/>
          <c:showCatName val="0"/>
          <c:showSerName val="0"/>
          <c:showPercent val="0"/>
          <c:showBubbleSize val="0"/>
        </c:dLbls>
        <c:gapWidth val="0"/>
        <c:axId val="189961728"/>
        <c:axId val="189963264"/>
      </c:barChart>
      <c:scatterChart>
        <c:scatterStyle val="smoothMarker"/>
        <c:varyColors val="0"/>
        <c:ser>
          <c:idx val="1"/>
          <c:order val="1"/>
          <c:tx>
            <c:strRef>
              <c:f>Referral_Source!$AB$79</c:f>
              <c:strCache>
                <c:ptCount val="1"/>
                <c:pt idx="0">
                  <c:v>South East</c:v>
                </c:pt>
              </c:strCache>
            </c:strRef>
          </c:tx>
          <c:spPr>
            <a:ln w="19050">
              <a:solidFill>
                <a:srgbClr val="C00000"/>
              </a:solidFill>
              <a:prstDash val="sysDash"/>
            </a:ln>
          </c:spPr>
          <c:marker>
            <c:symbol val="none"/>
          </c:marker>
          <c:xVal>
            <c:numRef>
              <c:f>Referral_Source!$AC$86:$AC$87</c:f>
              <c:numCache>
                <c:formatCode>General</c:formatCode>
                <c:ptCount val="2"/>
                <c:pt idx="0">
                  <c:v>0.5</c:v>
                </c:pt>
                <c:pt idx="1">
                  <c:v>23.5</c:v>
                </c:pt>
              </c:numCache>
            </c:numRef>
          </c:xVal>
          <c:yVal>
            <c:numRef>
              <c:f>Referral_Source!$AD$86:$AD$87</c:f>
              <c:numCache>
                <c:formatCode>#,##0</c:formatCode>
                <c:ptCount val="2"/>
                <c:pt idx="0">
                  <c:v>12.629572598212274</c:v>
                </c:pt>
                <c:pt idx="1">
                  <c:v>12.629572598212274</c:v>
                </c:pt>
              </c:numCache>
            </c:numRef>
          </c:yVal>
          <c:smooth val="1"/>
        </c:ser>
        <c:dLbls>
          <c:showLegendKey val="0"/>
          <c:showVal val="0"/>
          <c:showCatName val="0"/>
          <c:showSerName val="0"/>
          <c:showPercent val="0"/>
          <c:showBubbleSize val="0"/>
        </c:dLbls>
        <c:axId val="189961728"/>
        <c:axId val="189963264"/>
      </c:scatterChart>
      <c:catAx>
        <c:axId val="189961728"/>
        <c:scaling>
          <c:orientation val="minMax"/>
        </c:scaling>
        <c:delete val="0"/>
        <c:axPos val="b"/>
        <c:numFmt formatCode="General" sourceLinked="1"/>
        <c:majorTickMark val="out"/>
        <c:minorTickMark val="none"/>
        <c:tickLblPos val="nextTo"/>
        <c:txPr>
          <a:bodyPr rot="5400000" vert="horz"/>
          <a:lstStyle/>
          <a:p>
            <a:pPr>
              <a:defRPr sz="700"/>
            </a:pPr>
            <a:endParaRPr lang="en-US"/>
          </a:p>
        </c:txPr>
        <c:crossAx val="189963264"/>
        <c:crosses val="autoZero"/>
        <c:auto val="1"/>
        <c:lblAlgn val="ctr"/>
        <c:lblOffset val="100"/>
        <c:noMultiLvlLbl val="0"/>
      </c:catAx>
      <c:valAx>
        <c:axId val="18996326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9961728"/>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Housing</a:t>
            </a:r>
          </a:p>
        </c:rich>
      </c:tx>
      <c:layout>
        <c:manualLayout>
          <c:xMode val="edge"/>
          <c:yMode val="edge"/>
          <c:x val="0.40504854368932036"/>
          <c:y val="1.923076923076923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Referral_Source!$J$40</c:f>
              <c:strCache>
                <c:ptCount val="1"/>
                <c:pt idx="0">
                  <c:v>Housing</c:v>
                </c:pt>
              </c:strCache>
            </c:strRef>
          </c:tx>
          <c:spPr>
            <a:solidFill>
              <a:srgbClr val="FF66FF"/>
            </a:solidFill>
            <a:ln w="12700">
              <a:solidFill>
                <a:srgbClr val="000000"/>
              </a:solidFill>
              <a:prstDash val="solid"/>
            </a:ln>
          </c:spPr>
          <c:invertIfNegative val="0"/>
          <c:cat>
            <c:strRef>
              <c:f>Referral_Source!$B$41:$B$62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Referral_Source!$J$41:$J$62</c:f>
              <c:numCache>
                <c:formatCode>#,##0</c:formatCode>
                <c:ptCount val="22"/>
                <c:pt idx="0">
                  <c:v>1.3194062671797691</c:v>
                </c:pt>
                <c:pt idx="1">
                  <c:v>1.6447368421052631</c:v>
                </c:pt>
                <c:pt idx="2">
                  <c:v>0.85131082519106127</c:v>
                </c:pt>
                <c:pt idx="3">
                  <c:v>0.91596061369361126</c:v>
                </c:pt>
                <c:pt idx="4">
                  <c:v>1.0549177784672665</c:v>
                </c:pt>
                <c:pt idx="5">
                  <c:v>1.4918625678119348</c:v>
                </c:pt>
                <c:pt idx="6">
                  <c:v>2.0957002013111032</c:v>
                </c:pt>
                <c:pt idx="7">
                  <c:v>2.4502297090352223</c:v>
                </c:pt>
                <c:pt idx="8">
                  <c:v>#N/A</c:v>
                </c:pt>
                <c:pt idx="9">
                  <c:v>0.51364837100088045</c:v>
                </c:pt>
                <c:pt idx="10">
                  <c:v>2.9876977152899822</c:v>
                </c:pt>
                <c:pt idx="11">
                  <c:v>2.5404157043879905</c:v>
                </c:pt>
                <c:pt idx="12">
                  <c:v>#N/A</c:v>
                </c:pt>
                <c:pt idx="13">
                  <c:v>0.54211035818005804</c:v>
                </c:pt>
                <c:pt idx="14">
                  <c:v>1.4159969383849982</c:v>
                </c:pt>
                <c:pt idx="15">
                  <c:v>0.92470277410832236</c:v>
                </c:pt>
                <c:pt idx="16">
                  <c:v>1.2682657843948166</c:v>
                </c:pt>
                <c:pt idx="17">
                  <c:v>0.49861495844875342</c:v>
                </c:pt>
                <c:pt idx="18">
                  <c:v>1.8766756032171581</c:v>
                </c:pt>
                <c:pt idx="19">
                  <c:v>1.8209104552276139</c:v>
                </c:pt>
                <c:pt idx="20">
                  <c:v>0.65975494816211122</c:v>
                </c:pt>
                <c:pt idx="21">
                  <c:v>0.73691967575534267</c:v>
                </c:pt>
              </c:numCache>
            </c:numRef>
          </c:val>
        </c:ser>
        <c:dLbls>
          <c:showLegendKey val="0"/>
          <c:showVal val="0"/>
          <c:showCatName val="0"/>
          <c:showSerName val="0"/>
          <c:showPercent val="0"/>
          <c:showBubbleSize val="0"/>
        </c:dLbls>
        <c:gapWidth val="0"/>
        <c:axId val="190013440"/>
        <c:axId val="190014976"/>
      </c:barChart>
      <c:scatterChart>
        <c:scatterStyle val="smoothMarker"/>
        <c:varyColors val="0"/>
        <c:ser>
          <c:idx val="1"/>
          <c:order val="1"/>
          <c:tx>
            <c:strRef>
              <c:f>Referral_Source!$AB$79</c:f>
              <c:strCache>
                <c:ptCount val="1"/>
                <c:pt idx="0">
                  <c:v>South East</c:v>
                </c:pt>
              </c:strCache>
            </c:strRef>
          </c:tx>
          <c:spPr>
            <a:ln w="19050">
              <a:solidFill>
                <a:srgbClr val="C00000"/>
              </a:solidFill>
              <a:prstDash val="sysDash"/>
            </a:ln>
          </c:spPr>
          <c:marker>
            <c:symbol val="none"/>
          </c:marker>
          <c:xVal>
            <c:numRef>
              <c:f>Referral_Source!$AC$88:$AC$89</c:f>
              <c:numCache>
                <c:formatCode>General</c:formatCode>
                <c:ptCount val="2"/>
                <c:pt idx="0">
                  <c:v>0.5</c:v>
                </c:pt>
                <c:pt idx="1">
                  <c:v>23.5</c:v>
                </c:pt>
              </c:numCache>
            </c:numRef>
          </c:xVal>
          <c:yVal>
            <c:numRef>
              <c:f>Referral_Source!$AD$88:$AD$89</c:f>
              <c:numCache>
                <c:formatCode>#,##0</c:formatCode>
                <c:ptCount val="2"/>
                <c:pt idx="0">
                  <c:v>1.367084804326598</c:v>
                </c:pt>
                <c:pt idx="1">
                  <c:v>1.367084804326598</c:v>
                </c:pt>
              </c:numCache>
            </c:numRef>
          </c:yVal>
          <c:smooth val="1"/>
        </c:ser>
        <c:dLbls>
          <c:showLegendKey val="0"/>
          <c:showVal val="0"/>
          <c:showCatName val="0"/>
          <c:showSerName val="0"/>
          <c:showPercent val="0"/>
          <c:showBubbleSize val="0"/>
        </c:dLbls>
        <c:axId val="190013440"/>
        <c:axId val="190014976"/>
      </c:scatterChart>
      <c:catAx>
        <c:axId val="190013440"/>
        <c:scaling>
          <c:orientation val="minMax"/>
        </c:scaling>
        <c:delete val="0"/>
        <c:axPos val="b"/>
        <c:numFmt formatCode="General" sourceLinked="1"/>
        <c:majorTickMark val="out"/>
        <c:minorTickMark val="none"/>
        <c:tickLblPos val="nextTo"/>
        <c:txPr>
          <a:bodyPr rot="5400000" vert="horz"/>
          <a:lstStyle/>
          <a:p>
            <a:pPr>
              <a:defRPr sz="700"/>
            </a:pPr>
            <a:endParaRPr lang="en-US"/>
          </a:p>
        </c:txPr>
        <c:crossAx val="190014976"/>
        <c:crosses val="autoZero"/>
        <c:auto val="1"/>
        <c:lblAlgn val="ctr"/>
        <c:lblOffset val="100"/>
        <c:noMultiLvlLbl val="0"/>
      </c:catAx>
      <c:valAx>
        <c:axId val="19001497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0013440"/>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LA Services</a:t>
            </a:r>
          </a:p>
        </c:rich>
      </c:tx>
      <c:layout>
        <c:manualLayout>
          <c:xMode val="edge"/>
          <c:yMode val="edge"/>
          <c:x val="0.3662135922330097"/>
          <c:y val="1.278963317991048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Referral_Source!$L$40</c:f>
              <c:strCache>
                <c:ptCount val="1"/>
                <c:pt idx="0">
                  <c:v>LA services</c:v>
                </c:pt>
              </c:strCache>
            </c:strRef>
          </c:tx>
          <c:spPr>
            <a:solidFill>
              <a:srgbClr val="CC99FF"/>
            </a:solidFill>
            <a:ln w="12700">
              <a:solidFill>
                <a:srgbClr val="000000"/>
              </a:solidFill>
              <a:prstDash val="solid"/>
            </a:ln>
          </c:spPr>
          <c:invertIfNegative val="0"/>
          <c:cat>
            <c:strRef>
              <c:f>Referral_Source!$B$41:$B$62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Referral_Source!$L$41:$L$62</c:f>
              <c:numCache>
                <c:formatCode>#,##0</c:formatCode>
                <c:ptCount val="22"/>
                <c:pt idx="0">
                  <c:v>20.450797141286419</c:v>
                </c:pt>
                <c:pt idx="1">
                  <c:v>15.879186602870812</c:v>
                </c:pt>
                <c:pt idx="2">
                  <c:v>9.6256167166489313</c:v>
                </c:pt>
                <c:pt idx="3">
                  <c:v>17.655140828944354</c:v>
                </c:pt>
                <c:pt idx="4">
                  <c:v>9.9782811045609687</c:v>
                </c:pt>
                <c:pt idx="5">
                  <c:v>11.980108499095842</c:v>
                </c:pt>
                <c:pt idx="6">
                  <c:v>11.345687296753214</c:v>
                </c:pt>
                <c:pt idx="7">
                  <c:v>13.361408882082696</c:v>
                </c:pt>
                <c:pt idx="8">
                  <c:v>17.38013698630137</c:v>
                </c:pt>
                <c:pt idx="9">
                  <c:v>7.2204285294980926</c:v>
                </c:pt>
                <c:pt idx="10">
                  <c:v>12.407732864674868</c:v>
                </c:pt>
                <c:pt idx="11">
                  <c:v>10.739030023094688</c:v>
                </c:pt>
                <c:pt idx="12">
                  <c:v>23.173803526448363</c:v>
                </c:pt>
                <c:pt idx="13">
                  <c:v>10.939012584704743</c:v>
                </c:pt>
                <c:pt idx="14">
                  <c:v>18.446230386528896</c:v>
                </c:pt>
                <c:pt idx="15">
                  <c:v>12.813738441215325</c:v>
                </c:pt>
                <c:pt idx="16">
                  <c:v>6.8927488282326994</c:v>
                </c:pt>
                <c:pt idx="17">
                  <c:v>15.401662049861494</c:v>
                </c:pt>
                <c:pt idx="18">
                  <c:v>17.024128686327078</c:v>
                </c:pt>
                <c:pt idx="19">
                  <c:v>18.199099549774889</c:v>
                </c:pt>
                <c:pt idx="20">
                  <c:v>9.8963242224316676</c:v>
                </c:pt>
                <c:pt idx="21">
                  <c:v>10.39056742815033</c:v>
                </c:pt>
              </c:numCache>
            </c:numRef>
          </c:val>
        </c:ser>
        <c:dLbls>
          <c:showLegendKey val="0"/>
          <c:showVal val="0"/>
          <c:showCatName val="0"/>
          <c:showSerName val="0"/>
          <c:showPercent val="0"/>
          <c:showBubbleSize val="0"/>
        </c:dLbls>
        <c:gapWidth val="0"/>
        <c:axId val="190044416"/>
        <c:axId val="190050304"/>
      </c:barChart>
      <c:scatterChart>
        <c:scatterStyle val="smoothMarker"/>
        <c:varyColors val="0"/>
        <c:ser>
          <c:idx val="1"/>
          <c:order val="1"/>
          <c:tx>
            <c:strRef>
              <c:f>Referral_Source!$AB$79</c:f>
              <c:strCache>
                <c:ptCount val="1"/>
                <c:pt idx="0">
                  <c:v>South East</c:v>
                </c:pt>
              </c:strCache>
            </c:strRef>
          </c:tx>
          <c:spPr>
            <a:ln w="19050">
              <a:solidFill>
                <a:srgbClr val="C00000"/>
              </a:solidFill>
              <a:prstDash val="sysDash"/>
            </a:ln>
          </c:spPr>
          <c:marker>
            <c:symbol val="none"/>
          </c:marker>
          <c:xVal>
            <c:numRef>
              <c:f>Referral_Source!$AC$90:$AC$91</c:f>
              <c:numCache>
                <c:formatCode>General</c:formatCode>
                <c:ptCount val="2"/>
                <c:pt idx="0">
                  <c:v>0.5</c:v>
                </c:pt>
                <c:pt idx="1">
                  <c:v>23.5</c:v>
                </c:pt>
              </c:numCache>
            </c:numRef>
          </c:xVal>
          <c:yVal>
            <c:numRef>
              <c:f>Referral_Source!$AD$90:$AD$91</c:f>
              <c:numCache>
                <c:formatCode>#,##0</c:formatCode>
                <c:ptCount val="2"/>
                <c:pt idx="0">
                  <c:v>12.70750394351386</c:v>
                </c:pt>
                <c:pt idx="1">
                  <c:v>12.70750394351386</c:v>
                </c:pt>
              </c:numCache>
            </c:numRef>
          </c:yVal>
          <c:smooth val="1"/>
        </c:ser>
        <c:dLbls>
          <c:showLegendKey val="0"/>
          <c:showVal val="0"/>
          <c:showCatName val="0"/>
          <c:showSerName val="0"/>
          <c:showPercent val="0"/>
          <c:showBubbleSize val="0"/>
        </c:dLbls>
        <c:axId val="190044416"/>
        <c:axId val="190050304"/>
      </c:scatterChart>
      <c:catAx>
        <c:axId val="190044416"/>
        <c:scaling>
          <c:orientation val="minMax"/>
        </c:scaling>
        <c:delete val="0"/>
        <c:axPos val="b"/>
        <c:numFmt formatCode="General" sourceLinked="1"/>
        <c:majorTickMark val="out"/>
        <c:minorTickMark val="none"/>
        <c:tickLblPos val="nextTo"/>
        <c:txPr>
          <a:bodyPr rot="5400000" vert="horz"/>
          <a:lstStyle/>
          <a:p>
            <a:pPr>
              <a:defRPr sz="700"/>
            </a:pPr>
            <a:endParaRPr lang="en-US"/>
          </a:p>
        </c:txPr>
        <c:crossAx val="190050304"/>
        <c:crosses val="autoZero"/>
        <c:auto val="1"/>
        <c:lblAlgn val="ctr"/>
        <c:lblOffset val="100"/>
        <c:noMultiLvlLbl val="0"/>
      </c:catAx>
      <c:valAx>
        <c:axId val="19005030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0044416"/>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Police</a:t>
            </a:r>
          </a:p>
        </c:rich>
      </c:tx>
      <c:layout>
        <c:manualLayout>
          <c:xMode val="edge"/>
          <c:yMode val="edge"/>
          <c:x val="0.32737864077669904"/>
          <c:y val="1.278963317991048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Referral_Source!$N$40</c:f>
              <c:strCache>
                <c:ptCount val="1"/>
                <c:pt idx="0">
                  <c:v>Police</c:v>
                </c:pt>
              </c:strCache>
            </c:strRef>
          </c:tx>
          <c:spPr>
            <a:solidFill>
              <a:srgbClr val="0EC9E2"/>
            </a:solidFill>
            <a:ln w="12700">
              <a:solidFill>
                <a:srgbClr val="000000"/>
              </a:solidFill>
              <a:prstDash val="solid"/>
            </a:ln>
          </c:spPr>
          <c:invertIfNegative val="0"/>
          <c:cat>
            <c:strRef>
              <c:f>Referral_Source!$B$41:$B$62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Referral_Source!$N$41:$N$62</c:f>
              <c:numCache>
                <c:formatCode>#,##0</c:formatCode>
                <c:ptCount val="22"/>
                <c:pt idx="0">
                  <c:v>22.649807586586039</c:v>
                </c:pt>
                <c:pt idx="1">
                  <c:v>25.807416267942585</c:v>
                </c:pt>
                <c:pt idx="2">
                  <c:v>34.168520847441229</c:v>
                </c:pt>
                <c:pt idx="3">
                  <c:v>27.27272727272727</c:v>
                </c:pt>
                <c:pt idx="4">
                  <c:v>26.050263729444616</c:v>
                </c:pt>
                <c:pt idx="5">
                  <c:v>21.609403254972875</c:v>
                </c:pt>
                <c:pt idx="6">
                  <c:v>34.455169565890671</c:v>
                </c:pt>
                <c:pt idx="7">
                  <c:v>31.278713629402755</c:v>
                </c:pt>
                <c:pt idx="8">
                  <c:v>28.510273972602739</c:v>
                </c:pt>
                <c:pt idx="9">
                  <c:v>29.321984150278841</c:v>
                </c:pt>
                <c:pt idx="10">
                  <c:v>31.177504393673111</c:v>
                </c:pt>
                <c:pt idx="11">
                  <c:v>39.030023094688218</c:v>
                </c:pt>
                <c:pt idx="12">
                  <c:v>32.430730478589417</c:v>
                </c:pt>
                <c:pt idx="13">
                  <c:v>31.965150048402712</c:v>
                </c:pt>
                <c:pt idx="14">
                  <c:v>30.616150019135091</c:v>
                </c:pt>
                <c:pt idx="15">
                  <c:v>38.154997798326725</c:v>
                </c:pt>
                <c:pt idx="16">
                  <c:v>35.318444995864354</c:v>
                </c:pt>
                <c:pt idx="17">
                  <c:v>24.099722991689752</c:v>
                </c:pt>
                <c:pt idx="18">
                  <c:v>32.037533512064343</c:v>
                </c:pt>
                <c:pt idx="19">
                  <c:v>29.144572286143074</c:v>
                </c:pt>
                <c:pt idx="20">
                  <c:v>35.061262959472195</c:v>
                </c:pt>
                <c:pt idx="21">
                  <c:v>42.815033161385408</c:v>
                </c:pt>
              </c:numCache>
            </c:numRef>
          </c:val>
        </c:ser>
        <c:dLbls>
          <c:showLegendKey val="0"/>
          <c:showVal val="0"/>
          <c:showCatName val="0"/>
          <c:showSerName val="0"/>
          <c:showPercent val="0"/>
          <c:showBubbleSize val="0"/>
        </c:dLbls>
        <c:gapWidth val="0"/>
        <c:axId val="189772544"/>
        <c:axId val="189774080"/>
      </c:barChart>
      <c:scatterChart>
        <c:scatterStyle val="smoothMarker"/>
        <c:varyColors val="0"/>
        <c:ser>
          <c:idx val="1"/>
          <c:order val="1"/>
          <c:tx>
            <c:strRef>
              <c:f>Referral_Source!$AB$79</c:f>
              <c:strCache>
                <c:ptCount val="1"/>
                <c:pt idx="0">
                  <c:v>South East</c:v>
                </c:pt>
              </c:strCache>
            </c:strRef>
          </c:tx>
          <c:spPr>
            <a:ln w="19050">
              <a:solidFill>
                <a:srgbClr val="C00000"/>
              </a:solidFill>
              <a:prstDash val="sysDash"/>
            </a:ln>
          </c:spPr>
          <c:marker>
            <c:symbol val="none"/>
          </c:marker>
          <c:xVal>
            <c:numRef>
              <c:f>Referral_Source!$AC$92:$AC$93</c:f>
              <c:numCache>
                <c:formatCode>General</c:formatCode>
                <c:ptCount val="2"/>
                <c:pt idx="0">
                  <c:v>0.5</c:v>
                </c:pt>
                <c:pt idx="1">
                  <c:v>23.5</c:v>
                </c:pt>
              </c:numCache>
            </c:numRef>
          </c:xVal>
          <c:yVal>
            <c:numRef>
              <c:f>Referral_Source!$AD$92:$AD$93</c:f>
              <c:numCache>
                <c:formatCode>#,##0</c:formatCode>
                <c:ptCount val="2"/>
                <c:pt idx="0">
                  <c:v>31.537782618493203</c:v>
                </c:pt>
                <c:pt idx="1">
                  <c:v>31.537782618493203</c:v>
                </c:pt>
              </c:numCache>
            </c:numRef>
          </c:yVal>
          <c:smooth val="1"/>
        </c:ser>
        <c:dLbls>
          <c:showLegendKey val="0"/>
          <c:showVal val="0"/>
          <c:showCatName val="0"/>
          <c:showSerName val="0"/>
          <c:showPercent val="0"/>
          <c:showBubbleSize val="0"/>
        </c:dLbls>
        <c:axId val="189772544"/>
        <c:axId val="189774080"/>
      </c:scatterChart>
      <c:catAx>
        <c:axId val="189772544"/>
        <c:scaling>
          <c:orientation val="minMax"/>
        </c:scaling>
        <c:delete val="0"/>
        <c:axPos val="b"/>
        <c:numFmt formatCode="General" sourceLinked="1"/>
        <c:majorTickMark val="out"/>
        <c:minorTickMark val="none"/>
        <c:tickLblPos val="nextTo"/>
        <c:txPr>
          <a:bodyPr rot="5400000" vert="horz"/>
          <a:lstStyle/>
          <a:p>
            <a:pPr>
              <a:defRPr sz="700"/>
            </a:pPr>
            <a:endParaRPr lang="en-US"/>
          </a:p>
        </c:txPr>
        <c:crossAx val="189774080"/>
        <c:crosses val="autoZero"/>
        <c:auto val="1"/>
        <c:lblAlgn val="ctr"/>
        <c:lblOffset val="100"/>
        <c:noMultiLvlLbl val="0"/>
      </c:catAx>
      <c:valAx>
        <c:axId val="18977408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9772544"/>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Other Legal Agency</a:t>
            </a:r>
          </a:p>
        </c:rich>
      </c:tx>
      <c:layout>
        <c:manualLayout>
          <c:xMode val="edge"/>
          <c:yMode val="edge"/>
          <c:x val="0.30148867313915856"/>
          <c:y val="1.923085701243866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Referral_Source!$P$40</c:f>
              <c:strCache>
                <c:ptCount val="1"/>
                <c:pt idx="0">
                  <c:v>Other legal agency</c:v>
                </c:pt>
              </c:strCache>
            </c:strRef>
          </c:tx>
          <c:spPr>
            <a:solidFill>
              <a:srgbClr val="4F81BD"/>
            </a:solidFill>
            <a:ln w="12700">
              <a:solidFill>
                <a:srgbClr val="000000"/>
              </a:solidFill>
              <a:prstDash val="solid"/>
            </a:ln>
          </c:spPr>
          <c:invertIfNegative val="0"/>
          <c:cat>
            <c:strRef>
              <c:f>Referral_Source!$B$41:$B$62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Referral_Source!$P$41:$P$62</c:f>
              <c:numCache>
                <c:formatCode>#,##0</c:formatCode>
                <c:ptCount val="22"/>
                <c:pt idx="0">
                  <c:v>1.4293567894447499</c:v>
                </c:pt>
                <c:pt idx="1">
                  <c:v>2.4820574162679425</c:v>
                </c:pt>
                <c:pt idx="2">
                  <c:v>2.370126729225114</c:v>
                </c:pt>
                <c:pt idx="3">
                  <c:v>3.9615296542248686</c:v>
                </c:pt>
                <c:pt idx="4">
                  <c:v>2.3642569035060501</c:v>
                </c:pt>
                <c:pt idx="5">
                  <c:v>1.763110307414105</c:v>
                </c:pt>
                <c:pt idx="6">
                  <c:v>3.711350849119909</c:v>
                </c:pt>
                <c:pt idx="7">
                  <c:v>2.9096477794793261</c:v>
                </c:pt>
                <c:pt idx="8">
                  <c:v>6.0359589041095889</c:v>
                </c:pt>
                <c:pt idx="9">
                  <c:v>1.1740534194305841</c:v>
                </c:pt>
                <c:pt idx="10">
                  <c:v>4.4288224956063269</c:v>
                </c:pt>
                <c:pt idx="11">
                  <c:v>2.6943802925327174</c:v>
                </c:pt>
                <c:pt idx="12">
                  <c:v>2.8337531486146093</c:v>
                </c:pt>
                <c:pt idx="13">
                  <c:v>3.4075508228460798</c:v>
                </c:pt>
                <c:pt idx="14">
                  <c:v>2.5641025641025639</c:v>
                </c:pt>
                <c:pt idx="15">
                  <c:v>2.6933803023631295</c:v>
                </c:pt>
                <c:pt idx="16">
                  <c:v>2.315963606286187</c:v>
                </c:pt>
                <c:pt idx="17">
                  <c:v>1.2742382271468145</c:v>
                </c:pt>
                <c:pt idx="18">
                  <c:v>#N/A</c:v>
                </c:pt>
                <c:pt idx="19">
                  <c:v>3.6318159079539774</c:v>
                </c:pt>
                <c:pt idx="20">
                  <c:v>1.3195098963242224</c:v>
                </c:pt>
                <c:pt idx="21">
                  <c:v>3.0213706705969052</c:v>
                </c:pt>
              </c:numCache>
            </c:numRef>
          </c:val>
        </c:ser>
        <c:dLbls>
          <c:showLegendKey val="0"/>
          <c:showVal val="0"/>
          <c:showCatName val="0"/>
          <c:showSerName val="0"/>
          <c:showPercent val="0"/>
          <c:showBubbleSize val="0"/>
        </c:dLbls>
        <c:gapWidth val="0"/>
        <c:axId val="189815424"/>
        <c:axId val="189825408"/>
      </c:barChart>
      <c:scatterChart>
        <c:scatterStyle val="smoothMarker"/>
        <c:varyColors val="0"/>
        <c:ser>
          <c:idx val="1"/>
          <c:order val="1"/>
          <c:tx>
            <c:strRef>
              <c:f>Referral_Source!$AB$79</c:f>
              <c:strCache>
                <c:ptCount val="1"/>
                <c:pt idx="0">
                  <c:v>South East</c:v>
                </c:pt>
              </c:strCache>
            </c:strRef>
          </c:tx>
          <c:spPr>
            <a:ln w="19050">
              <a:solidFill>
                <a:srgbClr val="C00000"/>
              </a:solidFill>
              <a:prstDash val="sysDash"/>
            </a:ln>
          </c:spPr>
          <c:marker>
            <c:symbol val="none"/>
          </c:marker>
          <c:xVal>
            <c:numRef>
              <c:f>Referral_Source!$AC$94:$AC$95</c:f>
              <c:numCache>
                <c:formatCode>General</c:formatCode>
                <c:ptCount val="2"/>
                <c:pt idx="0">
                  <c:v>0.5</c:v>
                </c:pt>
                <c:pt idx="1">
                  <c:v>23.5</c:v>
                </c:pt>
              </c:numCache>
            </c:numRef>
          </c:xVal>
          <c:yVal>
            <c:numRef>
              <c:f>Referral_Source!$AD$94:$AD$95</c:f>
              <c:numCache>
                <c:formatCode>#,##0</c:formatCode>
                <c:ptCount val="2"/>
                <c:pt idx="0">
                  <c:v>2.8693757980920904</c:v>
                </c:pt>
                <c:pt idx="1">
                  <c:v>2.8693757980920904</c:v>
                </c:pt>
              </c:numCache>
            </c:numRef>
          </c:yVal>
          <c:smooth val="1"/>
        </c:ser>
        <c:dLbls>
          <c:showLegendKey val="0"/>
          <c:showVal val="0"/>
          <c:showCatName val="0"/>
          <c:showSerName val="0"/>
          <c:showPercent val="0"/>
          <c:showBubbleSize val="0"/>
        </c:dLbls>
        <c:axId val="189815424"/>
        <c:axId val="189825408"/>
      </c:scatterChart>
      <c:catAx>
        <c:axId val="189815424"/>
        <c:scaling>
          <c:orientation val="minMax"/>
        </c:scaling>
        <c:delete val="0"/>
        <c:axPos val="b"/>
        <c:numFmt formatCode="General" sourceLinked="1"/>
        <c:majorTickMark val="out"/>
        <c:minorTickMark val="none"/>
        <c:tickLblPos val="nextTo"/>
        <c:txPr>
          <a:bodyPr rot="5400000" vert="horz"/>
          <a:lstStyle/>
          <a:p>
            <a:pPr>
              <a:defRPr sz="600"/>
            </a:pPr>
            <a:endParaRPr lang="en-US"/>
          </a:p>
        </c:txPr>
        <c:crossAx val="189825408"/>
        <c:crosses val="autoZero"/>
        <c:auto val="1"/>
        <c:lblAlgn val="ctr"/>
        <c:lblOffset val="100"/>
        <c:noMultiLvlLbl val="0"/>
      </c:catAx>
      <c:valAx>
        <c:axId val="18982540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9815424"/>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Other</a:t>
            </a:r>
          </a:p>
        </c:rich>
      </c:tx>
      <c:layout>
        <c:manualLayout>
          <c:xMode val="edge"/>
          <c:yMode val="edge"/>
          <c:x val="0.43093851132686084"/>
          <c:y val="1.278963317991048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Referral_Source!$R$40</c:f>
              <c:strCache>
                <c:ptCount val="1"/>
                <c:pt idx="0">
                  <c:v>Other</c:v>
                </c:pt>
              </c:strCache>
            </c:strRef>
          </c:tx>
          <c:spPr>
            <a:solidFill>
              <a:srgbClr val="1F497D"/>
            </a:solidFill>
            <a:ln w="12700">
              <a:solidFill>
                <a:srgbClr val="000000"/>
              </a:solidFill>
              <a:prstDash val="solid"/>
            </a:ln>
          </c:spPr>
          <c:invertIfNegative val="0"/>
          <c:cat>
            <c:strRef>
              <c:f>Referral_Source!$B$41:$B$62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Referral_Source!$R$41:$R$62</c:f>
              <c:numCache>
                <c:formatCode>#,##0</c:formatCode>
                <c:ptCount val="22"/>
                <c:pt idx="0">
                  <c:v>7.4216602528862019</c:v>
                </c:pt>
                <c:pt idx="1">
                  <c:v>4.5753588516746415</c:v>
                </c:pt>
                <c:pt idx="2">
                  <c:v>4.4113379123536811</c:v>
                </c:pt>
                <c:pt idx="3">
                  <c:v>7.8543622624227165</c:v>
                </c:pt>
                <c:pt idx="4">
                  <c:v>7.1920570896680109</c:v>
                </c:pt>
                <c:pt idx="5">
                  <c:v>7.6401446654611211</c:v>
                </c:pt>
                <c:pt idx="6">
                  <c:v>5.4199143137356112</c:v>
                </c:pt>
                <c:pt idx="7">
                  <c:v>3.1010719754977027</c:v>
                </c:pt>
                <c:pt idx="8">
                  <c:v>4.0667808219178081</c:v>
                </c:pt>
                <c:pt idx="9">
                  <c:v>25.741121221015558</c:v>
                </c:pt>
                <c:pt idx="10">
                  <c:v>4.5694200351493848</c:v>
                </c:pt>
                <c:pt idx="11">
                  <c:v>4.695919938414165</c:v>
                </c:pt>
                <c:pt idx="12">
                  <c:v>1.8261964735516372</c:v>
                </c:pt>
                <c:pt idx="13">
                  <c:v>6.6408518877057121</c:v>
                </c:pt>
                <c:pt idx="14">
                  <c:v>6.0849598163030993</c:v>
                </c:pt>
                <c:pt idx="15">
                  <c:v>5.8931454572141497</c:v>
                </c:pt>
                <c:pt idx="16">
                  <c:v>5.7899090157154669</c:v>
                </c:pt>
                <c:pt idx="17">
                  <c:v>8.6426592797783925</c:v>
                </c:pt>
                <c:pt idx="18">
                  <c:v>3.5522788203753355</c:v>
                </c:pt>
                <c:pt idx="19">
                  <c:v>6.903451725862932</c:v>
                </c:pt>
                <c:pt idx="20">
                  <c:v>2.827521206409048</c:v>
                </c:pt>
                <c:pt idx="21">
                  <c:v>4.5689019896831242</c:v>
                </c:pt>
              </c:numCache>
            </c:numRef>
          </c:val>
        </c:ser>
        <c:dLbls>
          <c:showLegendKey val="0"/>
          <c:showVal val="0"/>
          <c:showCatName val="0"/>
          <c:showSerName val="0"/>
          <c:showPercent val="0"/>
          <c:showBubbleSize val="0"/>
        </c:dLbls>
        <c:gapWidth val="0"/>
        <c:axId val="189863040"/>
        <c:axId val="189864576"/>
      </c:barChart>
      <c:scatterChart>
        <c:scatterStyle val="smoothMarker"/>
        <c:varyColors val="0"/>
        <c:ser>
          <c:idx val="1"/>
          <c:order val="1"/>
          <c:tx>
            <c:strRef>
              <c:f>Referral_Source!$AB$79</c:f>
              <c:strCache>
                <c:ptCount val="1"/>
                <c:pt idx="0">
                  <c:v>South East</c:v>
                </c:pt>
              </c:strCache>
            </c:strRef>
          </c:tx>
          <c:spPr>
            <a:ln w="19050">
              <a:solidFill>
                <a:srgbClr val="C00000"/>
              </a:solidFill>
              <a:prstDash val="sysDash"/>
            </a:ln>
          </c:spPr>
          <c:marker>
            <c:symbol val="none"/>
          </c:marker>
          <c:xVal>
            <c:numRef>
              <c:f>Referral_Source!$AC$96:$AC$97</c:f>
              <c:numCache>
                <c:formatCode>General</c:formatCode>
                <c:ptCount val="2"/>
                <c:pt idx="0">
                  <c:v>0.5</c:v>
                </c:pt>
                <c:pt idx="1">
                  <c:v>23.5</c:v>
                </c:pt>
              </c:numCache>
            </c:numRef>
          </c:xVal>
          <c:yVal>
            <c:numRef>
              <c:f>Referral_Source!$AD$96:$AD$97</c:f>
              <c:numCache>
                <c:formatCode>#,##0</c:formatCode>
                <c:ptCount val="2"/>
                <c:pt idx="0">
                  <c:v>7.0166378727559531</c:v>
                </c:pt>
                <c:pt idx="1">
                  <c:v>7.0166378727559531</c:v>
                </c:pt>
              </c:numCache>
            </c:numRef>
          </c:yVal>
          <c:smooth val="1"/>
        </c:ser>
        <c:dLbls>
          <c:showLegendKey val="0"/>
          <c:showVal val="0"/>
          <c:showCatName val="0"/>
          <c:showSerName val="0"/>
          <c:showPercent val="0"/>
          <c:showBubbleSize val="0"/>
        </c:dLbls>
        <c:axId val="189863040"/>
        <c:axId val="189864576"/>
      </c:scatterChart>
      <c:catAx>
        <c:axId val="189863040"/>
        <c:scaling>
          <c:orientation val="minMax"/>
        </c:scaling>
        <c:delete val="0"/>
        <c:axPos val="b"/>
        <c:numFmt formatCode="General" sourceLinked="1"/>
        <c:majorTickMark val="out"/>
        <c:minorTickMark val="none"/>
        <c:tickLblPos val="nextTo"/>
        <c:txPr>
          <a:bodyPr rot="5400000" vert="horz"/>
          <a:lstStyle/>
          <a:p>
            <a:pPr>
              <a:defRPr sz="600"/>
            </a:pPr>
            <a:endParaRPr lang="en-US"/>
          </a:p>
        </c:txPr>
        <c:crossAx val="189864576"/>
        <c:crosses val="autoZero"/>
        <c:auto val="1"/>
        <c:lblAlgn val="ctr"/>
        <c:lblOffset val="100"/>
        <c:noMultiLvlLbl val="0"/>
      </c:catAx>
      <c:valAx>
        <c:axId val="18986457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9863040"/>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Anonymous</a:t>
            </a:r>
          </a:p>
        </c:rich>
      </c:tx>
      <c:layout>
        <c:manualLayout>
          <c:xMode val="edge"/>
          <c:yMode val="edge"/>
          <c:x val="0.32284227292101308"/>
          <c:y val="1.2789633179910482E-2"/>
        </c:manualLayout>
      </c:layout>
      <c:overlay val="1"/>
    </c:title>
    <c:autoTitleDeleted val="0"/>
    <c:plotArea>
      <c:layout>
        <c:manualLayout>
          <c:layoutTarget val="inner"/>
          <c:xMode val="edge"/>
          <c:yMode val="edge"/>
          <c:x val="9.9894503478327346E-2"/>
          <c:y val="0.1236862058909303"/>
          <c:w val="0.86879222621444163"/>
          <c:h val="0.44172036466456188"/>
        </c:manualLayout>
      </c:layout>
      <c:barChart>
        <c:barDir val="col"/>
        <c:grouping val="clustered"/>
        <c:varyColors val="0"/>
        <c:ser>
          <c:idx val="0"/>
          <c:order val="0"/>
          <c:tx>
            <c:strRef>
              <c:f>Referral_Source!$T$40:$U$40</c:f>
              <c:strCache>
                <c:ptCount val="1"/>
                <c:pt idx="0">
                  <c:v>Anonymous</c:v>
                </c:pt>
              </c:strCache>
            </c:strRef>
          </c:tx>
          <c:spPr>
            <a:solidFill>
              <a:srgbClr val="4BACC6">
                <a:lumMod val="75000"/>
              </a:srgbClr>
            </a:solidFill>
            <a:ln w="12700">
              <a:solidFill>
                <a:srgbClr val="000000"/>
              </a:solidFill>
              <a:prstDash val="solid"/>
            </a:ln>
          </c:spPr>
          <c:invertIfNegative val="0"/>
          <c:cat>
            <c:strRef>
              <c:f>Referral_Source!$B$41:$B$62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Referral_Source!$T$41:$T$62</c:f>
              <c:numCache>
                <c:formatCode>#,##0</c:formatCode>
                <c:ptCount val="22"/>
                <c:pt idx="0">
                  <c:v>3.0236393622869708</c:v>
                </c:pt>
                <c:pt idx="1">
                  <c:v>1.2559808612440191</c:v>
                </c:pt>
                <c:pt idx="2">
                  <c:v>2.9505659282190191</c:v>
                </c:pt>
                <c:pt idx="3">
                  <c:v>1.7403251660178611</c:v>
                </c:pt>
                <c:pt idx="4">
                  <c:v>2.295997517840521</c:v>
                </c:pt>
                <c:pt idx="5">
                  <c:v>0</c:v>
                </c:pt>
                <c:pt idx="6">
                  <c:v>2.1318329634026738</c:v>
                </c:pt>
                <c:pt idx="7">
                  <c:v>3.1776416539050536</c:v>
                </c:pt>
                <c:pt idx="8">
                  <c:v>2.054794520547945</c:v>
                </c:pt>
                <c:pt idx="9">
                  <c:v>1.8784854710889345</c:v>
                </c:pt>
                <c:pt idx="10">
                  <c:v>1.7223198594024607</c:v>
                </c:pt>
                <c:pt idx="11">
                  <c:v>#N/A</c:v>
                </c:pt>
                <c:pt idx="12">
                  <c:v>2.7078085642317382</c:v>
                </c:pt>
                <c:pt idx="13">
                  <c:v>4.0077444336882868</c:v>
                </c:pt>
                <c:pt idx="14">
                  <c:v>2.6023727516264827</c:v>
                </c:pt>
                <c:pt idx="15">
                  <c:v>1.4310876265962131</c:v>
                </c:pt>
                <c:pt idx="16">
                  <c:v>3.9702233250620349</c:v>
                </c:pt>
                <c:pt idx="17">
                  <c:v>3.3795013850415514</c:v>
                </c:pt>
                <c:pt idx="18">
                  <c:v>1.6085790884718498</c:v>
                </c:pt>
                <c:pt idx="19">
                  <c:v>0</c:v>
                </c:pt>
                <c:pt idx="20">
                  <c:v>2.167766258246937</c:v>
                </c:pt>
                <c:pt idx="21">
                  <c:v>1.3264554163596167</c:v>
                </c:pt>
              </c:numCache>
            </c:numRef>
          </c:val>
        </c:ser>
        <c:dLbls>
          <c:showLegendKey val="0"/>
          <c:showVal val="0"/>
          <c:showCatName val="0"/>
          <c:showSerName val="0"/>
          <c:showPercent val="0"/>
          <c:showBubbleSize val="0"/>
        </c:dLbls>
        <c:gapWidth val="0"/>
        <c:axId val="189902208"/>
        <c:axId val="189904000"/>
      </c:barChart>
      <c:scatterChart>
        <c:scatterStyle val="smoothMarker"/>
        <c:varyColors val="0"/>
        <c:ser>
          <c:idx val="1"/>
          <c:order val="1"/>
          <c:tx>
            <c:v>SE Anonymous</c:v>
          </c:tx>
          <c:spPr>
            <a:ln w="19050">
              <a:solidFill>
                <a:srgbClr val="C00000"/>
              </a:solidFill>
              <a:prstDash val="sysDash"/>
            </a:ln>
          </c:spPr>
          <c:marker>
            <c:symbol val="none"/>
          </c:marker>
          <c:xVal>
            <c:numRef>
              <c:f>Referral_Source!$AC$98:$AC$99</c:f>
              <c:numCache>
                <c:formatCode>General</c:formatCode>
                <c:ptCount val="2"/>
                <c:pt idx="0">
                  <c:v>0.5</c:v>
                </c:pt>
                <c:pt idx="1">
                  <c:v>23.5</c:v>
                </c:pt>
              </c:numCache>
            </c:numRef>
          </c:xVal>
          <c:yVal>
            <c:numRef>
              <c:f>Referral_Source!$AD$98:$AD$99</c:f>
              <c:numCache>
                <c:formatCode>#,##0</c:formatCode>
                <c:ptCount val="2"/>
                <c:pt idx="0">
                  <c:v>1.8215278299406594</c:v>
                </c:pt>
                <c:pt idx="1">
                  <c:v>1.8215278299406594</c:v>
                </c:pt>
              </c:numCache>
            </c:numRef>
          </c:yVal>
          <c:smooth val="1"/>
        </c:ser>
        <c:dLbls>
          <c:showLegendKey val="0"/>
          <c:showVal val="0"/>
          <c:showCatName val="0"/>
          <c:showSerName val="0"/>
          <c:showPercent val="0"/>
          <c:showBubbleSize val="0"/>
        </c:dLbls>
        <c:axId val="189902208"/>
        <c:axId val="189904000"/>
      </c:scatterChart>
      <c:catAx>
        <c:axId val="189902208"/>
        <c:scaling>
          <c:orientation val="minMax"/>
        </c:scaling>
        <c:delete val="0"/>
        <c:axPos val="b"/>
        <c:numFmt formatCode="General" sourceLinked="1"/>
        <c:majorTickMark val="out"/>
        <c:minorTickMark val="none"/>
        <c:tickLblPos val="nextTo"/>
        <c:txPr>
          <a:bodyPr rot="5400000" vert="horz"/>
          <a:lstStyle/>
          <a:p>
            <a:pPr>
              <a:defRPr sz="600"/>
            </a:pPr>
            <a:endParaRPr lang="en-US"/>
          </a:p>
        </c:txPr>
        <c:crossAx val="189904000"/>
        <c:crosses val="autoZero"/>
        <c:auto val="1"/>
        <c:lblAlgn val="ctr"/>
        <c:lblOffset val="100"/>
        <c:noMultiLvlLbl val="0"/>
      </c:catAx>
      <c:valAx>
        <c:axId val="18990400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9902208"/>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Unknown</a:t>
            </a:r>
          </a:p>
        </c:rich>
      </c:tx>
      <c:layout>
        <c:manualLayout>
          <c:xMode val="edge"/>
          <c:yMode val="edge"/>
          <c:x val="0.36272831280705298"/>
          <c:y val="1.2789633179910482E-2"/>
        </c:manualLayout>
      </c:layout>
      <c:overlay val="1"/>
    </c:title>
    <c:autoTitleDeleted val="0"/>
    <c:plotArea>
      <c:layout>
        <c:manualLayout>
          <c:layoutTarget val="inner"/>
          <c:xMode val="edge"/>
          <c:yMode val="edge"/>
          <c:x val="9.9894503478327346E-2"/>
          <c:y val="0.1236862058909303"/>
          <c:w val="0.86879222621444163"/>
          <c:h val="0.44172036466456188"/>
        </c:manualLayout>
      </c:layout>
      <c:barChart>
        <c:barDir val="col"/>
        <c:grouping val="clustered"/>
        <c:varyColors val="0"/>
        <c:ser>
          <c:idx val="2"/>
          <c:order val="0"/>
          <c:tx>
            <c:strRef>
              <c:f>Referral_Source!$V$40:$W$40</c:f>
              <c:strCache>
                <c:ptCount val="1"/>
                <c:pt idx="0">
                  <c:v>Unknown</c:v>
                </c:pt>
              </c:strCache>
            </c:strRef>
          </c:tx>
          <c:spPr>
            <a:solidFill>
              <a:sysClr val="window" lastClr="FFFFFF">
                <a:lumMod val="75000"/>
              </a:sysClr>
            </a:solidFill>
            <a:ln>
              <a:solidFill>
                <a:sysClr val="windowText" lastClr="000000"/>
              </a:solidFill>
            </a:ln>
          </c:spPr>
          <c:invertIfNegative val="0"/>
          <c:cat>
            <c:strRef>
              <c:f>Referral_Source!$B$41:$B$62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Referral_Source!$V$41:$V$62</c:f>
              <c:numCache>
                <c:formatCode>#,##0</c:formatCode>
                <c:ptCount val="22"/>
                <c:pt idx="0">
                  <c:v>0.32985156679494226</c:v>
                </c:pt>
                <c:pt idx="1">
                  <c:v>14.055023923444976</c:v>
                </c:pt>
                <c:pt idx="2">
                  <c:v>1.9928412498790751</c:v>
                </c:pt>
                <c:pt idx="3">
                  <c:v>0.50377833753148615</c:v>
                </c:pt>
                <c:pt idx="4">
                  <c:v>2.8110456096804222</c:v>
                </c:pt>
                <c:pt idx="5">
                  <c:v>2.8481012658227849</c:v>
                </c:pt>
                <c:pt idx="6">
                  <c:v>0.3303566819800754</c:v>
                </c:pt>
                <c:pt idx="7">
                  <c:v>0.95712098009188351</c:v>
                </c:pt>
                <c:pt idx="8">
                  <c:v>#N/A</c:v>
                </c:pt>
                <c:pt idx="9">
                  <c:v>6.2665101262107417</c:v>
                </c:pt>
                <c:pt idx="10">
                  <c:v>0</c:v>
                </c:pt>
                <c:pt idx="11">
                  <c:v>#N/A</c:v>
                </c:pt>
                <c:pt idx="12">
                  <c:v>#N/A</c:v>
                </c:pt>
                <c:pt idx="13">
                  <c:v>0.23233301064859629</c:v>
                </c:pt>
                <c:pt idx="14">
                  <c:v>0</c:v>
                </c:pt>
                <c:pt idx="15">
                  <c:v>0</c:v>
                </c:pt>
                <c:pt idx="16">
                  <c:v>2.8398125172318722</c:v>
                </c:pt>
                <c:pt idx="17">
                  <c:v>3.2686980609418286</c:v>
                </c:pt>
                <c:pt idx="18">
                  <c:v>#N/A</c:v>
                </c:pt>
                <c:pt idx="19">
                  <c:v>1.4907453726863431</c:v>
                </c:pt>
                <c:pt idx="20">
                  <c:v>12.535344015080113</c:v>
                </c:pt>
                <c:pt idx="21">
                  <c:v>#N/A</c:v>
                </c:pt>
              </c:numCache>
            </c:numRef>
          </c:val>
        </c:ser>
        <c:dLbls>
          <c:showLegendKey val="0"/>
          <c:showVal val="0"/>
          <c:showCatName val="0"/>
          <c:showSerName val="0"/>
          <c:showPercent val="0"/>
          <c:showBubbleSize val="0"/>
        </c:dLbls>
        <c:gapWidth val="0"/>
        <c:axId val="190429056"/>
        <c:axId val="190430592"/>
      </c:barChart>
      <c:scatterChart>
        <c:scatterStyle val="smoothMarker"/>
        <c:varyColors val="0"/>
        <c:ser>
          <c:idx val="3"/>
          <c:order val="1"/>
          <c:tx>
            <c:v>SE Unknown</c:v>
          </c:tx>
          <c:spPr>
            <a:ln w="19050">
              <a:solidFill>
                <a:srgbClr val="C00000"/>
              </a:solidFill>
              <a:prstDash val="sysDash"/>
            </a:ln>
          </c:spPr>
          <c:marker>
            <c:symbol val="none"/>
          </c:marker>
          <c:xVal>
            <c:numRef>
              <c:f>Referral_Source!$AC$100:$AC$101</c:f>
              <c:numCache>
                <c:formatCode>General</c:formatCode>
                <c:ptCount val="2"/>
                <c:pt idx="0">
                  <c:v>0.5</c:v>
                </c:pt>
                <c:pt idx="1">
                  <c:v>23.5</c:v>
                </c:pt>
              </c:numCache>
            </c:numRef>
          </c:xVal>
          <c:yVal>
            <c:numRef>
              <c:f>Referral_Source!$AD$100:$AD$101</c:f>
              <c:numCache>
                <c:formatCode>#,##0</c:formatCode>
                <c:ptCount val="2"/>
                <c:pt idx="0">
                  <c:v>1.8947645158867272</c:v>
                </c:pt>
                <c:pt idx="1">
                  <c:v>1.8947645158867272</c:v>
                </c:pt>
              </c:numCache>
            </c:numRef>
          </c:yVal>
          <c:smooth val="1"/>
        </c:ser>
        <c:dLbls>
          <c:showLegendKey val="0"/>
          <c:showVal val="0"/>
          <c:showCatName val="0"/>
          <c:showSerName val="0"/>
          <c:showPercent val="0"/>
          <c:showBubbleSize val="0"/>
        </c:dLbls>
        <c:axId val="190429056"/>
        <c:axId val="190430592"/>
      </c:scatterChart>
      <c:catAx>
        <c:axId val="190429056"/>
        <c:scaling>
          <c:orientation val="minMax"/>
        </c:scaling>
        <c:delete val="0"/>
        <c:axPos val="b"/>
        <c:numFmt formatCode="General" sourceLinked="1"/>
        <c:majorTickMark val="out"/>
        <c:minorTickMark val="none"/>
        <c:tickLblPos val="nextTo"/>
        <c:txPr>
          <a:bodyPr rot="5400000" vert="horz"/>
          <a:lstStyle/>
          <a:p>
            <a:pPr>
              <a:defRPr sz="600"/>
            </a:pPr>
            <a:endParaRPr lang="en-US"/>
          </a:p>
        </c:txPr>
        <c:crossAx val="190430592"/>
        <c:crosses val="autoZero"/>
        <c:auto val="1"/>
        <c:lblAlgn val="ctr"/>
        <c:lblOffset val="100"/>
        <c:noMultiLvlLbl val="0"/>
      </c:catAx>
      <c:valAx>
        <c:axId val="19043059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0429056"/>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0-17 Population Estimate mid-2017
</a:t>
            </a:r>
          </a:p>
        </c:rich>
      </c:tx>
      <c:layout>
        <c:manualLayout>
          <c:xMode val="edge"/>
          <c:yMode val="edge"/>
          <c:x val="0.32341332506612153"/>
          <c:y val="2.9739803943101568E-2"/>
        </c:manualLayout>
      </c:layout>
      <c:overlay val="0"/>
      <c:spPr>
        <a:noFill/>
        <a:ln w="25400">
          <a:noFill/>
        </a:ln>
      </c:spPr>
    </c:title>
    <c:autoTitleDeleted val="0"/>
    <c:plotArea>
      <c:layout>
        <c:manualLayout>
          <c:layoutTarget val="inner"/>
          <c:xMode val="edge"/>
          <c:yMode val="edge"/>
          <c:x val="0.23015917612067546"/>
          <c:y val="0.10966552704018703"/>
          <c:w val="0.7222236216200506"/>
          <c:h val="0.83271451040684397"/>
        </c:manualLayout>
      </c:layout>
      <c:barChart>
        <c:barDir val="bar"/>
        <c:grouping val="clustered"/>
        <c:varyColors val="0"/>
        <c:ser>
          <c:idx val="2"/>
          <c:order val="0"/>
          <c:tx>
            <c:strRef>
              <c:f>Population!$G$7</c:f>
              <c:strCache>
                <c:ptCount val="1"/>
                <c:pt idx="0">
                  <c:v>mid-2017</c:v>
                </c:pt>
              </c:strCache>
            </c:strRef>
          </c:tx>
          <c:spPr>
            <a:solidFill>
              <a:srgbClr val="FB994F"/>
            </a:solidFill>
            <a:ln w="25400">
              <a:noFill/>
            </a:ln>
          </c:spPr>
          <c:invertIfNegative val="0"/>
          <c:cat>
            <c:strRef>
              <c:f>Population!$B$8:$B$29</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Population!$G$8:$G$29</c:f>
              <c:numCache>
                <c:formatCode>#,##0</c:formatCode>
                <c:ptCount val="22"/>
                <c:pt idx="0">
                  <c:v>28071</c:v>
                </c:pt>
                <c:pt idx="1">
                  <c:v>50981</c:v>
                </c:pt>
                <c:pt idx="2">
                  <c:v>123075</c:v>
                </c:pt>
                <c:pt idx="3">
                  <c:v>106045</c:v>
                </c:pt>
                <c:pt idx="4">
                  <c:v>283314</c:v>
                </c:pt>
                <c:pt idx="5">
                  <c:v>25055</c:v>
                </c:pt>
                <c:pt idx="6">
                  <c:v>336090</c:v>
                </c:pt>
                <c:pt idx="7">
                  <c:v>63943</c:v>
                </c:pt>
                <c:pt idx="8">
                  <c:v>67647</c:v>
                </c:pt>
                <c:pt idx="9">
                  <c:v>143444</c:v>
                </c:pt>
                <c:pt idx="10">
                  <c:v>44192</c:v>
                </c:pt>
                <c:pt idx="11">
                  <c:v>37093</c:v>
                </c:pt>
                <c:pt idx="12">
                  <c:v>42180</c:v>
                </c:pt>
                <c:pt idx="13">
                  <c:v>110084</c:v>
                </c:pt>
                <c:pt idx="14">
                  <c:v>50305</c:v>
                </c:pt>
                <c:pt idx="15">
                  <c:v>260305</c:v>
                </c:pt>
                <c:pt idx="16">
                  <c:v>49924</c:v>
                </c:pt>
                <c:pt idx="17">
                  <c:v>25417</c:v>
                </c:pt>
                <c:pt idx="18">
                  <c:v>35790</c:v>
                </c:pt>
                <c:pt idx="19">
                  <c:v>173281</c:v>
                </c:pt>
                <c:pt idx="20">
                  <c:v>34352</c:v>
                </c:pt>
                <c:pt idx="21">
                  <c:v>38702</c:v>
                </c:pt>
              </c:numCache>
            </c:numRef>
          </c:val>
        </c:ser>
        <c:ser>
          <c:idx val="0"/>
          <c:order val="1"/>
          <c:tx>
            <c:strRef>
              <c:f>Population!$T$4</c:f>
              <c:strCache>
                <c:ptCount val="1"/>
                <c:pt idx="0">
                  <c:v>Selected LA- (none)</c:v>
                </c:pt>
              </c:strCache>
            </c:strRef>
          </c:tx>
          <c:spPr>
            <a:solidFill>
              <a:srgbClr val="66FF99"/>
            </a:solidFill>
            <a:ln w="12700">
              <a:solidFill>
                <a:schemeClr val="tx1">
                  <a:lumMod val="75000"/>
                  <a:lumOff val="25000"/>
                </a:schemeClr>
              </a:solidFill>
              <a:prstDash val="solid"/>
            </a:ln>
          </c:spPr>
          <c:invertIfNegative val="0"/>
          <c:cat>
            <c:strRef>
              <c:f>Population!$B$8:$B$29</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Population!$T$8:$T$29</c:f>
              <c:numCache>
                <c:formatCode>General</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40"/>
        <c:overlap val="100"/>
        <c:axId val="175044096"/>
        <c:axId val="175045632"/>
      </c:barChart>
      <c:catAx>
        <c:axId val="17504409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5045632"/>
        <c:crossesAt val="0"/>
        <c:auto val="1"/>
        <c:lblAlgn val="ctr"/>
        <c:lblOffset val="100"/>
        <c:noMultiLvlLbl val="0"/>
      </c:catAx>
      <c:valAx>
        <c:axId val="175045632"/>
        <c:scaling>
          <c:orientation val="minMax"/>
          <c:max val="350000"/>
        </c:scaling>
        <c:delete val="0"/>
        <c:axPos val="b"/>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5044096"/>
        <c:crosses val="max"/>
        <c:crossBetween val="between"/>
      </c:valAx>
      <c:spPr>
        <a:noFill/>
        <a:ln w="12700">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vs. IDACI</a:t>
            </a:r>
          </a:p>
        </c:rich>
      </c:tx>
      <c:layout>
        <c:manualLayout>
          <c:xMode val="edge"/>
          <c:yMode val="edge"/>
          <c:x val="0.30103802290200449"/>
          <c:y val="3.6125774697765456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'Re-referrals'!$X$67</c:f>
              <c:strCache>
                <c:ptCount val="1"/>
                <c:pt idx="0">
                  <c:v>National Trend 2016</c:v>
                </c:pt>
              </c:strCache>
            </c:strRef>
          </c:tx>
          <c:spPr>
            <a:ln w="15875">
              <a:solidFill>
                <a:schemeClr val="tx1">
                  <a:lumMod val="75000"/>
                  <a:lumOff val="25000"/>
                </a:schemeClr>
              </a:solidFill>
            </a:ln>
          </c:spPr>
          <c:marker>
            <c:symbol val="none"/>
          </c:marker>
          <c:dLbls>
            <c:dLbl>
              <c:idx val="0"/>
              <c:delete val="1"/>
            </c:dLbl>
            <c:dLbl>
              <c:idx val="1"/>
              <c:layout>
                <c:manualLayout>
                  <c:x val="-6.8535825545171333E-2"/>
                  <c:y val="-4.4742718797766666E-2"/>
                </c:manualLayout>
              </c:layout>
              <c:tx>
                <c:strRef>
                  <c:f>'Re-referrals'!$AC$67</c:f>
                  <c:strCache>
                    <c:ptCount val="1"/>
                    <c:pt idx="0">
                      <c:v>r² = 0.050</c:v>
                    </c:pt>
                  </c:strCache>
                </c:strRef>
              </c:tx>
              <c:spPr/>
              <c:txPr>
                <a:bodyPr/>
                <a:lstStyle/>
                <a:p>
                  <a:pPr>
                    <a:defRPr sz="900"/>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xVal>
            <c:numRef>
              <c:f>'Re-referrals'!$AA$67:$AA$68</c:f>
              <c:numCache>
                <c:formatCode>General</c:formatCode>
                <c:ptCount val="2"/>
                <c:pt idx="0" formatCode="#,##0.0">
                  <c:v>5</c:v>
                </c:pt>
                <c:pt idx="1">
                  <c:v>35</c:v>
                </c:pt>
              </c:numCache>
            </c:numRef>
          </c:xVal>
          <c:yVal>
            <c:numRef>
              <c:f>'Re-referrals'!$AB$67:$AB$68</c:f>
              <c:numCache>
                <c:formatCode>0.0</c:formatCode>
                <c:ptCount val="2"/>
                <c:pt idx="0">
                  <c:v>86.970059999999989</c:v>
                </c:pt>
                <c:pt idx="1">
                  <c:v>144.99372</c:v>
                </c:pt>
              </c:numCache>
            </c:numRef>
          </c:yVal>
          <c:smooth val="1"/>
        </c:ser>
        <c:dLbls>
          <c:showLegendKey val="0"/>
          <c:showVal val="0"/>
          <c:showCatName val="0"/>
          <c:showSerName val="0"/>
          <c:showPercent val="0"/>
          <c:showBubbleSize val="0"/>
        </c:dLbls>
        <c:axId val="200104960"/>
        <c:axId val="200132096"/>
      </c:scatterChart>
      <c:scatterChart>
        <c:scatterStyle val="lineMarker"/>
        <c:varyColors val="0"/>
        <c:ser>
          <c:idx val="0"/>
          <c:order val="0"/>
          <c:tx>
            <c:strRef>
              <c:f>'Re-referrals'!$AQ$37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5634218289085547"/>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1.4749262536873156E-2"/>
                  <c:y val="0"/>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30008055176"/>
                  <c:y val="-1.9724901603847381E-2"/>
                </c:manualLayout>
              </c:layout>
              <c:tx>
                <c:rich>
                  <a:bodyPr/>
                  <a:lstStyle/>
                  <a:p>
                    <a:r>
                      <a:rPr lang="en-US"/>
                      <a:t>Buckinghamshire</a:t>
                    </a:r>
                  </a:p>
                </c:rich>
              </c:tx>
              <c:dLblPos val="r"/>
              <c:showLegendKey val="0"/>
              <c:showVal val="0"/>
              <c:showCatName val="1"/>
              <c:showSerName val="0"/>
              <c:showPercent val="0"/>
              <c:showBubbleSize val="0"/>
            </c:dLbl>
            <c:dLbl>
              <c:idx val="3"/>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dLblPos val="r"/>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dLblPos val="r"/>
              <c:showLegendKey val="0"/>
              <c:showVal val="0"/>
              <c:showCatName val="1"/>
              <c:showSerName val="0"/>
              <c:showPercent val="0"/>
              <c:showBubbleSize val="0"/>
            </c:dLbl>
            <c:dLbl>
              <c:idx val="8"/>
              <c:layout>
                <c:manualLayout>
                  <c:x val="-0.13768448191763641"/>
                  <c:y val="-5.9656958397022227E-3"/>
                </c:manualLayout>
              </c:layout>
              <c:tx>
                <c:rich>
                  <a:bodyPr/>
                  <a:lstStyle/>
                  <a:p>
                    <a:r>
                      <a:rPr lang="en-US"/>
                      <a:t>Milton Keynes</a:t>
                    </a:r>
                  </a:p>
                </c:rich>
              </c:tx>
              <c:dLblPos val="r"/>
              <c:showLegendKey val="0"/>
              <c:showVal val="0"/>
              <c:showCatName val="1"/>
              <c:showSerName val="0"/>
              <c:showPercent val="0"/>
              <c:showBubbleSize val="0"/>
            </c:dLbl>
            <c:dLbl>
              <c:idx val="9"/>
              <c:layout/>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layout/>
              <c:tx>
                <c:rich>
                  <a:bodyPr/>
                  <a:lstStyle/>
                  <a:p>
                    <a:r>
                      <a:rPr lang="en-US"/>
                      <a:t>Reading</a:t>
                    </a:r>
                  </a:p>
                </c:rich>
              </c:tx>
              <c:dLblPos val="r"/>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dLblPos val="l"/>
              <c:showLegendKey val="0"/>
              <c:showVal val="0"/>
              <c:showCatName val="1"/>
              <c:showSerName val="0"/>
              <c:showPercent val="0"/>
              <c:showBubbleSize val="0"/>
            </c:dLbl>
            <c:dLbl>
              <c:idx val="14"/>
              <c:layout/>
              <c:tx>
                <c:rich>
                  <a:bodyPr/>
                  <a:lstStyle/>
                  <a:p>
                    <a:r>
                      <a:rPr lang="en-US"/>
                      <a:t>Surrey</a:t>
                    </a:r>
                  </a:p>
                </c:rich>
              </c:tx>
              <c:dLblPos val="l"/>
              <c:showLegendKey val="0"/>
              <c:showVal val="0"/>
              <c:showCatName val="1"/>
              <c:showSerName val="0"/>
              <c:showPercent val="0"/>
              <c:showBubbleSize val="0"/>
            </c:dLbl>
            <c:dLbl>
              <c:idx val="15"/>
              <c:layout/>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800544710491783"/>
                  <c:y val="1.3242527825470671E-2"/>
                </c:manualLayout>
              </c:layout>
              <c:tx>
                <c:rich>
                  <a:bodyPr/>
                  <a:lstStyle/>
                  <a:p>
                    <a:r>
                      <a:rPr lang="en-US"/>
                      <a:t>Windsor &amp; Maidenhead</a:t>
                    </a:r>
                  </a:p>
                </c:rich>
              </c:tx>
              <c:dLblPos val="r"/>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('Re-referrals'!$AQ$40:$AQ$52,'Re-referrals'!$AQ$54:$AQ$55,'Re-referrals'!$AQ$58:$AQ$61)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('Re-referrals'!$AP$40:$AP$52,'Re-referrals'!$AP$54:$AP$55,'Re-referrals'!$AP$58:$AP$61)</c:f>
              <c:numCache>
                <c:formatCode>0.0</c:formatCode>
                <c:ptCount val="19"/>
                <c:pt idx="0">
                  <c:v>152.47052117844038</c:v>
                </c:pt>
                <c:pt idx="1">
                  <c:v>185.75547753084481</c:v>
                </c:pt>
                <c:pt idx="2">
                  <c:v>261.385334145846</c:v>
                </c:pt>
                <c:pt idx="3">
                  <c:v>72.79928332311755</c:v>
                </c:pt>
                <c:pt idx="4">
                  <c:v>168.43502262507326</c:v>
                </c:pt>
                <c:pt idx="5">
                  <c:v>271.00379165835164</c:v>
                </c:pt>
                <c:pt idx="6">
                  <c:v>133.05959713172066</c:v>
                </c:pt>
                <c:pt idx="7">
                  <c:v>69.436842187573305</c:v>
                </c:pt>
                <c:pt idx="8">
                  <c:v>71.695714518012622</c:v>
                </c:pt>
                <c:pt idx="9">
                  <c:v>88.396865675803795</c:v>
                </c:pt>
                <c:pt idx="10">
                  <c:v>146.40658942795076</c:v>
                </c:pt>
                <c:pt idx="11">
                  <c:v>158.52047556142668</c:v>
                </c:pt>
                <c:pt idx="12">
                  <c:v>92.460881934566146</c:v>
                </c:pt>
                <c:pt idx="13">
                  <c:v>105.35732034589007</c:v>
                </c:pt>
                <c:pt idx="14">
                  <c:v>143.06294539098366</c:v>
                </c:pt>
                <c:pt idx="15">
                  <c:v>113.71891589829561</c:v>
                </c:pt>
                <c:pt idx="16">
                  <c:v>154.60437093507076</c:v>
                </c:pt>
                <c:pt idx="17">
                  <c:v>48.32324173265021</c:v>
                </c:pt>
                <c:pt idx="18">
                  <c:v>58.653299571081597</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layout/>
              <c:tx>
                <c:rich>
                  <a:bodyPr/>
                  <a:lstStyle/>
                  <a:p>
                    <a:r>
                      <a:rPr lang="en-GB"/>
                      <a:t>Somerset</a:t>
                    </a:r>
                  </a:p>
                </c:rich>
              </c:tx>
              <c:showLegendKey val="0"/>
              <c:showVal val="0"/>
              <c:showCatName val="0"/>
              <c:showSerName val="1"/>
              <c:showPercent val="0"/>
              <c:showBubbleSize val="0"/>
            </c:dLbl>
            <c:dLbl>
              <c:idx val="1"/>
              <c:layout/>
              <c:tx>
                <c:rich>
                  <a:bodyPr/>
                  <a:lstStyle/>
                  <a:p>
                    <a:r>
                      <a:rPr lang="en-GB"/>
                      <a:t>Swindon</a:t>
                    </a:r>
                  </a:p>
                </c:rich>
              </c:tx>
              <c:dLblPos val="l"/>
              <c:showLegendKey val="0"/>
              <c:showVal val="0"/>
              <c:showCatName val="0"/>
              <c:showSerName val="1"/>
              <c:showPercent val="0"/>
              <c:showBubbleSize val="0"/>
            </c:dLbl>
            <c:dLbl>
              <c:idx val="2"/>
              <c:layout/>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('Re-referrals'!$AQ$53,'Re-referrals'!$AQ$56,'Re-referrals'!$AQ$57)</c:f>
              <c:numCache>
                <c:formatCode>0.0</c:formatCode>
                <c:ptCount val="3"/>
                <c:pt idx="0">
                  <c:v>14.8</c:v>
                </c:pt>
                <c:pt idx="1">
                  <c:v>17.2</c:v>
                </c:pt>
                <c:pt idx="2">
                  <c:v>24.1</c:v>
                </c:pt>
              </c:numCache>
            </c:numRef>
          </c:xVal>
          <c:yVal>
            <c:numRef>
              <c:f>('Re-referrals'!$AP$53,'Re-referrals'!$AP$56,'Re-referrals'!$AP$57)</c:f>
              <c:numCache>
                <c:formatCode>0.0</c:formatCode>
                <c:ptCount val="3"/>
                <c:pt idx="0">
                  <c:v>100.28705352276442</c:v>
                </c:pt>
                <c:pt idx="1">
                  <c:v>175.66701386106882</c:v>
                </c:pt>
                <c:pt idx="2">
                  <c:v>174.68623362316561</c:v>
                </c:pt>
              </c:numCache>
            </c:numRef>
          </c:yVal>
          <c:smooth val="0"/>
        </c:ser>
        <c:ser>
          <c:idx val="1"/>
          <c:order val="2"/>
          <c:tx>
            <c:strRef>
              <c:f>'Re-referrals'!$Z$4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'Re-referrals'!$Y$40</c:f>
              <c:numCache>
                <c:formatCode>0.00</c:formatCode>
                <c:ptCount val="1"/>
                <c:pt idx="0">
                  <c:v>#N/A</c:v>
                </c:pt>
              </c:numCache>
            </c:numRef>
          </c:xVal>
          <c:yVal>
            <c:numRef>
              <c:f>'Re-referrals'!$Z$40</c:f>
              <c:numCache>
                <c:formatCode>0.00</c:formatCode>
                <c:ptCount val="1"/>
                <c:pt idx="0">
                  <c:v>#N/A</c:v>
                </c:pt>
              </c:numCache>
            </c:numRef>
          </c:yVal>
          <c:smooth val="0"/>
        </c:ser>
        <c:ser>
          <c:idx val="2"/>
          <c:order val="3"/>
          <c:tx>
            <c:strRef>
              <c:f>'Re-referrals'!$X$65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7.6043368410724357E-2"/>
                  <c:y val="3.4857278947482147E-2"/>
                </c:manualLayout>
              </c:layout>
              <c:tx>
                <c:rich>
                  <a:bodyPr/>
                  <a:lstStyle/>
                  <a:p>
                    <a:r>
                      <a:rPr lang="en-US" sz="900">
                        <a:solidFill>
                          <a:srgbClr val="C00000"/>
                        </a:solidFill>
                      </a:rPr>
                      <a:t>r² = 0.002</a:t>
                    </a:r>
                    <a:endParaRPr lang="en-US"/>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'Re-referrals'!$AA$65:$AA$66</c:f>
              <c:numCache>
                <c:formatCode>General</c:formatCode>
                <c:ptCount val="2"/>
                <c:pt idx="0" formatCode="#,##0.0">
                  <c:v>5</c:v>
                </c:pt>
                <c:pt idx="1">
                  <c:v>35</c:v>
                </c:pt>
              </c:numCache>
            </c:numRef>
          </c:xVal>
          <c:yVal>
            <c:numRef>
              <c:f>'Re-referrals'!$AB$65:$AB$66</c:f>
              <c:numCache>
                <c:formatCode>0.0</c:formatCode>
                <c:ptCount val="2"/>
                <c:pt idx="0">
                  <c:v>126.021</c:v>
                </c:pt>
                <c:pt idx="1">
                  <c:v>141.08699999999999</c:v>
                </c:pt>
              </c:numCache>
            </c:numRef>
          </c:yVal>
          <c:smooth val="0"/>
        </c:ser>
        <c:ser>
          <c:idx val="4"/>
          <c:order val="4"/>
          <c:tx>
            <c:strRef>
              <c:f>'Re-referrals'!$B$31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'Re-referrals'!$R$31</c:f>
              <c:numCache>
                <c:formatCode>0.0</c:formatCode>
                <c:ptCount val="1"/>
                <c:pt idx="0">
                  <c:v>14.45223640702325</c:v>
                </c:pt>
              </c:numCache>
            </c:numRef>
          </c:xVal>
          <c:yVal>
            <c:numRef>
              <c:f>'Re-referrals'!$O$31</c:f>
              <c:numCache>
                <c:formatCode>0.0</c:formatCode>
                <c:ptCount val="1"/>
                <c:pt idx="0">
                  <c:v>138.07543219307925</c:v>
                </c:pt>
              </c:numCache>
            </c:numRef>
          </c:yVal>
          <c:smooth val="0"/>
        </c:ser>
        <c:dLbls>
          <c:showLegendKey val="0"/>
          <c:showVal val="0"/>
          <c:showCatName val="0"/>
          <c:showSerName val="0"/>
          <c:showPercent val="0"/>
          <c:showBubbleSize val="0"/>
        </c:dLbls>
        <c:axId val="200104960"/>
        <c:axId val="200132096"/>
      </c:scatterChart>
      <c:valAx>
        <c:axId val="200104960"/>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132096"/>
        <c:crosses val="autoZero"/>
        <c:crossBetween val="midCat"/>
      </c:valAx>
      <c:valAx>
        <c:axId val="20013209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Re-referrals</a:t>
                </a:r>
                <a:r>
                  <a:rPr lang="en-GB" baseline="0"/>
                  <a:t> </a:t>
                </a:r>
                <a:r>
                  <a:rPr lang="en-GB"/>
                  <a:t>per 10,000 0-17 year olds</a:t>
                </a:r>
              </a:p>
            </c:rich>
          </c:tx>
          <c:layout>
            <c:manualLayout>
              <c:xMode val="edge"/>
              <c:yMode val="edge"/>
              <c:x val="4.1925738303691069E-2"/>
              <c:y val="0.185723854985677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10496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per 10,000 0-17 year olds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5902350199661415"/>
        </c:manualLayout>
      </c:layout>
      <c:lineChart>
        <c:grouping val="standard"/>
        <c:varyColors val="0"/>
        <c:ser>
          <c:idx val="0"/>
          <c:order val="0"/>
          <c:tx>
            <c:strRef>
              <c:f>'Re-referrals'!$AK$40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'Re-referrals'!$D$8:$H$8</c:f>
              <c:numCache>
                <c:formatCode>General</c:formatCode>
                <c:ptCount val="5"/>
                <c:pt idx="0">
                  <c:v>2014</c:v>
                </c:pt>
                <c:pt idx="1">
                  <c:v>2015</c:v>
                </c:pt>
                <c:pt idx="2">
                  <c:v>2016</c:v>
                </c:pt>
                <c:pt idx="3">
                  <c:v>2017</c:v>
                </c:pt>
                <c:pt idx="4">
                  <c:v>2018</c:v>
                </c:pt>
              </c:numCache>
            </c:numRef>
          </c:cat>
          <c:val>
            <c:numRef>
              <c:f>'Re-referrals'!$AL$40:$AP$40</c:f>
              <c:numCache>
                <c:formatCode>0.0</c:formatCode>
                <c:ptCount val="5"/>
                <c:pt idx="0">
                  <c:v>88.560885608856083</c:v>
                </c:pt>
                <c:pt idx="1">
                  <c:v>78.057553956834539</c:v>
                </c:pt>
                <c:pt idx="2">
                  <c:v>79.787234042553166</c:v>
                </c:pt>
                <c:pt idx="3">
                  <c:v>137.36068715837297</c:v>
                </c:pt>
                <c:pt idx="4">
                  <c:v>152.47052117844038</c:v>
                </c:pt>
              </c:numCache>
            </c:numRef>
          </c:val>
          <c:smooth val="0"/>
        </c:ser>
        <c:ser>
          <c:idx val="1"/>
          <c:order val="1"/>
          <c:tx>
            <c:strRef>
              <c:f>'Re-referrals'!$AK$41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'Re-referrals'!$AL$41:$AP$41</c:f>
              <c:numCache>
                <c:formatCode>0.0</c:formatCode>
                <c:ptCount val="5"/>
                <c:pt idx="0">
                  <c:v>276.43564356435644</c:v>
                </c:pt>
                <c:pt idx="1">
                  <c:v>519.41176470588221</c:v>
                </c:pt>
                <c:pt idx="2">
                  <c:v>215.03906250000014</c:v>
                </c:pt>
                <c:pt idx="3">
                  <c:v>163.9983619664203</c:v>
                </c:pt>
                <c:pt idx="4">
                  <c:v>185.75547753084481</c:v>
                </c:pt>
              </c:numCache>
            </c:numRef>
          </c:val>
          <c:smooth val="0"/>
        </c:ser>
        <c:ser>
          <c:idx val="2"/>
          <c:order val="2"/>
          <c:tx>
            <c:strRef>
              <c:f>'Re-referrals'!$AK$42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'Re-referrals'!$AL$42:$AP$42</c:f>
              <c:numCache>
                <c:formatCode>0.0</c:formatCode>
                <c:ptCount val="5"/>
                <c:pt idx="0">
                  <c:v>215.47619047619048</c:v>
                </c:pt>
                <c:pt idx="1">
                  <c:v>117.57779646761976</c:v>
                </c:pt>
                <c:pt idx="2">
                  <c:v>152.65339966832482</c:v>
                </c:pt>
                <c:pt idx="3">
                  <c:v>247.86219876437133</c:v>
                </c:pt>
                <c:pt idx="4">
                  <c:v>261.385334145846</c:v>
                </c:pt>
              </c:numCache>
            </c:numRef>
          </c:val>
          <c:smooth val="0"/>
        </c:ser>
        <c:ser>
          <c:idx val="5"/>
          <c:order val="3"/>
          <c:tx>
            <c:strRef>
              <c:f>'Re-referrals'!$AK$43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'Re-referrals'!$AL$43:$AP$43</c:f>
              <c:numCache>
                <c:formatCode>0.0</c:formatCode>
                <c:ptCount val="5"/>
                <c:pt idx="0">
                  <c:v>217.55725190839695</c:v>
                </c:pt>
                <c:pt idx="1">
                  <c:v>89.184060721062608</c:v>
                </c:pt>
                <c:pt idx="2">
                  <c:v>43.909348441926362</c:v>
                </c:pt>
                <c:pt idx="3">
                  <c:v>51.64128659497937</c:v>
                </c:pt>
                <c:pt idx="4">
                  <c:v>72.79928332311755</c:v>
                </c:pt>
              </c:numCache>
            </c:numRef>
          </c:val>
          <c:smooth val="0"/>
        </c:ser>
        <c:ser>
          <c:idx val="9"/>
          <c:order val="4"/>
          <c:tx>
            <c:strRef>
              <c:f>'Re-referrals'!$AK$44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'Re-referrals'!$AL$44:$AP$44</c:f>
              <c:numCache>
                <c:formatCode>0.0</c:formatCode>
                <c:ptCount val="5"/>
                <c:pt idx="0">
                  <c:v>160.23412557644556</c:v>
                </c:pt>
                <c:pt idx="1">
                  <c:v>189.16518650088807</c:v>
                </c:pt>
                <c:pt idx="2">
                  <c:v>166.54842142603761</c:v>
                </c:pt>
                <c:pt idx="3">
                  <c:v>210.96852445799195</c:v>
                </c:pt>
                <c:pt idx="4">
                  <c:v>168.43502262507326</c:v>
                </c:pt>
              </c:numCache>
            </c:numRef>
          </c:val>
          <c:smooth val="0"/>
        </c:ser>
        <c:ser>
          <c:idx val="10"/>
          <c:order val="5"/>
          <c:tx>
            <c:strRef>
              <c:f>'Re-referrals'!$AK$45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'Re-referrals'!$AL$45:$AP$45</c:f>
              <c:numCache>
                <c:formatCode>0.0</c:formatCode>
                <c:ptCount val="5"/>
                <c:pt idx="0">
                  <c:v>261.62790697674421</c:v>
                </c:pt>
                <c:pt idx="1">
                  <c:v>321.96078431372536</c:v>
                </c:pt>
                <c:pt idx="2">
                  <c:v>310.67193675889325</c:v>
                </c:pt>
                <c:pt idx="3">
                  <c:v>314.28571428571433</c:v>
                </c:pt>
                <c:pt idx="4">
                  <c:v>271.00379165835164</c:v>
                </c:pt>
              </c:numCache>
            </c:numRef>
          </c:val>
          <c:smooth val="0"/>
        </c:ser>
        <c:ser>
          <c:idx val="11"/>
          <c:order val="6"/>
          <c:tx>
            <c:strRef>
              <c:f>'Re-referrals'!$AK$46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'Re-referrals'!$AL$46:$AP$46</c:f>
              <c:numCache>
                <c:formatCode>0.0</c:formatCode>
                <c:ptCount val="5"/>
                <c:pt idx="0">
                  <c:v>155.77395577395578</c:v>
                </c:pt>
                <c:pt idx="1">
                  <c:v>142.64392324093816</c:v>
                </c:pt>
                <c:pt idx="2">
                  <c:v>96.761501210653833</c:v>
                </c:pt>
                <c:pt idx="3">
                  <c:v>109.17443588704228</c:v>
                </c:pt>
                <c:pt idx="4">
                  <c:v>133.05959713172066</c:v>
                </c:pt>
              </c:numCache>
            </c:numRef>
          </c:val>
          <c:smooth val="0"/>
        </c:ser>
        <c:ser>
          <c:idx val="12"/>
          <c:order val="7"/>
          <c:tx>
            <c:strRef>
              <c:f>'Re-referrals'!$AK$47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'Re-referrals'!$AL$47:$AP$47</c:f>
              <c:numCache>
                <c:formatCode>0.0</c:formatCode>
                <c:ptCount val="5"/>
                <c:pt idx="0">
                  <c:v>207.30519480519482</c:v>
                </c:pt>
                <c:pt idx="1">
                  <c:v>98.399999999999949</c:v>
                </c:pt>
                <c:pt idx="2">
                  <c:v>87.974683544303801</c:v>
                </c:pt>
                <c:pt idx="3">
                  <c:v>75.513760459676277</c:v>
                </c:pt>
                <c:pt idx="4">
                  <c:v>69.436842187573305</c:v>
                </c:pt>
              </c:numCache>
            </c:numRef>
          </c:val>
          <c:smooth val="0"/>
        </c:ser>
        <c:ser>
          <c:idx val="13"/>
          <c:order val="8"/>
          <c:tx>
            <c:strRef>
              <c:f>'Re-referrals'!$AK$48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'Re-referrals'!$AL$48:$AP$48</c:f>
              <c:numCache>
                <c:formatCode>0.0</c:formatCode>
                <c:ptCount val="5"/>
                <c:pt idx="0">
                  <c:v>127.49999999999999</c:v>
                </c:pt>
                <c:pt idx="1">
                  <c:v>91.25766871165645</c:v>
                </c:pt>
                <c:pt idx="2">
                  <c:v>87.745839636913772</c:v>
                </c:pt>
                <c:pt idx="3">
                  <c:v>87.570369046555271</c:v>
                </c:pt>
                <c:pt idx="4">
                  <c:v>71.695714518012622</c:v>
                </c:pt>
              </c:numCache>
            </c:numRef>
          </c:val>
          <c:smooth val="0"/>
        </c:ser>
        <c:ser>
          <c:idx val="15"/>
          <c:order val="9"/>
          <c:tx>
            <c:strRef>
              <c:f>'Re-referrals'!$AK$49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'Re-referrals'!$AL$49:$AP$49</c:f>
              <c:numCache>
                <c:formatCode>0.0</c:formatCode>
                <c:ptCount val="5"/>
                <c:pt idx="0">
                  <c:v>95.866001425516743</c:v>
                </c:pt>
                <c:pt idx="1">
                  <c:v>97.521246458923528</c:v>
                </c:pt>
                <c:pt idx="2">
                  <c:v>120.73342736248237</c:v>
                </c:pt>
                <c:pt idx="3">
                  <c:v>98.322568003527024</c:v>
                </c:pt>
                <c:pt idx="4">
                  <c:v>88.396865675803795</c:v>
                </c:pt>
              </c:numCache>
            </c:numRef>
          </c:val>
          <c:smooth val="0"/>
        </c:ser>
        <c:ser>
          <c:idx val="16"/>
          <c:order val="10"/>
          <c:tx>
            <c:strRef>
              <c:f>'Re-referrals'!$AK$50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'Re-referrals'!$AL$50:$AP$50</c:f>
              <c:numCache>
                <c:formatCode>0.0</c:formatCode>
                <c:ptCount val="5"/>
                <c:pt idx="0">
                  <c:v>102.58215962441315</c:v>
                </c:pt>
                <c:pt idx="1">
                  <c:v>87.557603686635858</c:v>
                </c:pt>
                <c:pt idx="2">
                  <c:v>92.922374429223723</c:v>
                </c:pt>
                <c:pt idx="3">
                  <c:v>146.59090909090909</c:v>
                </c:pt>
                <c:pt idx="4">
                  <c:v>146.40658942795076</c:v>
                </c:pt>
              </c:numCache>
            </c:numRef>
          </c:val>
          <c:smooth val="0"/>
        </c:ser>
        <c:ser>
          <c:idx val="17"/>
          <c:order val="11"/>
          <c:tx>
            <c:strRef>
              <c:f>'Re-referrals'!$AK$51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'Re-referrals'!$AL$51:$AP$51</c:f>
              <c:numCache>
                <c:formatCode>0.0</c:formatCode>
                <c:ptCount val="5"/>
                <c:pt idx="0">
                  <c:v>90.489913544668582</c:v>
                </c:pt>
                <c:pt idx="1">
                  <c:v>98.32869080779939</c:v>
                </c:pt>
                <c:pt idx="2">
                  <c:v>177.47252747252747</c:v>
                </c:pt>
                <c:pt idx="3">
                  <c:v>253.81403345978549</c:v>
                </c:pt>
                <c:pt idx="4">
                  <c:v>158.52047556142668</c:v>
                </c:pt>
              </c:numCache>
            </c:numRef>
          </c:val>
          <c:smooth val="0"/>
        </c:ser>
        <c:ser>
          <c:idx val="19"/>
          <c:order val="12"/>
          <c:tx>
            <c:strRef>
              <c:f>'Re-referrals'!$AK$52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'Re-referrals'!$AL$52:$AP$52</c:f>
              <c:numCache>
                <c:formatCode>0.0</c:formatCode>
                <c:ptCount val="5"/>
                <c:pt idx="0">
                  <c:v>121.85089974293059</c:v>
                </c:pt>
                <c:pt idx="1">
                  <c:v>120.30075187969929</c:v>
                </c:pt>
                <c:pt idx="2">
                  <c:v>128.57142857142861</c:v>
                </c:pt>
                <c:pt idx="3">
                  <c:v>398.97599381732118</c:v>
                </c:pt>
                <c:pt idx="4">
                  <c:v>92.460881934566146</c:v>
                </c:pt>
              </c:numCache>
            </c:numRef>
          </c:val>
          <c:smooth val="0"/>
        </c:ser>
        <c:ser>
          <c:idx val="3"/>
          <c:order val="13"/>
          <c:tx>
            <c:strRef>
              <c:f>'Re-referrals'!$AK$53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'Re-referrals'!$AL$53:$AP$53</c:f>
              <c:numCache>
                <c:formatCode>0.0</c:formatCode>
                <c:ptCount val="5"/>
                <c:pt idx="0">
                  <c:v>193.01470588235296</c:v>
                </c:pt>
                <c:pt idx="1">
                  <c:v>138.4756657483928</c:v>
                </c:pt>
                <c:pt idx="2">
                  <c:v>90.201465201465197</c:v>
                </c:pt>
                <c:pt idx="3">
                  <c:v>86.633776229515675</c:v>
                </c:pt>
                <c:pt idx="4">
                  <c:v>100.28705352276442</c:v>
                </c:pt>
              </c:numCache>
            </c:numRef>
          </c:val>
          <c:smooth val="0"/>
        </c:ser>
        <c:ser>
          <c:idx val="20"/>
          <c:order val="14"/>
          <c:tx>
            <c:strRef>
              <c:f>'Re-referrals'!$AK$54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'Re-referrals'!$AL$54:$AP$54</c:f>
              <c:numCache>
                <c:formatCode>0.0</c:formatCode>
                <c:ptCount val="5"/>
                <c:pt idx="0">
                  <c:v>235.0210970464135</c:v>
                </c:pt>
                <c:pt idx="1">
                  <c:v>455.5555555555556</c:v>
                </c:pt>
                <c:pt idx="2">
                  <c:v>160.5691056910569</c:v>
                </c:pt>
                <c:pt idx="3">
                  <c:v>162.3213963648023</c:v>
                </c:pt>
                <c:pt idx="4">
                  <c:v>105.35732034589007</c:v>
                </c:pt>
              </c:numCache>
            </c:numRef>
          </c:val>
          <c:smooth val="0"/>
        </c:ser>
        <c:ser>
          <c:idx val="22"/>
          <c:order val="15"/>
          <c:tx>
            <c:strRef>
              <c:f>'Re-referrals'!$AK$55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'Re-referrals'!$AL$55:$AP$55</c:f>
              <c:numCache>
                <c:formatCode>0.0</c:formatCode>
                <c:ptCount val="5"/>
                <c:pt idx="0">
                  <c:v>153.61111111111111</c:v>
                </c:pt>
                <c:pt idx="1">
                  <c:v>99.410840534171143</c:v>
                </c:pt>
                <c:pt idx="2">
                  <c:v>110.7644305772231</c:v>
                </c:pt>
                <c:pt idx="3">
                  <c:v>111.81510353321828</c:v>
                </c:pt>
                <c:pt idx="4">
                  <c:v>143.06294539098366</c:v>
                </c:pt>
              </c:numCache>
            </c:numRef>
          </c:val>
          <c:smooth val="0"/>
        </c:ser>
        <c:ser>
          <c:idx val="7"/>
          <c:order val="16"/>
          <c:tx>
            <c:strRef>
              <c:f>'Re-referrals'!$AK$56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'Re-referrals'!$AL$56:$AP$56</c:f>
              <c:numCache>
                <c:formatCode>0.0</c:formatCode>
                <c:ptCount val="5"/>
                <c:pt idx="0">
                  <c:v>113.15240083507308</c:v>
                </c:pt>
                <c:pt idx="1">
                  <c:v>109.25925925925928</c:v>
                </c:pt>
                <c:pt idx="2">
                  <c:v>193.67346938775509</c:v>
                </c:pt>
                <c:pt idx="3">
                  <c:v>162.54902753629051</c:v>
                </c:pt>
                <c:pt idx="4">
                  <c:v>175.66701386106882</c:v>
                </c:pt>
              </c:numCache>
            </c:numRef>
          </c:val>
          <c:smooth val="0"/>
        </c:ser>
        <c:ser>
          <c:idx val="8"/>
          <c:order val="17"/>
          <c:tx>
            <c:strRef>
              <c:f>'Re-referrals'!$AK$57</c:f>
              <c:strCache>
                <c:ptCount val="1"/>
                <c:pt idx="0">
                  <c:v>Torbay</c:v>
                </c:pt>
              </c:strCache>
            </c:strRef>
          </c:tx>
          <c:spPr>
            <a:ln w="15875"/>
          </c:spPr>
          <c:marker>
            <c:symbol val="circle"/>
            <c:size val="5"/>
            <c:spPr>
              <a:solidFill>
                <a:schemeClr val="accent3">
                  <a:lumMod val="20000"/>
                  <a:lumOff val="80000"/>
                </a:schemeClr>
              </a:solidFill>
            </c:spPr>
          </c:marker>
          <c:val>
            <c:numRef>
              <c:f>'Re-referrals'!$AL$57:$AP$57</c:f>
              <c:numCache>
                <c:formatCode>0.0</c:formatCode>
                <c:ptCount val="5"/>
                <c:pt idx="0">
                  <c:v>202.41935483870967</c:v>
                </c:pt>
                <c:pt idx="1">
                  <c:v>211.95219123505979</c:v>
                </c:pt>
                <c:pt idx="2">
                  <c:v>227.77777777777783</c:v>
                </c:pt>
                <c:pt idx="3">
                  <c:v>172.23032357230127</c:v>
                </c:pt>
                <c:pt idx="4">
                  <c:v>174.68623362316561</c:v>
                </c:pt>
              </c:numCache>
            </c:numRef>
          </c:val>
          <c:smooth val="0"/>
        </c:ser>
        <c:ser>
          <c:idx val="23"/>
          <c:order val="18"/>
          <c:tx>
            <c:strRef>
              <c:f>'Re-referrals'!$AK$58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'Re-referrals'!$AL$58:$AP$58</c:f>
              <c:numCache>
                <c:formatCode>0.0</c:formatCode>
                <c:ptCount val="5"/>
                <c:pt idx="0">
                  <c:v>77.310924369747895</c:v>
                </c:pt>
                <c:pt idx="1">
                  <c:v>85.112359550561791</c:v>
                </c:pt>
                <c:pt idx="2">
                  <c:v>61.344537815126053</c:v>
                </c:pt>
                <c:pt idx="3">
                  <c:v>108.5413709610086</c:v>
                </c:pt>
                <c:pt idx="4">
                  <c:v>113.71891589829561</c:v>
                </c:pt>
              </c:numCache>
            </c:numRef>
          </c:val>
          <c:smooth val="0"/>
        </c:ser>
        <c:ser>
          <c:idx val="24"/>
          <c:order val="19"/>
          <c:tx>
            <c:strRef>
              <c:f>'Re-referrals'!$AK$59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'Re-referrals'!$AL$59:$AP$59</c:f>
              <c:numCache>
                <c:formatCode>0.0</c:formatCode>
                <c:ptCount val="5"/>
                <c:pt idx="0">
                  <c:v>95.928143712574851</c:v>
                </c:pt>
                <c:pt idx="1">
                  <c:v>89.040284360189588</c:v>
                </c:pt>
                <c:pt idx="2">
                  <c:v>116.60798122065709</c:v>
                </c:pt>
                <c:pt idx="3">
                  <c:v>128.60893916546829</c:v>
                </c:pt>
                <c:pt idx="4">
                  <c:v>154.60437093507076</c:v>
                </c:pt>
              </c:numCache>
            </c:numRef>
          </c:val>
          <c:smooth val="0"/>
        </c:ser>
        <c:ser>
          <c:idx val="25"/>
          <c:order val="20"/>
          <c:tx>
            <c:strRef>
              <c:f>'Re-referrals'!$AK$60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'Re-referrals'!$AL$60:$AP$60</c:f>
              <c:numCache>
                <c:formatCode>0.0</c:formatCode>
                <c:ptCount val="5"/>
                <c:pt idx="0">
                  <c:v>61.861861861861861</c:v>
                </c:pt>
                <c:pt idx="1">
                  <c:v>56.287425149700624</c:v>
                </c:pt>
                <c:pt idx="2">
                  <c:v>57.270029673590507</c:v>
                </c:pt>
                <c:pt idx="3">
                  <c:v>34.234550561797754</c:v>
                </c:pt>
                <c:pt idx="4">
                  <c:v>48.32324173265021</c:v>
                </c:pt>
              </c:numCache>
            </c:numRef>
          </c:val>
          <c:smooth val="0"/>
        </c:ser>
        <c:ser>
          <c:idx val="26"/>
          <c:order val="21"/>
          <c:tx>
            <c:strRef>
              <c:f>'Re-referrals'!$AK$61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'Re-referrals'!$AL$61:$AP$61</c:f>
              <c:numCache>
                <c:formatCode>0.0</c:formatCode>
                <c:ptCount val="5"/>
                <c:pt idx="0">
                  <c:v>105.24861878453039</c:v>
                </c:pt>
                <c:pt idx="1">
                  <c:v>70.189701897018992</c:v>
                </c:pt>
                <c:pt idx="2">
                  <c:v>52.278820375335123</c:v>
                </c:pt>
                <c:pt idx="3">
                  <c:v>44.714484862831746</c:v>
                </c:pt>
                <c:pt idx="4">
                  <c:v>58.653299571081597</c:v>
                </c:pt>
              </c:numCache>
            </c:numRef>
          </c:val>
          <c:smooth val="0"/>
        </c:ser>
        <c:ser>
          <c:idx val="4"/>
          <c:order val="22"/>
          <c:tx>
            <c:strRef>
              <c:f>'Re-referrals'!$AK$62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'Re-referrals'!$AL$62:$AP$62</c:f>
              <c:numCache>
                <c:formatCode>0.0</c:formatCode>
                <c:ptCount val="5"/>
                <c:pt idx="0">
                  <c:v>152.78248887004452</c:v>
                </c:pt>
                <c:pt idx="1">
                  <c:v>140.74151874803067</c:v>
                </c:pt>
                <c:pt idx="2">
                  <c:v>119.70178822793389</c:v>
                </c:pt>
                <c:pt idx="3">
                  <c:v>142.19997692935988</c:v>
                </c:pt>
                <c:pt idx="4">
                  <c:v>138.07543219307925</c:v>
                </c:pt>
              </c:numCache>
            </c:numRef>
          </c:val>
          <c:smooth val="0"/>
        </c:ser>
        <c:ser>
          <c:idx val="14"/>
          <c:order val="23"/>
          <c:tx>
            <c:strRef>
              <c:f>'Re-referrals'!$AK$63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'Re-referrals'!$AL$63:$AP$63</c:f>
              <c:numCache>
                <c:formatCode>0.0</c:formatCode>
                <c:ptCount val="5"/>
                <c:pt idx="0">
                  <c:v>134.15919643868315</c:v>
                </c:pt>
                <c:pt idx="1">
                  <c:v>131.47338181629959</c:v>
                </c:pt>
                <c:pt idx="2">
                  <c:v>118.77135443872615</c:v>
                </c:pt>
                <c:pt idx="3">
                  <c:v>120.11597181805739</c:v>
                </c:pt>
                <c:pt idx="4">
                  <c:v>121.18523729377296</c:v>
                </c:pt>
              </c:numCache>
            </c:numRef>
          </c:val>
          <c:smooth val="0"/>
        </c:ser>
        <c:ser>
          <c:idx val="6"/>
          <c:order val="24"/>
          <c:tx>
            <c:strRef>
              <c:f>'Re-referrals'!$AK$64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'Re-referrals'!$D$8:$H$8</c:f>
              <c:numCache>
                <c:formatCode>General</c:formatCode>
                <c:ptCount val="5"/>
                <c:pt idx="0">
                  <c:v>2014</c:v>
                </c:pt>
                <c:pt idx="1">
                  <c:v>2015</c:v>
                </c:pt>
                <c:pt idx="2">
                  <c:v>2016</c:v>
                </c:pt>
                <c:pt idx="3">
                  <c:v>2017</c:v>
                </c:pt>
                <c:pt idx="4">
                  <c:v>2018</c:v>
                </c:pt>
              </c:numCache>
            </c:numRef>
          </c:cat>
          <c:val>
            <c:numRef>
              <c:f>'Re-referrals'!$AL$64:$AP$64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0361984"/>
        <c:axId val="190363904"/>
      </c:lineChart>
      <c:catAx>
        <c:axId val="1903619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0363904"/>
        <c:crosses val="autoZero"/>
        <c:auto val="1"/>
        <c:lblAlgn val="ctr"/>
        <c:lblOffset val="100"/>
        <c:tickLblSkip val="1"/>
        <c:tickMarkSkip val="1"/>
        <c:noMultiLvlLbl val="0"/>
      </c:catAx>
      <c:valAx>
        <c:axId val="19036390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036198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'Re-referrals'!$Z$4</c:f>
              <c:strCache>
                <c:ptCount val="1"/>
                <c:pt idx="0">
                  <c:v>Selected LA- (none)</c:v>
                </c:pt>
              </c:strCache>
            </c:strRef>
          </c:tx>
          <c:spPr>
            <a:solidFill>
              <a:srgbClr val="66FF99"/>
            </a:solidFill>
            <a:ln>
              <a:solidFill>
                <a:schemeClr val="tx1">
                  <a:lumMod val="75000"/>
                  <a:lumOff val="25000"/>
                </a:schemeClr>
              </a:solidFill>
            </a:ln>
          </c:spPr>
          <c:invertIfNegative val="0"/>
          <c:val>
            <c:numRef>
              <c:f>'Re-referrals'!$X$70:$AB$70</c:f>
              <c:numCache>
                <c:formatCode>0.0</c:formatCode>
                <c:ptCount val="5"/>
                <c:pt idx="0">
                  <c:v>#N/A</c:v>
                </c:pt>
                <c:pt idx="1">
                  <c:v>#N/A</c:v>
                </c:pt>
                <c:pt idx="2">
                  <c:v>#N/A</c:v>
                </c:pt>
                <c:pt idx="3">
                  <c:v>#N/A</c:v>
                </c:pt>
                <c:pt idx="4">
                  <c:v>#N/A</c:v>
                </c:pt>
              </c:numCache>
            </c:numRef>
          </c:val>
        </c:ser>
        <c:ser>
          <c:idx val="4"/>
          <c:order val="1"/>
          <c:tx>
            <c:strRef>
              <c:f>'Re-referrals'!$B$31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'Re-referrals'!$K$8:$O$8</c:f>
              <c:numCache>
                <c:formatCode>General</c:formatCode>
                <c:ptCount val="5"/>
                <c:pt idx="0">
                  <c:v>2014</c:v>
                </c:pt>
                <c:pt idx="1">
                  <c:v>2015</c:v>
                </c:pt>
                <c:pt idx="2">
                  <c:v>2016</c:v>
                </c:pt>
                <c:pt idx="3">
                  <c:v>2017</c:v>
                </c:pt>
                <c:pt idx="4">
                  <c:v>2018</c:v>
                </c:pt>
              </c:numCache>
            </c:numRef>
          </c:cat>
          <c:val>
            <c:numRef>
              <c:f>'Re-referrals'!$K$31:$O$31</c:f>
              <c:numCache>
                <c:formatCode>0.0</c:formatCode>
                <c:ptCount val="5"/>
                <c:pt idx="0">
                  <c:v>152.78248887004452</c:v>
                </c:pt>
                <c:pt idx="1">
                  <c:v>140.74151874803067</c:v>
                </c:pt>
                <c:pt idx="2">
                  <c:v>119.70178822793389</c:v>
                </c:pt>
                <c:pt idx="3">
                  <c:v>142.19997692935988</c:v>
                </c:pt>
                <c:pt idx="4">
                  <c:v>138.07543219307925</c:v>
                </c:pt>
              </c:numCache>
            </c:numRef>
          </c:val>
        </c:ser>
        <c:ser>
          <c:idx val="0"/>
          <c:order val="2"/>
          <c:tx>
            <c:strRef>
              <c:f>'Re-referrals'!$B$32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'Re-referrals'!$K$32:$O$32</c:f>
              <c:numCache>
                <c:formatCode>0.0</c:formatCode>
                <c:ptCount val="5"/>
                <c:pt idx="0">
                  <c:v>134.15919643868315</c:v>
                </c:pt>
                <c:pt idx="1">
                  <c:v>131.47338181629959</c:v>
                </c:pt>
                <c:pt idx="2">
                  <c:v>118.77135443872615</c:v>
                </c:pt>
                <c:pt idx="3">
                  <c:v>120.11597181805739</c:v>
                </c:pt>
                <c:pt idx="4">
                  <c:v>121.18523729377296</c:v>
                </c:pt>
              </c:numCache>
            </c:numRef>
          </c:val>
        </c:ser>
        <c:dLbls>
          <c:showLegendKey val="0"/>
          <c:showVal val="0"/>
          <c:showCatName val="0"/>
          <c:showSerName val="0"/>
          <c:showPercent val="0"/>
          <c:showBubbleSize val="0"/>
        </c:dLbls>
        <c:gapWidth val="100"/>
        <c:axId val="200171904"/>
        <c:axId val="200173440"/>
      </c:barChart>
      <c:catAx>
        <c:axId val="200171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173440"/>
        <c:crosses val="autoZero"/>
        <c:auto val="1"/>
        <c:lblAlgn val="ctr"/>
        <c:lblOffset val="100"/>
        <c:noMultiLvlLbl val="0"/>
      </c:catAx>
      <c:valAx>
        <c:axId val="2001734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17190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Re-referrals</a:t>
            </a:r>
            <a:r>
              <a:rPr lang="en-GB" baseline="0"/>
              <a:t> </a:t>
            </a:r>
            <a:r>
              <a:rPr lang="en-GB"/>
              <a:t>(Selected LA</a:t>
            </a:r>
            <a:r>
              <a:rPr lang="en-GB" baseline="0"/>
              <a:t> vs. SE &amp; National)</a:t>
            </a:r>
            <a:r>
              <a:rPr lang="en-GB"/>
              <a:t> </a:t>
            </a:r>
          </a:p>
        </c:rich>
      </c:tx>
      <c:layout>
        <c:manualLayout>
          <c:xMode val="edge"/>
          <c:yMode val="edge"/>
          <c:x val="0.12300854700854699"/>
          <c:y val="4.3543932008498938E-2"/>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'Re-referrals'!$Z$4</c:f>
              <c:strCache>
                <c:ptCount val="1"/>
                <c:pt idx="0">
                  <c:v>Selected LA- (none)</c:v>
                </c:pt>
              </c:strCache>
            </c:strRef>
          </c:tx>
          <c:spPr>
            <a:solidFill>
              <a:srgbClr val="66FF99"/>
            </a:solidFill>
            <a:ln>
              <a:solidFill>
                <a:schemeClr val="tx1">
                  <a:lumMod val="75000"/>
                  <a:lumOff val="25000"/>
                </a:schemeClr>
              </a:solidFill>
            </a:ln>
          </c:spPr>
          <c:invertIfNegative val="0"/>
          <c:cat>
            <c:numRef>
              <c:f>'Re-referrals'!$K$8:$O$8</c:f>
              <c:numCache>
                <c:formatCode>General</c:formatCode>
                <c:ptCount val="5"/>
                <c:pt idx="0">
                  <c:v>2014</c:v>
                </c:pt>
                <c:pt idx="1">
                  <c:v>2015</c:v>
                </c:pt>
                <c:pt idx="2">
                  <c:v>2016</c:v>
                </c:pt>
                <c:pt idx="3">
                  <c:v>2017</c:v>
                </c:pt>
                <c:pt idx="4">
                  <c:v>2018</c:v>
                </c:pt>
              </c:numCache>
            </c:numRef>
          </c:cat>
          <c:val>
            <c:numRef>
              <c:f>'Re-referrals'!$AR$64:$AV$64</c:f>
              <c:numCache>
                <c:formatCode>0%</c:formatCode>
                <c:ptCount val="5"/>
                <c:pt idx="0">
                  <c:v>#N/A</c:v>
                </c:pt>
                <c:pt idx="1">
                  <c:v>#N/A</c:v>
                </c:pt>
                <c:pt idx="2">
                  <c:v>#N/A</c:v>
                </c:pt>
                <c:pt idx="3">
                  <c:v>#N/A</c:v>
                </c:pt>
                <c:pt idx="4">
                  <c:v>#N/A</c:v>
                </c:pt>
              </c:numCache>
            </c:numRef>
          </c:val>
        </c:ser>
        <c:ser>
          <c:idx val="4"/>
          <c:order val="1"/>
          <c:tx>
            <c:strRef>
              <c:f>'Re-referrals'!$B$132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'Re-referrals'!$K$8:$O$8</c:f>
              <c:numCache>
                <c:formatCode>General</c:formatCode>
                <c:ptCount val="5"/>
                <c:pt idx="0">
                  <c:v>2014</c:v>
                </c:pt>
                <c:pt idx="1">
                  <c:v>2015</c:v>
                </c:pt>
                <c:pt idx="2">
                  <c:v>2016</c:v>
                </c:pt>
                <c:pt idx="3">
                  <c:v>2017</c:v>
                </c:pt>
                <c:pt idx="4">
                  <c:v>2018</c:v>
                </c:pt>
              </c:numCache>
            </c:numRef>
          </c:cat>
          <c:val>
            <c:numRef>
              <c:f>'Re-referrals'!$D$132:$H$132</c:f>
              <c:numCache>
                <c:formatCode>0%</c:formatCode>
                <c:ptCount val="5"/>
                <c:pt idx="0">
                  <c:v>0.28091289137489162</c:v>
                </c:pt>
                <c:pt idx="1">
                  <c:v>0.27657378740970073</c:v>
                </c:pt>
                <c:pt idx="2">
                  <c:v>0.234860883797054</c:v>
                </c:pt>
                <c:pt idx="3">
                  <c:v>0.25662808065720688</c:v>
                </c:pt>
                <c:pt idx="4">
                  <c:v>0.25180598555211559</c:v>
                </c:pt>
              </c:numCache>
            </c:numRef>
          </c:val>
        </c:ser>
        <c:ser>
          <c:idx val="0"/>
          <c:order val="2"/>
          <c:tx>
            <c:strRef>
              <c:f>'Re-referrals'!$B$133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'Re-referrals'!$D$133:$H$133</c:f>
              <c:numCache>
                <c:formatCode>0%</c:formatCode>
                <c:ptCount val="5"/>
                <c:pt idx="0">
                  <c:v>0.23411371237458195</c:v>
                </c:pt>
                <c:pt idx="1">
                  <c:v>0.23977344241661422</c:v>
                </c:pt>
                <c:pt idx="2">
                  <c:v>0.22318052359727741</c:v>
                </c:pt>
                <c:pt idx="3">
                  <c:v>0.21909242865102457</c:v>
                </c:pt>
                <c:pt idx="4">
                  <c:v>0.21934627762610009</c:v>
                </c:pt>
              </c:numCache>
            </c:numRef>
          </c:val>
        </c:ser>
        <c:dLbls>
          <c:showLegendKey val="0"/>
          <c:showVal val="0"/>
          <c:showCatName val="0"/>
          <c:showSerName val="0"/>
          <c:showPercent val="0"/>
          <c:showBubbleSize val="0"/>
        </c:dLbls>
        <c:gapWidth val="100"/>
        <c:axId val="200834432"/>
        <c:axId val="200836224"/>
      </c:barChart>
      <c:catAx>
        <c:axId val="200834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836224"/>
        <c:crosses val="autoZero"/>
        <c:auto val="1"/>
        <c:lblAlgn val="ctr"/>
        <c:lblOffset val="100"/>
        <c:noMultiLvlLbl val="0"/>
      </c:catAx>
      <c:valAx>
        <c:axId val="20083622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83443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which were Re-referrals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'Re-referrals'!$AK$40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'Re-referrals'!$D$8:$H$8</c:f>
              <c:numCache>
                <c:formatCode>General</c:formatCode>
                <c:ptCount val="5"/>
                <c:pt idx="0">
                  <c:v>2014</c:v>
                </c:pt>
                <c:pt idx="1">
                  <c:v>2015</c:v>
                </c:pt>
                <c:pt idx="2">
                  <c:v>2016</c:v>
                </c:pt>
                <c:pt idx="3">
                  <c:v>2017</c:v>
                </c:pt>
                <c:pt idx="4">
                  <c:v>2018</c:v>
                </c:pt>
              </c:numCache>
            </c:numRef>
          </c:cat>
          <c:val>
            <c:numRef>
              <c:f>'Re-referrals'!$AR$40:$AV$40</c:f>
              <c:numCache>
                <c:formatCode>0.0%</c:formatCode>
                <c:ptCount val="5"/>
                <c:pt idx="0">
                  <c:v>0.21126760563380281</c:v>
                </c:pt>
                <c:pt idx="1">
                  <c:v>0.20471698113207551</c:v>
                </c:pt>
                <c:pt idx="2">
                  <c:v>0.172281776416539</c:v>
                </c:pt>
                <c:pt idx="3">
                  <c:v>0.23540145985401459</c:v>
                </c:pt>
                <c:pt idx="4">
                  <c:v>0.23529411764705882</c:v>
                </c:pt>
              </c:numCache>
            </c:numRef>
          </c:val>
          <c:smooth val="0"/>
        </c:ser>
        <c:ser>
          <c:idx val="1"/>
          <c:order val="1"/>
          <c:tx>
            <c:strRef>
              <c:f>'Re-referrals'!$AK$41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'Re-referrals'!$AR$41:$AV$41</c:f>
              <c:numCache>
                <c:formatCode>0.0%</c:formatCode>
                <c:ptCount val="5"/>
                <c:pt idx="0">
                  <c:v>0.32986767485822305</c:v>
                </c:pt>
                <c:pt idx="1">
                  <c:v>0.36252908170247694</c:v>
                </c:pt>
                <c:pt idx="2">
                  <c:v>0.32136602451838897</c:v>
                </c:pt>
                <c:pt idx="3">
                  <c:v>0.24698972099853156</c:v>
                </c:pt>
                <c:pt idx="4">
                  <c:v>0.28319377990430622</c:v>
                </c:pt>
              </c:numCache>
            </c:numRef>
          </c:val>
          <c:smooth val="0"/>
        </c:ser>
        <c:ser>
          <c:idx val="2"/>
          <c:order val="2"/>
          <c:tx>
            <c:strRef>
              <c:f>'Re-referrals'!$AK$42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'Re-referrals'!$AR$42:$AV$42</c:f>
              <c:numCache>
                <c:formatCode>0.0%</c:formatCode>
                <c:ptCount val="5"/>
                <c:pt idx="0">
                  <c:v>0.34631679650129837</c:v>
                </c:pt>
                <c:pt idx="1">
                  <c:v>0.27256775199844008</c:v>
                </c:pt>
                <c:pt idx="2">
                  <c:v>0.26458752515090506</c:v>
                </c:pt>
                <c:pt idx="3">
                  <c:v>0.32909604519774011</c:v>
                </c:pt>
                <c:pt idx="4">
                  <c:v>0.31121215052723228</c:v>
                </c:pt>
              </c:numCache>
            </c:numRef>
          </c:val>
          <c:smooth val="0"/>
        </c:ser>
        <c:ser>
          <c:idx val="5"/>
          <c:order val="3"/>
          <c:tx>
            <c:strRef>
              <c:f>'Re-referrals'!$AK$43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'Re-referrals'!$AR$43:$AV$43</c:f>
              <c:numCache>
                <c:formatCode>0.0%</c:formatCode>
                <c:ptCount val="5"/>
                <c:pt idx="0">
                  <c:v>0.30686406460296095</c:v>
                </c:pt>
                <c:pt idx="1">
                  <c:v>0.23558897243107765</c:v>
                </c:pt>
                <c:pt idx="2">
                  <c:v>0.14540337711069423</c:v>
                </c:pt>
                <c:pt idx="3">
                  <c:v>0.14880304678998912</c:v>
                </c:pt>
                <c:pt idx="4">
                  <c:v>0.17678039844286697</c:v>
                </c:pt>
              </c:numCache>
            </c:numRef>
          </c:val>
          <c:smooth val="0"/>
        </c:ser>
        <c:ser>
          <c:idx val="9"/>
          <c:order val="4"/>
          <c:tx>
            <c:strRef>
              <c:f>'Re-referrals'!$AK$44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'Re-referrals'!$AR$44:$AV$44</c:f>
              <c:numCache>
                <c:formatCode>0.0%</c:formatCode>
                <c:ptCount val="5"/>
                <c:pt idx="0">
                  <c:v>0.27862077473476438</c:v>
                </c:pt>
                <c:pt idx="1">
                  <c:v>0.31792942862260426</c:v>
                </c:pt>
                <c:pt idx="2">
                  <c:v>0.28171126845073802</c:v>
                </c:pt>
                <c:pt idx="3">
                  <c:v>0.30697195780807823</c:v>
                </c:pt>
                <c:pt idx="4">
                  <c:v>0.29612162581445856</c:v>
                </c:pt>
              </c:numCache>
            </c:numRef>
          </c:val>
          <c:smooth val="0"/>
        </c:ser>
        <c:ser>
          <c:idx val="10"/>
          <c:order val="5"/>
          <c:tx>
            <c:strRef>
              <c:f>'Re-referrals'!$AK$45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'Re-referrals'!$AR$45:$AV$45</c:f>
              <c:numCache>
                <c:formatCode>0.0%</c:formatCode>
                <c:ptCount val="5"/>
                <c:pt idx="0">
                  <c:v>0.30529172320217096</c:v>
                </c:pt>
                <c:pt idx="1">
                  <c:v>0.34568421052631571</c:v>
                </c:pt>
                <c:pt idx="2">
                  <c:v>0.3290079531184596</c:v>
                </c:pt>
                <c:pt idx="3">
                  <c:v>0.30309988518943742</c:v>
                </c:pt>
                <c:pt idx="4">
                  <c:v>0.30696202531645572</c:v>
                </c:pt>
              </c:numCache>
            </c:numRef>
          </c:val>
          <c:smooth val="0"/>
        </c:ser>
        <c:ser>
          <c:idx val="11"/>
          <c:order val="6"/>
          <c:tx>
            <c:strRef>
              <c:f>'Re-referrals'!$AK$46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'Re-referrals'!$AR$46:$AV$46</c:f>
              <c:numCache>
                <c:formatCode>0.0%</c:formatCode>
                <c:ptCount val="5"/>
                <c:pt idx="0">
                  <c:v>0.26466290962220829</c:v>
                </c:pt>
                <c:pt idx="1">
                  <c:v>0.28332022505898724</c:v>
                </c:pt>
                <c:pt idx="2">
                  <c:v>0.20838221874592638</c:v>
                </c:pt>
                <c:pt idx="3">
                  <c:v>0.23005378044922492</c:v>
                </c:pt>
                <c:pt idx="4">
                  <c:v>0.23083673153357767</c:v>
                </c:pt>
              </c:numCache>
            </c:numRef>
          </c:val>
          <c:smooth val="0"/>
        </c:ser>
        <c:ser>
          <c:idx val="12"/>
          <c:order val="7"/>
          <c:tx>
            <c:strRef>
              <c:f>'Re-referrals'!$AK$47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'Re-referrals'!$AR$47:$AV$47</c:f>
              <c:numCache>
                <c:formatCode>0.0%</c:formatCode>
                <c:ptCount val="5"/>
                <c:pt idx="0">
                  <c:v>0.29983564216952335</c:v>
                </c:pt>
                <c:pt idx="1">
                  <c:v>0.19967532467532456</c:v>
                </c:pt>
                <c:pt idx="2">
                  <c:v>0.16508313539192399</c:v>
                </c:pt>
                <c:pt idx="3">
                  <c:v>0.17606149341142022</c:v>
                </c:pt>
                <c:pt idx="4">
                  <c:v>0.16998468606431852</c:v>
                </c:pt>
              </c:numCache>
            </c:numRef>
          </c:val>
          <c:smooth val="0"/>
        </c:ser>
        <c:ser>
          <c:idx val="13"/>
          <c:order val="8"/>
          <c:tx>
            <c:strRef>
              <c:f>'Re-referrals'!$AK$48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'Re-referrals'!$AR$48:$AV$48</c:f>
              <c:numCache>
                <c:formatCode>0.0%</c:formatCode>
                <c:ptCount val="5"/>
                <c:pt idx="0">
                  <c:v>0.26003824091778205</c:v>
                </c:pt>
                <c:pt idx="1">
                  <c:v>0.23160762942779295</c:v>
                </c:pt>
                <c:pt idx="2">
                  <c:v>0.20946189960274467</c:v>
                </c:pt>
                <c:pt idx="3">
                  <c:v>0.19072332144015569</c:v>
                </c:pt>
                <c:pt idx="4">
                  <c:v>0.2055955913522679</c:v>
                </c:pt>
              </c:numCache>
            </c:numRef>
          </c:val>
          <c:smooth val="0"/>
        </c:ser>
        <c:ser>
          <c:idx val="15"/>
          <c:order val="9"/>
          <c:tx>
            <c:strRef>
              <c:f>'Re-referrals'!$AK$49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'Re-referrals'!$AR$49:$AV$49</c:f>
              <c:numCache>
                <c:formatCode>0.0%</c:formatCode>
                <c:ptCount val="5"/>
                <c:pt idx="0">
                  <c:v>0.22777307366638441</c:v>
                </c:pt>
                <c:pt idx="1">
                  <c:v>0.24315733710047682</c:v>
                </c:pt>
                <c:pt idx="2">
                  <c:v>0.25362962962962965</c:v>
                </c:pt>
                <c:pt idx="3">
                  <c:v>0.19883951316161902</c:v>
                </c:pt>
                <c:pt idx="4">
                  <c:v>0.18608746697974757</c:v>
                </c:pt>
              </c:numCache>
            </c:numRef>
          </c:val>
          <c:smooth val="0"/>
        </c:ser>
        <c:ser>
          <c:idx val="16"/>
          <c:order val="10"/>
          <c:tx>
            <c:strRef>
              <c:f>'Re-referrals'!$AK$50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'Re-referrals'!$AR$50:$AV$50</c:f>
              <c:numCache>
                <c:formatCode>0.0%</c:formatCode>
                <c:ptCount val="5"/>
                <c:pt idx="0">
                  <c:v>0.23984632272228321</c:v>
                </c:pt>
                <c:pt idx="1">
                  <c:v>0.19781363872982802</c:v>
                </c:pt>
                <c:pt idx="2">
                  <c:v>0.19445771619684657</c:v>
                </c:pt>
                <c:pt idx="3">
                  <c:v>0.25934861278648974</c:v>
                </c:pt>
                <c:pt idx="4">
                  <c:v>0.22741652021089631</c:v>
                </c:pt>
              </c:numCache>
            </c:numRef>
          </c:val>
          <c:smooth val="0"/>
        </c:ser>
        <c:ser>
          <c:idx val="17"/>
          <c:order val="11"/>
          <c:tx>
            <c:strRef>
              <c:f>'Re-referrals'!$AK$51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'Re-referrals'!$AR$51:$AV$51</c:f>
              <c:numCache>
                <c:formatCode>0.0%</c:formatCode>
                <c:ptCount val="5"/>
                <c:pt idx="0">
                  <c:v>0.1812933025404157</c:v>
                </c:pt>
                <c:pt idx="1">
                  <c:v>0.2109982068141063</c:v>
                </c:pt>
                <c:pt idx="2">
                  <c:v>0.20987654320987653</c:v>
                </c:pt>
                <c:pt idx="3">
                  <c:v>0.2846648301193756</c:v>
                </c:pt>
                <c:pt idx="4">
                  <c:v>0.22374429223744291</c:v>
                </c:pt>
              </c:numCache>
            </c:numRef>
          </c:val>
          <c:smooth val="0"/>
        </c:ser>
        <c:ser>
          <c:idx val="19"/>
          <c:order val="12"/>
          <c:tx>
            <c:strRef>
              <c:f>'Re-referrals'!$AK$52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'Re-referrals'!$AR$52:$AV$52</c:f>
              <c:numCache>
                <c:formatCode>0.0%</c:formatCode>
                <c:ptCount val="5"/>
                <c:pt idx="0">
                  <c:v>0.18907060231352213</c:v>
                </c:pt>
                <c:pt idx="1">
                  <c:v>0.21034180543383005</c:v>
                </c:pt>
                <c:pt idx="2">
                  <c:v>0.18817591925018029</c:v>
                </c:pt>
                <c:pt idx="3">
                  <c:v>0.29043600562587907</c:v>
                </c:pt>
                <c:pt idx="4">
                  <c:v>0.24512884978001256</c:v>
                </c:pt>
              </c:numCache>
            </c:numRef>
          </c:val>
          <c:smooth val="0"/>
        </c:ser>
        <c:ser>
          <c:idx val="3"/>
          <c:order val="13"/>
          <c:tx>
            <c:strRef>
              <c:f>'Re-referrals'!$AK$53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'Re-referrals'!$AR$53:$AV$53</c:f>
              <c:numCache>
                <c:formatCode>0.0%</c:formatCode>
                <c:ptCount val="5"/>
                <c:pt idx="0">
                  <c:v>0.28618152085036797</c:v>
                </c:pt>
                <c:pt idx="1">
                  <c:v>0.26971919155786045</c:v>
                </c:pt>
                <c:pt idx="2">
                  <c:v>0.23832567142511493</c:v>
                </c:pt>
                <c:pt idx="3">
                  <c:v>0.19886958342055683</c:v>
                </c:pt>
                <c:pt idx="4">
                  <c:v>0.21374636979670861</c:v>
                </c:pt>
              </c:numCache>
            </c:numRef>
          </c:val>
          <c:smooth val="0"/>
        </c:ser>
        <c:ser>
          <c:idx val="20"/>
          <c:order val="14"/>
          <c:tx>
            <c:strRef>
              <c:f>'Re-referrals'!$AK$54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'Re-referrals'!$AR$54:$AV$54</c:f>
              <c:numCache>
                <c:formatCode>0.0%</c:formatCode>
                <c:ptCount val="5"/>
                <c:pt idx="0">
                  <c:v>0.32094497263036587</c:v>
                </c:pt>
                <c:pt idx="1">
                  <c:v>0.34555954424847823</c:v>
                </c:pt>
                <c:pt idx="2">
                  <c:v>0.19193391642371235</c:v>
                </c:pt>
                <c:pt idx="3">
                  <c:v>0.26609724047306177</c:v>
                </c:pt>
                <c:pt idx="4">
                  <c:v>0.20283199387677001</c:v>
                </c:pt>
              </c:numCache>
            </c:numRef>
          </c:val>
          <c:smooth val="0"/>
        </c:ser>
        <c:ser>
          <c:idx val="22"/>
          <c:order val="15"/>
          <c:tx>
            <c:strRef>
              <c:f>'Re-referrals'!$AK$55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'Re-referrals'!$AR$55:$AV$55</c:f>
              <c:numCache>
                <c:formatCode>0.0%</c:formatCode>
                <c:ptCount val="5"/>
                <c:pt idx="0">
                  <c:v>0.32871942934782611</c:v>
                </c:pt>
                <c:pt idx="1">
                  <c:v>0.25363262851989149</c:v>
                </c:pt>
                <c:pt idx="2">
                  <c:v>0.24133242692046228</c:v>
                </c:pt>
                <c:pt idx="3">
                  <c:v>0.24796643548248995</c:v>
                </c:pt>
                <c:pt idx="4">
                  <c:v>0.27330104212534861</c:v>
                </c:pt>
              </c:numCache>
            </c:numRef>
          </c:val>
          <c:smooth val="0"/>
        </c:ser>
        <c:ser>
          <c:idx val="7"/>
          <c:order val="16"/>
          <c:tx>
            <c:strRef>
              <c:f>'Re-referrals'!$AK$56</c:f>
              <c:strCache>
                <c:ptCount val="1"/>
                <c:pt idx="0">
                  <c:v>Swindon</c:v>
                </c:pt>
              </c:strCache>
            </c:strRef>
          </c:tx>
          <c:spPr>
            <a:ln w="15875"/>
          </c:spPr>
          <c:marker>
            <c:symbol val="triangle"/>
            <c:size val="5"/>
            <c:spPr>
              <a:solidFill>
                <a:schemeClr val="accent2">
                  <a:lumMod val="20000"/>
                  <a:lumOff val="80000"/>
                </a:schemeClr>
              </a:solidFill>
            </c:spPr>
          </c:marker>
          <c:cat>
            <c:numRef>
              <c:f>'Re-referrals'!$D$8:$H$8</c:f>
              <c:numCache>
                <c:formatCode>General</c:formatCode>
                <c:ptCount val="5"/>
                <c:pt idx="0">
                  <c:v>2014</c:v>
                </c:pt>
                <c:pt idx="1">
                  <c:v>2015</c:v>
                </c:pt>
                <c:pt idx="2">
                  <c:v>2016</c:v>
                </c:pt>
                <c:pt idx="3">
                  <c:v>2017</c:v>
                </c:pt>
                <c:pt idx="4">
                  <c:v>2018</c:v>
                </c:pt>
              </c:numCache>
            </c:numRef>
          </c:cat>
          <c:val>
            <c:numRef>
              <c:f>'Re-referrals'!$AR$56:$AV$56</c:f>
              <c:numCache>
                <c:formatCode>0.0%</c:formatCode>
                <c:ptCount val="5"/>
                <c:pt idx="0">
                  <c:v>0.24046140195208518</c:v>
                </c:pt>
                <c:pt idx="1">
                  <c:v>0.20037735849056609</c:v>
                </c:pt>
                <c:pt idx="2">
                  <c:v>0.27870778267254037</c:v>
                </c:pt>
                <c:pt idx="3">
                  <c:v>0.26613704071499505</c:v>
                </c:pt>
                <c:pt idx="4">
                  <c:v>0.24179762889440309</c:v>
                </c:pt>
              </c:numCache>
            </c:numRef>
          </c:val>
          <c:smooth val="0"/>
        </c:ser>
        <c:ser>
          <c:idx val="8"/>
          <c:order val="17"/>
          <c:tx>
            <c:strRef>
              <c:f>'Re-referrals'!$AK$57</c:f>
              <c:strCache>
                <c:ptCount val="1"/>
                <c:pt idx="0">
                  <c:v>Torbay</c:v>
                </c:pt>
              </c:strCache>
            </c:strRef>
          </c:tx>
          <c:spPr>
            <a:ln w="15875"/>
          </c:spPr>
          <c:marker>
            <c:symbol val="circle"/>
            <c:size val="5"/>
            <c:spPr>
              <a:solidFill>
                <a:schemeClr val="accent3">
                  <a:lumMod val="20000"/>
                  <a:lumOff val="80000"/>
                </a:schemeClr>
              </a:solidFill>
            </c:spPr>
          </c:marker>
          <c:cat>
            <c:numRef>
              <c:f>'Re-referrals'!$D$8:$H$8</c:f>
              <c:numCache>
                <c:formatCode>General</c:formatCode>
                <c:ptCount val="5"/>
                <c:pt idx="0">
                  <c:v>2014</c:v>
                </c:pt>
                <c:pt idx="1">
                  <c:v>2015</c:v>
                </c:pt>
                <c:pt idx="2">
                  <c:v>2016</c:v>
                </c:pt>
                <c:pt idx="3">
                  <c:v>2017</c:v>
                </c:pt>
                <c:pt idx="4">
                  <c:v>2018</c:v>
                </c:pt>
              </c:numCache>
            </c:numRef>
          </c:cat>
          <c:val>
            <c:numRef>
              <c:f>'Re-referrals'!$AR$57:$AV$57</c:f>
              <c:numCache>
                <c:formatCode>0.0%</c:formatCode>
                <c:ptCount val="5"/>
                <c:pt idx="0">
                  <c:v>0.2084717607973422</c:v>
                </c:pt>
                <c:pt idx="1">
                  <c:v>0.24929709465791941</c:v>
                </c:pt>
                <c:pt idx="2">
                  <c:v>0.28873239436619724</c:v>
                </c:pt>
                <c:pt idx="3">
                  <c:v>0.27042079207920794</c:v>
                </c:pt>
                <c:pt idx="4">
                  <c:v>0.24598337950138505</c:v>
                </c:pt>
              </c:numCache>
            </c:numRef>
          </c:val>
          <c:smooth val="0"/>
        </c:ser>
        <c:ser>
          <c:idx val="23"/>
          <c:order val="18"/>
          <c:tx>
            <c:strRef>
              <c:f>'Re-referrals'!$AK$58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'Re-referrals'!$AR$58:$AV$58</c:f>
              <c:numCache>
                <c:formatCode>0.0%</c:formatCode>
                <c:ptCount val="5"/>
                <c:pt idx="0">
                  <c:v>0.22204344328238135</c:v>
                </c:pt>
                <c:pt idx="1">
                  <c:v>0.24066719618745036</c:v>
                </c:pt>
                <c:pt idx="2">
                  <c:v>0.16043956043956045</c:v>
                </c:pt>
                <c:pt idx="3">
                  <c:v>0.2360774818401937</c:v>
                </c:pt>
                <c:pt idx="4">
                  <c:v>0.26917989417989419</c:v>
                </c:pt>
              </c:numCache>
            </c:numRef>
          </c:val>
          <c:smooth val="0"/>
        </c:ser>
        <c:ser>
          <c:idx val="24"/>
          <c:order val="19"/>
          <c:tx>
            <c:strRef>
              <c:f>'Re-referrals'!$AK$59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'Re-referrals'!$AR$59:$AV$59</c:f>
              <c:numCache>
                <c:formatCode>0.0%</c:formatCode>
                <c:ptCount val="5"/>
                <c:pt idx="0">
                  <c:v>0.2425435276305829</c:v>
                </c:pt>
                <c:pt idx="1">
                  <c:v>0.21729073297672405</c:v>
                </c:pt>
                <c:pt idx="2">
                  <c:v>0.24389345771449578</c:v>
                </c:pt>
                <c:pt idx="3">
                  <c:v>0.25271708042558061</c:v>
                </c:pt>
                <c:pt idx="4">
                  <c:v>0.26803401700850427</c:v>
                </c:pt>
              </c:numCache>
            </c:numRef>
          </c:val>
          <c:smooth val="0"/>
        </c:ser>
        <c:ser>
          <c:idx val="25"/>
          <c:order val="20"/>
          <c:tx>
            <c:strRef>
              <c:f>'Re-referrals'!$AK$60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'Re-referrals'!$AR$60:$AV$60</c:f>
              <c:numCache>
                <c:formatCode>0.0%</c:formatCode>
                <c:ptCount val="5"/>
                <c:pt idx="0">
                  <c:v>0.19750719079578141</c:v>
                </c:pt>
                <c:pt idx="1">
                  <c:v>0.17938931297709931</c:v>
                </c:pt>
                <c:pt idx="2">
                  <c:v>0.17309417040358743</c:v>
                </c:pt>
                <c:pt idx="3">
                  <c:v>0.11794354838709678</c:v>
                </c:pt>
                <c:pt idx="4">
                  <c:v>0.15645617342130066</c:v>
                </c:pt>
              </c:numCache>
            </c:numRef>
          </c:val>
          <c:smooth val="0"/>
        </c:ser>
        <c:ser>
          <c:idx val="26"/>
          <c:order val="21"/>
          <c:tx>
            <c:strRef>
              <c:f>'Re-referrals'!$AK$61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'Re-referrals'!$AR$61:$AV$61</c:f>
              <c:numCache>
                <c:formatCode>0.0%</c:formatCode>
                <c:ptCount val="5"/>
                <c:pt idx="0">
                  <c:v>0.2690677966101695</c:v>
                </c:pt>
                <c:pt idx="1">
                  <c:v>0.26161616161616169</c:v>
                </c:pt>
                <c:pt idx="2">
                  <c:v>0.17241379310344829</c:v>
                </c:pt>
                <c:pt idx="3">
                  <c:v>0.1874310915104741</c:v>
                </c:pt>
                <c:pt idx="4">
                  <c:v>0.16557257476294676</c:v>
                </c:pt>
              </c:numCache>
            </c:numRef>
          </c:val>
          <c:smooth val="0"/>
        </c:ser>
        <c:ser>
          <c:idx val="4"/>
          <c:order val="22"/>
          <c:tx>
            <c:strRef>
              <c:f>'Re-referrals'!$AK$62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'Re-referrals'!$D$8:$H$8</c:f>
              <c:numCache>
                <c:formatCode>General</c:formatCode>
                <c:ptCount val="5"/>
                <c:pt idx="0">
                  <c:v>2014</c:v>
                </c:pt>
                <c:pt idx="1">
                  <c:v>2015</c:v>
                </c:pt>
                <c:pt idx="2">
                  <c:v>2016</c:v>
                </c:pt>
                <c:pt idx="3">
                  <c:v>2017</c:v>
                </c:pt>
                <c:pt idx="4">
                  <c:v>2018</c:v>
                </c:pt>
              </c:numCache>
            </c:numRef>
          </c:cat>
          <c:val>
            <c:numRef>
              <c:f>'Re-referrals'!$AR$62:$AV$62</c:f>
              <c:numCache>
                <c:formatCode>0.0%</c:formatCode>
                <c:ptCount val="5"/>
                <c:pt idx="0">
                  <c:v>0.28091289137489162</c:v>
                </c:pt>
                <c:pt idx="1">
                  <c:v>0.27657378740970073</c:v>
                </c:pt>
                <c:pt idx="2">
                  <c:v>0.234860883797054</c:v>
                </c:pt>
                <c:pt idx="3">
                  <c:v>0.25662808065720688</c:v>
                </c:pt>
                <c:pt idx="4">
                  <c:v>0.25180598555211559</c:v>
                </c:pt>
              </c:numCache>
            </c:numRef>
          </c:val>
          <c:smooth val="0"/>
        </c:ser>
        <c:ser>
          <c:idx val="14"/>
          <c:order val="23"/>
          <c:tx>
            <c:strRef>
              <c:f>'Re-referrals'!$AK$63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val>
            <c:numRef>
              <c:f>'Re-referrals'!$AR$63:$AV$63</c:f>
              <c:numCache>
                <c:formatCode>0.0%</c:formatCode>
                <c:ptCount val="5"/>
                <c:pt idx="0">
                  <c:v>0.23411371237458195</c:v>
                </c:pt>
                <c:pt idx="1">
                  <c:v>0.23977344241661422</c:v>
                </c:pt>
                <c:pt idx="2">
                  <c:v>0.22318052359727741</c:v>
                </c:pt>
                <c:pt idx="3">
                  <c:v>0.21909242865102457</c:v>
                </c:pt>
                <c:pt idx="4">
                  <c:v>0.21934627762610009</c:v>
                </c:pt>
              </c:numCache>
            </c:numRef>
          </c:val>
          <c:smooth val="0"/>
        </c:ser>
        <c:ser>
          <c:idx val="6"/>
          <c:order val="24"/>
          <c:tx>
            <c:strRef>
              <c:f>'Re-referrals'!$AK$64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'Re-referrals'!$D$8:$H$8</c:f>
              <c:numCache>
                <c:formatCode>General</c:formatCode>
                <c:ptCount val="5"/>
                <c:pt idx="0">
                  <c:v>2014</c:v>
                </c:pt>
                <c:pt idx="1">
                  <c:v>2015</c:v>
                </c:pt>
                <c:pt idx="2">
                  <c:v>2016</c:v>
                </c:pt>
                <c:pt idx="3">
                  <c:v>2017</c:v>
                </c:pt>
                <c:pt idx="4">
                  <c:v>2018</c:v>
                </c:pt>
              </c:numCache>
            </c:numRef>
          </c:cat>
          <c:val>
            <c:numRef>
              <c:f>'Re-referrals'!$AR$64:$AV$64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0581504"/>
        <c:axId val="200583040"/>
      </c:lineChart>
      <c:catAx>
        <c:axId val="2005815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583040"/>
        <c:crosses val="autoZero"/>
        <c:auto val="1"/>
        <c:lblAlgn val="ctr"/>
        <c:lblOffset val="100"/>
        <c:tickLblSkip val="1"/>
        <c:tickMarkSkip val="1"/>
        <c:noMultiLvlLbl val="0"/>
      </c:catAx>
      <c:valAx>
        <c:axId val="2005830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58150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'Re-referrals'!$R$7:$T$7</c:f>
              <c:strCache>
                <c:ptCount val="1"/>
                <c:pt idx="0">
                  <c:v>Distance from Expected 2018</c:v>
                </c:pt>
              </c:strCache>
            </c:strRef>
          </c:tx>
          <c:spPr>
            <a:solidFill>
              <a:srgbClr val="FB994F"/>
            </a:solidFill>
            <a:ln w="25400">
              <a:noFill/>
            </a:ln>
          </c:spPr>
          <c:invertIfNegative val="0"/>
          <c:cat>
            <c:strRef>
              <c:f>'Re-referrals'!$X$76:$X$99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'Re-referrals'!$T$9:$T$32</c:f>
              <c:numCache>
                <c:formatCode>0.0</c:formatCode>
                <c:ptCount val="24"/>
                <c:pt idx="0">
                  <c:v>53.895729178440391</c:v>
                </c:pt>
                <c:pt idx="1">
                  <c:v>73.061594930844819</c:v>
                </c:pt>
                <c:pt idx="2">
                  <c:v>165.13148854584603</c:v>
                </c:pt>
                <c:pt idx="3">
                  <c:v>-38.153889476882441</c:v>
                </c:pt>
                <c:pt idx="4">
                  <c:v>68.312933025073278</c:v>
                </c:pt>
                <c:pt idx="5">
                  <c:v>154.24825285835166</c:v>
                </c:pt>
                <c:pt idx="6">
                  <c:v>21.332775531720671</c:v>
                </c:pt>
                <c:pt idx="7">
                  <c:v>-50.413291812426692</c:v>
                </c:pt>
                <c:pt idx="8">
                  <c:v>-43.705938881987365</c:v>
                </c:pt>
                <c:pt idx="9">
                  <c:v>-11.725223924196186</c:v>
                </c:pt>
                <c:pt idx="10">
                  <c:v>23.075035827950785</c:v>
                </c:pt>
                <c:pt idx="11">
                  <c:v>42.925409961426681</c:v>
                </c:pt>
                <c:pt idx="12">
                  <c:v>-22.553947065433846</c:v>
                </c:pt>
                <c:pt idx="13">
                  <c:v>-5.6374020772355635</c:v>
                </c:pt>
                <c:pt idx="14">
                  <c:v>-20.295179654109916</c:v>
                </c:pt>
                <c:pt idx="15">
                  <c:v>47.002511990983663</c:v>
                </c:pt>
                <c:pt idx="16">
                  <c:v>65.100665461068843</c:v>
                </c:pt>
                <c:pt idx="17">
                  <c:v>50.774443423165621</c:v>
                </c:pt>
                <c:pt idx="18">
                  <c:v>16.304597098295616</c:v>
                </c:pt>
                <c:pt idx="19">
                  <c:v>52.354747135070767</c:v>
                </c:pt>
                <c:pt idx="20">
                  <c:v>-45.222833067349775</c:v>
                </c:pt>
                <c:pt idx="21">
                  <c:v>-31.798180028918402</c:v>
                </c:pt>
                <c:pt idx="22">
                  <c:v>32.823593809054643</c:v>
                </c:pt>
                <c:pt idx="23">
                  <c:v>5.3917083637898315</c:v>
                </c:pt>
              </c:numCache>
            </c:numRef>
          </c:val>
        </c:ser>
        <c:ser>
          <c:idx val="0"/>
          <c:order val="1"/>
          <c:tx>
            <c:strRef>
              <c:f>'Re-referrals'!$Z$4</c:f>
              <c:strCache>
                <c:ptCount val="1"/>
                <c:pt idx="0">
                  <c:v>Selected LA- (none)</c:v>
                </c:pt>
              </c:strCache>
            </c:strRef>
          </c:tx>
          <c:spPr>
            <a:solidFill>
              <a:srgbClr val="66FF99"/>
            </a:solidFill>
            <a:ln w="12700">
              <a:solidFill>
                <a:srgbClr val="000000"/>
              </a:solidFill>
              <a:prstDash val="solid"/>
            </a:ln>
          </c:spPr>
          <c:invertIfNegative val="0"/>
          <c:cat>
            <c:strRef>
              <c:f>'Re-referrals'!$X$76:$X$99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00612864"/>
        <c:axId val="200631040"/>
      </c:barChart>
      <c:catAx>
        <c:axId val="20061286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631040"/>
        <c:crossesAt val="0"/>
        <c:auto val="1"/>
        <c:lblAlgn val="ctr"/>
        <c:lblOffset val="100"/>
        <c:noMultiLvlLbl val="0"/>
      </c:catAx>
      <c:valAx>
        <c:axId val="200631040"/>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612864"/>
        <c:crosses val="max"/>
        <c:crossBetween val="between"/>
      </c:valAx>
      <c:spPr>
        <a:noFill/>
        <a:ln w="12700">
          <a:solidFill>
            <a:srgbClr val="000000"/>
          </a:solidFill>
          <a:prstDash val="solid"/>
        </a:ln>
      </c:spPr>
    </c:plotArea>
    <c:legend>
      <c:legendPos val="t"/>
      <c:layout>
        <c:manualLayout>
          <c:xMode val="edge"/>
          <c:yMode val="edge"/>
          <c:x val="0.19701637727249535"/>
          <c:y val="7.2490772111310081E-2"/>
          <c:w val="0.72758490501862216"/>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Percentage change in Number of Re-referrals 2015-2018</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'Re-referrals'!$I$7</c:f>
              <c:strCache>
                <c:ptCount val="1"/>
                <c:pt idx="0">
                  <c:v>% Change 2015-18</c:v>
                </c:pt>
              </c:strCache>
            </c:strRef>
          </c:tx>
          <c:spPr>
            <a:solidFill>
              <a:srgbClr val="FB994F"/>
            </a:solidFill>
            <a:ln w="25400">
              <a:noFill/>
            </a:ln>
          </c:spPr>
          <c:invertIfNegative val="0"/>
          <c:cat>
            <c:strRef>
              <c:f>'Re-referrals'!$B$9:$B$32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'Re-referrals'!$I$9:$I$32</c:f>
              <c:numCache>
                <c:formatCode>0.0%</c:formatCode>
                <c:ptCount val="24"/>
                <c:pt idx="0">
                  <c:v>0.97235023041474633</c:v>
                </c:pt>
                <c:pt idx="1">
                  <c:v>-0.64250660626651557</c:v>
                </c:pt>
                <c:pt idx="2">
                  <c:v>1.3011444921316182</c:v>
                </c:pt>
                <c:pt idx="3">
                  <c:v>-0.17872340425531905</c:v>
                </c:pt>
                <c:pt idx="4">
                  <c:v>-0.10384976525821581</c:v>
                </c:pt>
                <c:pt idx="5">
                  <c:v>-0.17295980511571232</c:v>
                </c:pt>
                <c:pt idx="6">
                  <c:v>-4.505658765748452E-2</c:v>
                </c:pt>
                <c:pt idx="7">
                  <c:v>-0.27804878048780446</c:v>
                </c:pt>
                <c:pt idx="8">
                  <c:v>-0.18487394957983208</c:v>
                </c:pt>
                <c:pt idx="9">
                  <c:v>-7.9157588961510678E-2</c:v>
                </c:pt>
                <c:pt idx="10">
                  <c:v>0.70263157894737016</c:v>
                </c:pt>
                <c:pt idx="11">
                  <c:v>0.66572237960340019</c:v>
                </c:pt>
                <c:pt idx="12">
                  <c:v>-0.18750000000000028</c:v>
                </c:pt>
                <c:pt idx="13">
                  <c:v>-0.26790450928381854</c:v>
                </c:pt>
                <c:pt idx="14">
                  <c:v>-0.76061427280939475</c:v>
                </c:pt>
                <c:pt idx="15">
                  <c:v>0.47135519557487315</c:v>
                </c:pt>
                <c:pt idx="16">
                  <c:v>0.65160075329566824</c:v>
                </c:pt>
                <c:pt idx="17">
                  <c:v>-0.16541353383458646</c:v>
                </c:pt>
                <c:pt idx="18">
                  <c:v>0.34323432343234322</c:v>
                </c:pt>
                <c:pt idx="19">
                  <c:v>0.78243512974051865</c:v>
                </c:pt>
                <c:pt idx="20">
                  <c:v>-0.11702127659574509</c:v>
                </c:pt>
                <c:pt idx="21">
                  <c:v>-0.12355212355212375</c:v>
                </c:pt>
                <c:pt idx="22">
                  <c:v>1.4925373134328358E-3</c:v>
                </c:pt>
                <c:pt idx="23">
                  <c:v>-5.6364829396325457E-2</c:v>
                </c:pt>
              </c:numCache>
            </c:numRef>
          </c:val>
        </c:ser>
        <c:ser>
          <c:idx val="1"/>
          <c:order val="1"/>
          <c:tx>
            <c:strRef>
              <c:f>'Re-referrals'!$Z$4</c:f>
              <c:strCache>
                <c:ptCount val="1"/>
                <c:pt idx="0">
                  <c:v>Selected LA- (none)</c:v>
                </c:pt>
              </c:strCache>
            </c:strRef>
          </c:tx>
          <c:spPr>
            <a:solidFill>
              <a:srgbClr val="66FF99"/>
            </a:solidFill>
            <a:ln w="12700">
              <a:solidFill>
                <a:srgbClr val="000000"/>
              </a:solidFill>
              <a:prstDash val="solid"/>
            </a:ln>
          </c:spPr>
          <c:invertIfNegative val="0"/>
          <c:cat>
            <c:strRef>
              <c:f>'Re-referrals'!$B$9:$B$32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00869760"/>
        <c:axId val="200871296"/>
      </c:barChart>
      <c:catAx>
        <c:axId val="20086976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871296"/>
        <c:crosses val="autoZero"/>
        <c:auto val="1"/>
        <c:lblAlgn val="ctr"/>
        <c:lblOffset val="100"/>
        <c:noMultiLvlLbl val="0"/>
      </c:catAx>
      <c:valAx>
        <c:axId val="20087129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869760"/>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vs. IDACI</a:t>
            </a:r>
          </a:p>
        </c:rich>
      </c:tx>
      <c:layout>
        <c:manualLayout>
          <c:xMode val="edge"/>
          <c:yMode val="edge"/>
          <c:x val="0.30103802290200449"/>
          <c:y val="3.6125774697765456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Assessments!$X$67</c:f>
              <c:strCache>
                <c:ptCount val="1"/>
                <c:pt idx="0">
                  <c:v>National Trend 2015</c:v>
                </c:pt>
              </c:strCache>
            </c:strRef>
          </c:tx>
          <c:spPr>
            <a:ln w="15875">
              <a:solidFill>
                <a:schemeClr val="tx1">
                  <a:lumMod val="75000"/>
                  <a:lumOff val="25000"/>
                </a:schemeClr>
              </a:solidFill>
            </a:ln>
          </c:spPr>
          <c:marker>
            <c:symbol val="none"/>
          </c:marker>
          <c:dLbls>
            <c:dLbl>
              <c:idx val="0"/>
              <c:delete val="1"/>
            </c:dLbl>
            <c:dLbl>
              <c:idx val="1"/>
              <c:layout>
                <c:manualLayout>
                  <c:x val="-6.8535825545171333E-2"/>
                  <c:y val="-2.9828479198511112E-2"/>
                </c:manualLayout>
              </c:layout>
              <c:tx>
                <c:strRef>
                  <c:f>Assessments!$AC$67</c:f>
                  <c:strCache>
                    <c:ptCount val="1"/>
                    <c:pt idx="0">
                      <c:v>r² = 0.229</c:v>
                    </c:pt>
                  </c:strCache>
                </c:strRef>
              </c:tx>
              <c:spPr/>
              <c:txPr>
                <a:bodyPr/>
                <a:lstStyle/>
                <a:p>
                  <a:pPr>
                    <a:defRPr sz="900"/>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xVal>
            <c:numRef>
              <c:f>Assessments!$AA$67:$AA$68</c:f>
              <c:numCache>
                <c:formatCode>General</c:formatCode>
                <c:ptCount val="2"/>
                <c:pt idx="0" formatCode="#,##0.0">
                  <c:v>5</c:v>
                </c:pt>
                <c:pt idx="1">
                  <c:v>35</c:v>
                </c:pt>
              </c:numCache>
            </c:numRef>
          </c:xVal>
          <c:yVal>
            <c:numRef>
              <c:f>Assessments!$AB$67:$AB$68</c:f>
              <c:numCache>
                <c:formatCode>0.0</c:formatCode>
                <c:ptCount val="2"/>
                <c:pt idx="0">
                  <c:v>352.88775000000004</c:v>
                </c:pt>
                <c:pt idx="1">
                  <c:v>717.99045000000001</c:v>
                </c:pt>
              </c:numCache>
            </c:numRef>
          </c:yVal>
          <c:smooth val="1"/>
        </c:ser>
        <c:dLbls>
          <c:showLegendKey val="0"/>
          <c:showVal val="0"/>
          <c:showCatName val="0"/>
          <c:showSerName val="0"/>
          <c:showPercent val="0"/>
          <c:showBubbleSize val="0"/>
        </c:dLbls>
        <c:axId val="200919680"/>
        <c:axId val="210773120"/>
      </c:scatterChart>
      <c:scatterChart>
        <c:scatterStyle val="lineMarker"/>
        <c:varyColors val="0"/>
        <c:ser>
          <c:idx val="0"/>
          <c:order val="0"/>
          <c:tx>
            <c:strRef>
              <c:f>Assessments!$AR$37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5634218289085547"/>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1.4749262536873156E-2"/>
                  <c:y val="0"/>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30008055176"/>
                  <c:y val="-1.9724901603847381E-2"/>
                </c:manualLayout>
              </c:layout>
              <c:tx>
                <c:rich>
                  <a:bodyPr/>
                  <a:lstStyle/>
                  <a:p>
                    <a:r>
                      <a:rPr lang="en-US"/>
                      <a:t>Buckinghamshire</a:t>
                    </a:r>
                  </a:p>
                </c:rich>
              </c:tx>
              <c:dLblPos val="r"/>
              <c:showLegendKey val="0"/>
              <c:showVal val="0"/>
              <c:showCatName val="1"/>
              <c:showSerName val="0"/>
              <c:showPercent val="0"/>
              <c:showBubbleSize val="0"/>
            </c:dLbl>
            <c:dLbl>
              <c:idx val="3"/>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dLblPos val="r"/>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dLblPos val="r"/>
              <c:showLegendKey val="0"/>
              <c:showVal val="0"/>
              <c:showCatName val="1"/>
              <c:showSerName val="0"/>
              <c:showPercent val="0"/>
              <c:showBubbleSize val="0"/>
            </c:dLbl>
            <c:dLbl>
              <c:idx val="8"/>
              <c:layout>
                <c:manualLayout>
                  <c:x val="-0.13768448191763641"/>
                  <c:y val="-5.9656958397022227E-3"/>
                </c:manualLayout>
              </c:layout>
              <c:tx>
                <c:rich>
                  <a:bodyPr/>
                  <a:lstStyle/>
                  <a:p>
                    <a:r>
                      <a:rPr lang="en-US"/>
                      <a:t>Milton Keynes</a:t>
                    </a:r>
                  </a:p>
                </c:rich>
              </c:tx>
              <c:dLblPos val="r"/>
              <c:showLegendKey val="0"/>
              <c:showVal val="0"/>
              <c:showCatName val="1"/>
              <c:showSerName val="0"/>
              <c:showPercent val="0"/>
              <c:showBubbleSize val="0"/>
            </c:dLbl>
            <c:dLbl>
              <c:idx val="9"/>
              <c:layout/>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layout/>
              <c:tx>
                <c:rich>
                  <a:bodyPr/>
                  <a:lstStyle/>
                  <a:p>
                    <a:r>
                      <a:rPr lang="en-US"/>
                      <a:t>Reading</a:t>
                    </a:r>
                  </a:p>
                </c:rich>
              </c:tx>
              <c:dLblPos val="r"/>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dLblPos val="l"/>
              <c:showLegendKey val="0"/>
              <c:showVal val="0"/>
              <c:showCatName val="1"/>
              <c:showSerName val="0"/>
              <c:showPercent val="0"/>
              <c:showBubbleSize val="0"/>
            </c:dLbl>
            <c:dLbl>
              <c:idx val="14"/>
              <c:layout/>
              <c:tx>
                <c:rich>
                  <a:bodyPr/>
                  <a:lstStyle/>
                  <a:p>
                    <a:r>
                      <a:rPr lang="en-US"/>
                      <a:t>Surrey</a:t>
                    </a:r>
                  </a:p>
                </c:rich>
              </c:tx>
              <c:dLblPos val="l"/>
              <c:showLegendKey val="0"/>
              <c:showVal val="0"/>
              <c:showCatName val="1"/>
              <c:showSerName val="0"/>
              <c:showPercent val="0"/>
              <c:showBubbleSize val="0"/>
            </c:dLbl>
            <c:dLbl>
              <c:idx val="15"/>
              <c:layout/>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800544710491783"/>
                  <c:y val="1.3242527825470671E-2"/>
                </c:manualLayout>
              </c:layout>
              <c:tx>
                <c:rich>
                  <a:bodyPr/>
                  <a:lstStyle/>
                  <a:p>
                    <a:r>
                      <a:rPr lang="en-US"/>
                      <a:t>Windsor &amp; Maidenhead</a:t>
                    </a:r>
                  </a:p>
                </c:rich>
              </c:tx>
              <c:dLblPos val="r"/>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(Assessments!$AR$40:$AR$52,Assessments!$AR$54:$AR$55,Assessments!$AR$58:$AR$61)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(Assessments!$AQ$40:$AQ$52,Assessments!$AQ$54:$AQ$55,Assessments!$AQ$58:$AQ$61)</c:f>
              <c:numCache>
                <c:formatCode>0.0</c:formatCode>
                <c:ptCount val="19"/>
                <c:pt idx="0">
                  <c:v>594.92002422428845</c:v>
                </c:pt>
                <c:pt idx="1">
                  <c:v>529.80522155312769</c:v>
                </c:pt>
                <c:pt idx="2">
                  <c:v>679.74812106439163</c:v>
                </c:pt>
                <c:pt idx="3">
                  <c:v>337.59253147248808</c:v>
                </c:pt>
                <c:pt idx="4">
                  <c:v>623.33665120678825</c:v>
                </c:pt>
                <c:pt idx="5">
                  <c:v>1069.247655158651</c:v>
                </c:pt>
                <c:pt idx="6">
                  <c:v>560.1773334523491</c:v>
                </c:pt>
                <c:pt idx="7">
                  <c:v>392.38071407347167</c:v>
                </c:pt>
                <c:pt idx="8">
                  <c:v>327.13941490383905</c:v>
                </c:pt>
                <c:pt idx="9">
                  <c:v>403.64183932405678</c:v>
                </c:pt>
                <c:pt idx="10">
                  <c:v>721.85010861694423</c:v>
                </c:pt>
                <c:pt idx="11">
                  <c:v>752.43307362575149</c:v>
                </c:pt>
                <c:pt idx="12">
                  <c:v>365.33902323376009</c:v>
                </c:pt>
                <c:pt idx="13">
                  <c:v>460.78918596560976</c:v>
                </c:pt>
                <c:pt idx="14">
                  <c:v>483.2408136608978</c:v>
                </c:pt>
                <c:pt idx="15">
                  <c:v>497.34562727018721</c:v>
                </c:pt>
                <c:pt idx="16">
                  <c:v>577.32815484675177</c:v>
                </c:pt>
                <c:pt idx="17">
                  <c:v>269.85328365160689</c:v>
                </c:pt>
                <c:pt idx="18">
                  <c:v>283.18949925068472</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layout/>
              <c:tx>
                <c:rich>
                  <a:bodyPr/>
                  <a:lstStyle/>
                  <a:p>
                    <a:r>
                      <a:rPr lang="en-GB"/>
                      <a:t>Somerset</a:t>
                    </a:r>
                  </a:p>
                </c:rich>
              </c:tx>
              <c:showLegendKey val="0"/>
              <c:showVal val="0"/>
              <c:showCatName val="0"/>
              <c:showSerName val="1"/>
              <c:showPercent val="0"/>
              <c:showBubbleSize val="0"/>
            </c:dLbl>
            <c:dLbl>
              <c:idx val="1"/>
              <c:layout/>
              <c:tx>
                <c:rich>
                  <a:bodyPr/>
                  <a:lstStyle/>
                  <a:p>
                    <a:r>
                      <a:rPr lang="en-GB"/>
                      <a:t>Swindon</a:t>
                    </a:r>
                  </a:p>
                </c:rich>
              </c:tx>
              <c:dLblPos val="l"/>
              <c:showLegendKey val="0"/>
              <c:showVal val="0"/>
              <c:showCatName val="0"/>
              <c:showSerName val="1"/>
              <c:showPercent val="0"/>
              <c:showBubbleSize val="0"/>
            </c:dLbl>
            <c:dLbl>
              <c:idx val="2"/>
              <c:layout/>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(Assessments!$AR$53,Assessments!$AR$56,Assessments!$AR$57)</c:f>
              <c:numCache>
                <c:formatCode>0.0</c:formatCode>
                <c:ptCount val="3"/>
                <c:pt idx="0">
                  <c:v>14.8</c:v>
                </c:pt>
                <c:pt idx="1">
                  <c:v>17.2</c:v>
                </c:pt>
                <c:pt idx="2">
                  <c:v>24.1</c:v>
                </c:pt>
              </c:numCache>
            </c:numRef>
          </c:xVal>
          <c:yVal>
            <c:numRef>
              <c:f>(Assessments!$AQ$53,Assessments!$AQ$56,Assessments!$AQ$57)</c:f>
              <c:numCache>
                <c:formatCode>0.0</c:formatCode>
                <c:ptCount val="3"/>
                <c:pt idx="0">
                  <c:v>507.33984956941975</c:v>
                </c:pt>
                <c:pt idx="1">
                  <c:v>631.15936223059055</c:v>
                </c:pt>
                <c:pt idx="2">
                  <c:v>741.62961797222329</c:v>
                </c:pt>
              </c:numCache>
            </c:numRef>
          </c:yVal>
          <c:smooth val="0"/>
        </c:ser>
        <c:ser>
          <c:idx val="1"/>
          <c:order val="2"/>
          <c:tx>
            <c:strRef>
              <c:f>Assessments!$Z$4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Assessments!$Y$40</c:f>
              <c:numCache>
                <c:formatCode>0.00</c:formatCode>
                <c:ptCount val="1"/>
                <c:pt idx="0">
                  <c:v>#N/A</c:v>
                </c:pt>
              </c:numCache>
            </c:numRef>
          </c:xVal>
          <c:yVal>
            <c:numRef>
              <c:f>Assessments!$Z$40</c:f>
              <c:numCache>
                <c:formatCode>0.00</c:formatCode>
                <c:ptCount val="1"/>
                <c:pt idx="0">
                  <c:v>#N/A</c:v>
                </c:pt>
              </c:numCache>
            </c:numRef>
          </c:yVal>
          <c:smooth val="0"/>
        </c:ser>
        <c:ser>
          <c:idx val="2"/>
          <c:order val="3"/>
          <c:tx>
            <c:strRef>
              <c:f>Assessments!$X$65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7.2753943140285035E-2"/>
                  <c:y val="4.3806057576950427E-2"/>
                </c:manualLayout>
              </c:layout>
              <c:tx>
                <c:rich>
                  <a:bodyPr/>
                  <a:lstStyle/>
                  <a:p>
                    <a:r>
                      <a:rPr lang="en-US" sz="900">
                        <a:solidFill>
                          <a:srgbClr val="C00000"/>
                        </a:solidFill>
                      </a:rPr>
                      <a:t>r² = 0.067</a:t>
                    </a:r>
                    <a:endParaRPr lang="en-US"/>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Assessments!$AA$65:$AA$66</c:f>
              <c:numCache>
                <c:formatCode>General</c:formatCode>
                <c:ptCount val="2"/>
                <c:pt idx="0" formatCode="#,##0.0">
                  <c:v>5</c:v>
                </c:pt>
                <c:pt idx="1">
                  <c:v>35</c:v>
                </c:pt>
              </c:numCache>
            </c:numRef>
          </c:xVal>
          <c:yVal>
            <c:numRef>
              <c:f>Assessments!$AB$65:$AB$66</c:f>
              <c:numCache>
                <c:formatCode>0.0</c:formatCode>
                <c:ptCount val="2"/>
                <c:pt idx="0">
                  <c:v>426.67400000000004</c:v>
                </c:pt>
                <c:pt idx="1">
                  <c:v>698.25800000000004</c:v>
                </c:pt>
              </c:numCache>
            </c:numRef>
          </c:yVal>
          <c:smooth val="0"/>
        </c:ser>
        <c:ser>
          <c:idx val="4"/>
          <c:order val="4"/>
          <c:tx>
            <c:strRef>
              <c:f>Assessments!$B$31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Assessments!$R$31</c:f>
              <c:numCache>
                <c:formatCode>0.0</c:formatCode>
                <c:ptCount val="1"/>
                <c:pt idx="0">
                  <c:v>14.45223640702325</c:v>
                </c:pt>
              </c:numCache>
            </c:numRef>
          </c:xVal>
          <c:yVal>
            <c:numRef>
              <c:f>Assessments!$O$31</c:f>
              <c:numCache>
                <c:formatCode>0.0</c:formatCode>
                <c:ptCount val="1"/>
                <c:pt idx="0">
                  <c:v>525.85956329271835</c:v>
                </c:pt>
              </c:numCache>
            </c:numRef>
          </c:yVal>
          <c:smooth val="0"/>
        </c:ser>
        <c:dLbls>
          <c:showLegendKey val="0"/>
          <c:showVal val="0"/>
          <c:showCatName val="0"/>
          <c:showSerName val="0"/>
          <c:showPercent val="0"/>
          <c:showBubbleSize val="0"/>
        </c:dLbls>
        <c:axId val="200919680"/>
        <c:axId val="210773120"/>
      </c:scatterChart>
      <c:valAx>
        <c:axId val="200919680"/>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0773120"/>
        <c:crosses val="autoZero"/>
        <c:crossBetween val="midCat"/>
      </c:valAx>
      <c:valAx>
        <c:axId val="210773120"/>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Assessments </a:t>
                </a:r>
                <a:r>
                  <a:rPr lang="en-GB" baseline="0"/>
                  <a:t> </a:t>
                </a:r>
                <a:r>
                  <a:rPr lang="en-GB"/>
                  <a:t>per 10,000 0-17 year olds</a:t>
                </a:r>
              </a:p>
            </c:rich>
          </c:tx>
          <c:layout>
            <c:manualLayout>
              <c:xMode val="edge"/>
              <c:yMode val="edge"/>
              <c:x val="4.1925738303691069E-2"/>
              <c:y val="0.185723854985677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91968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per 10,000 0-17 year olds</a:t>
            </a:r>
          </a:p>
        </c:rich>
      </c:tx>
      <c:layout>
        <c:manualLayout>
          <c:xMode val="edge"/>
          <c:yMode val="edge"/>
          <c:x val="0.18218833317772035"/>
          <c:y val="2.0819646288138149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5696588849452193"/>
        </c:manualLayout>
      </c:layout>
      <c:lineChart>
        <c:grouping val="standard"/>
        <c:varyColors val="0"/>
        <c:ser>
          <c:idx val="0"/>
          <c:order val="0"/>
          <c:tx>
            <c:strRef>
              <c:f>Assessments!$AL$40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Assessments!$D$8:$H$8</c:f>
              <c:numCache>
                <c:formatCode>General</c:formatCode>
                <c:ptCount val="5"/>
                <c:pt idx="0">
                  <c:v>2014</c:v>
                </c:pt>
                <c:pt idx="1">
                  <c:v>2015</c:v>
                </c:pt>
                <c:pt idx="2">
                  <c:v>2016</c:v>
                </c:pt>
                <c:pt idx="3">
                  <c:v>2017</c:v>
                </c:pt>
                <c:pt idx="4">
                  <c:v>2018</c:v>
                </c:pt>
              </c:numCache>
            </c:numRef>
          </c:cat>
          <c:val>
            <c:numRef>
              <c:f>Assessments!$AM$40:$AQ$40</c:f>
              <c:numCache>
                <c:formatCode>0.0</c:formatCode>
                <c:ptCount val="5"/>
                <c:pt idx="0">
                  <c:v>363.46863468634689</c:v>
                </c:pt>
                <c:pt idx="1">
                  <c:v>354.67625899280574</c:v>
                </c:pt>
                <c:pt idx="2">
                  <c:v>389.71631205673754</c:v>
                </c:pt>
                <c:pt idx="3">
                  <c:v>494.42748633491874</c:v>
                </c:pt>
                <c:pt idx="4">
                  <c:v>594.92002422428845</c:v>
                </c:pt>
              </c:numCache>
            </c:numRef>
          </c:val>
          <c:smooth val="0"/>
        </c:ser>
        <c:ser>
          <c:idx val="1"/>
          <c:order val="1"/>
          <c:tx>
            <c:strRef>
              <c:f>Assessments!$AL$41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Assessments!$AM$41:$AQ$41</c:f>
              <c:numCache>
                <c:formatCode>0.0</c:formatCode>
                <c:ptCount val="5"/>
                <c:pt idx="0">
                  <c:v>513.66336633663366</c:v>
                </c:pt>
                <c:pt idx="1">
                  <c:v>543.13725490196077</c:v>
                </c:pt>
                <c:pt idx="2">
                  <c:v>560.15625</c:v>
                </c:pt>
                <c:pt idx="3">
                  <c:v>588.91207269749032</c:v>
                </c:pt>
                <c:pt idx="4">
                  <c:v>529.80522155312769</c:v>
                </c:pt>
              </c:numCache>
            </c:numRef>
          </c:val>
          <c:smooth val="0"/>
        </c:ser>
        <c:ser>
          <c:idx val="2"/>
          <c:order val="2"/>
          <c:tx>
            <c:strRef>
              <c:f>Assessments!$AL$42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Assessments!$AM$42:$AQ$42</c:f>
              <c:numCache>
                <c:formatCode>0.0</c:formatCode>
                <c:ptCount val="5"/>
                <c:pt idx="0">
                  <c:v>383.07823129251699</c:v>
                </c:pt>
                <c:pt idx="1">
                  <c:v>519.76450798990754</c:v>
                </c:pt>
                <c:pt idx="2">
                  <c:v>464.09618573797678</c:v>
                </c:pt>
                <c:pt idx="3">
                  <c:v>546.62247862198763</c:v>
                </c:pt>
                <c:pt idx="4">
                  <c:v>679.74812106439163</c:v>
                </c:pt>
              </c:numCache>
            </c:numRef>
          </c:val>
          <c:smooth val="0"/>
        </c:ser>
        <c:ser>
          <c:idx val="5"/>
          <c:order val="3"/>
          <c:tx>
            <c:strRef>
              <c:f>Assessments!$AL$43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Assessments!$AM$43:$AQ$43</c:f>
              <c:numCache>
                <c:formatCode>0.0</c:formatCode>
                <c:ptCount val="5"/>
                <c:pt idx="0">
                  <c:v>343.70229007633588</c:v>
                </c:pt>
                <c:pt idx="1">
                  <c:v>254.64895635673622</c:v>
                </c:pt>
                <c:pt idx="2">
                  <c:v>234.65533522190745</c:v>
                </c:pt>
                <c:pt idx="3">
                  <c:v>296.72497946621604</c:v>
                </c:pt>
                <c:pt idx="4">
                  <c:v>337.59253147248808</c:v>
                </c:pt>
              </c:numCache>
            </c:numRef>
          </c:val>
          <c:smooth val="0"/>
        </c:ser>
        <c:ser>
          <c:idx val="9"/>
          <c:order val="4"/>
          <c:tx>
            <c:strRef>
              <c:f>Assessments!$AL$44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Assessments!$AM$44:$AQ$44</c:f>
              <c:numCache>
                <c:formatCode>0.0</c:formatCode>
                <c:ptCount val="5"/>
                <c:pt idx="0">
                  <c:v>610.53565094004966</c:v>
                </c:pt>
                <c:pt idx="1">
                  <c:v>607.31793960923619</c:v>
                </c:pt>
                <c:pt idx="2">
                  <c:v>600.60305072720826</c:v>
                </c:pt>
                <c:pt idx="3">
                  <c:v>701.61355913024113</c:v>
                </c:pt>
                <c:pt idx="4">
                  <c:v>623.33665120678825</c:v>
                </c:pt>
              </c:numCache>
            </c:numRef>
          </c:val>
          <c:smooth val="0"/>
        </c:ser>
        <c:ser>
          <c:idx val="10"/>
          <c:order val="5"/>
          <c:tx>
            <c:strRef>
              <c:f>Assessments!$AL$45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Assessments!$AM$45:$AQ$45</c:f>
              <c:numCache>
                <c:formatCode>0.0</c:formatCode>
                <c:ptCount val="5"/>
                <c:pt idx="0">
                  <c:v>687.98449612403101</c:v>
                </c:pt>
                <c:pt idx="1">
                  <c:v>803.13725490196077</c:v>
                </c:pt>
                <c:pt idx="2">
                  <c:v>946.64031620553351</c:v>
                </c:pt>
                <c:pt idx="3">
                  <c:v>1067.8571428571429</c:v>
                </c:pt>
                <c:pt idx="4">
                  <c:v>1069.247655158651</c:v>
                </c:pt>
              </c:numCache>
            </c:numRef>
          </c:val>
          <c:smooth val="0"/>
        </c:ser>
        <c:ser>
          <c:idx val="11"/>
          <c:order val="6"/>
          <c:tx>
            <c:strRef>
              <c:f>Assessments!$AL$46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Assessments!$AM$46:$AQ$46</c:f>
              <c:numCache>
                <c:formatCode>0.0</c:formatCode>
                <c:ptCount val="5"/>
                <c:pt idx="0">
                  <c:v>643.30466830466833</c:v>
                </c:pt>
                <c:pt idx="1">
                  <c:v>481.32805360950351</c:v>
                </c:pt>
                <c:pt idx="2">
                  <c:v>497.57869249394673</c:v>
                </c:pt>
                <c:pt idx="3">
                  <c:v>491.40506538155506</c:v>
                </c:pt>
                <c:pt idx="4">
                  <c:v>560.1773334523491</c:v>
                </c:pt>
              </c:numCache>
            </c:numRef>
          </c:val>
          <c:smooth val="0"/>
        </c:ser>
        <c:ser>
          <c:idx val="12"/>
          <c:order val="7"/>
          <c:tx>
            <c:strRef>
              <c:f>Assessments!$AL$47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Assessments!$AM$47:$AQ$47</c:f>
              <c:numCache>
                <c:formatCode>0.0</c:formatCode>
                <c:ptCount val="5"/>
                <c:pt idx="0">
                  <c:v>617.04545454545462</c:v>
                </c:pt>
                <c:pt idx="1">
                  <c:v>591.84</c:v>
                </c:pt>
                <c:pt idx="2">
                  <c:v>492.72151898734177</c:v>
                </c:pt>
                <c:pt idx="3">
                  <c:v>442.40702073881033</c:v>
                </c:pt>
                <c:pt idx="4">
                  <c:v>392.38071407347167</c:v>
                </c:pt>
              </c:numCache>
            </c:numRef>
          </c:val>
          <c:smooth val="0"/>
        </c:ser>
        <c:ser>
          <c:idx val="13"/>
          <c:order val="8"/>
          <c:tx>
            <c:strRef>
              <c:f>Assessments!$AL$48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Assessments!$AM$48:$AQ$48</c:f>
              <c:numCache>
                <c:formatCode>0.0</c:formatCode>
                <c:ptCount val="5"/>
                <c:pt idx="0">
                  <c:v>427.65625</c:v>
                </c:pt>
                <c:pt idx="1">
                  <c:v>306.74846625766872</c:v>
                </c:pt>
                <c:pt idx="2">
                  <c:v>315.7337367624811</c:v>
                </c:pt>
                <c:pt idx="3">
                  <c:v>374.85479403091773</c:v>
                </c:pt>
                <c:pt idx="4">
                  <c:v>327.13941490383905</c:v>
                </c:pt>
              </c:numCache>
            </c:numRef>
          </c:val>
          <c:smooth val="0"/>
        </c:ser>
        <c:ser>
          <c:idx val="15"/>
          <c:order val="9"/>
          <c:tx>
            <c:strRef>
              <c:f>Assessments!$AL$49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Assessments!$AM$49:$AQ$49</c:f>
              <c:numCache>
                <c:formatCode>0.0</c:formatCode>
                <c:ptCount val="5"/>
                <c:pt idx="0">
                  <c:v>370.77690662865285</c:v>
                </c:pt>
                <c:pt idx="1">
                  <c:v>266.78470254957506</c:v>
                </c:pt>
                <c:pt idx="2">
                  <c:v>388.99858956276444</c:v>
                </c:pt>
                <c:pt idx="3">
                  <c:v>470.26879500619322</c:v>
                </c:pt>
                <c:pt idx="4">
                  <c:v>403.64183932405678</c:v>
                </c:pt>
              </c:numCache>
            </c:numRef>
          </c:val>
          <c:smooth val="0"/>
        </c:ser>
        <c:ser>
          <c:idx val="16"/>
          <c:order val="10"/>
          <c:tx>
            <c:strRef>
              <c:f>Assessments!$AL$50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Assessments!$AM$50:$AQ$50</c:f>
              <c:numCache>
                <c:formatCode>0.0</c:formatCode>
                <c:ptCount val="5"/>
                <c:pt idx="0">
                  <c:v>741.78403755868533</c:v>
                </c:pt>
                <c:pt idx="1">
                  <c:v>334.79262672811058</c:v>
                </c:pt>
                <c:pt idx="2">
                  <c:v>425.79908675799089</c:v>
                </c:pt>
                <c:pt idx="3">
                  <c:v>670.4545454545455</c:v>
                </c:pt>
                <c:pt idx="4">
                  <c:v>721.85010861694423</c:v>
                </c:pt>
              </c:numCache>
            </c:numRef>
          </c:val>
          <c:smooth val="0"/>
        </c:ser>
        <c:ser>
          <c:idx val="17"/>
          <c:order val="11"/>
          <c:tx>
            <c:strRef>
              <c:f>Assessments!$AL$51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Assessments!$AM$51:$AQ$51</c:f>
              <c:numCache>
                <c:formatCode>0.0</c:formatCode>
                <c:ptCount val="5"/>
                <c:pt idx="0">
                  <c:v>613.54466858789624</c:v>
                </c:pt>
                <c:pt idx="1">
                  <c:v>333.42618384401112</c:v>
                </c:pt>
                <c:pt idx="2">
                  <c:v>596.42857142857144</c:v>
                </c:pt>
                <c:pt idx="3">
                  <c:v>803.74443928932078</c:v>
                </c:pt>
                <c:pt idx="4">
                  <c:v>752.43307362575149</c:v>
                </c:pt>
              </c:numCache>
            </c:numRef>
          </c:val>
          <c:smooth val="0"/>
        </c:ser>
        <c:ser>
          <c:idx val="19"/>
          <c:order val="12"/>
          <c:tx>
            <c:strRef>
              <c:f>Assessments!$AL$52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Assessments!$AM$52:$AQ$52</c:f>
              <c:numCache>
                <c:formatCode>0.0</c:formatCode>
                <c:ptCount val="5"/>
                <c:pt idx="0">
                  <c:v>888.17480719794344</c:v>
                </c:pt>
                <c:pt idx="1">
                  <c:v>470.92731829573938</c:v>
                </c:pt>
                <c:pt idx="2">
                  <c:v>637.4384236453202</c:v>
                </c:pt>
                <c:pt idx="3">
                  <c:v>564.89397671835002</c:v>
                </c:pt>
                <c:pt idx="4">
                  <c:v>365.33902323376009</c:v>
                </c:pt>
              </c:numCache>
            </c:numRef>
          </c:val>
          <c:smooth val="0"/>
        </c:ser>
        <c:ser>
          <c:idx val="3"/>
          <c:order val="13"/>
          <c:tx>
            <c:strRef>
              <c:f>Assessments!$AL$53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Assessments!$AM$53:$AQ$53</c:f>
              <c:numCache>
                <c:formatCode>0.0</c:formatCode>
                <c:ptCount val="5"/>
                <c:pt idx="0">
                  <c:v>600.73529411764707</c:v>
                </c:pt>
                <c:pt idx="1">
                  <c:v>415.42699724517905</c:v>
                </c:pt>
                <c:pt idx="2">
                  <c:v>404.12087912087912</c:v>
                </c:pt>
                <c:pt idx="3">
                  <c:v>450.86041018813211</c:v>
                </c:pt>
                <c:pt idx="4">
                  <c:v>507.33984956941975</c:v>
                </c:pt>
              </c:numCache>
            </c:numRef>
          </c:val>
          <c:smooth val="0"/>
        </c:ser>
        <c:ser>
          <c:idx val="20"/>
          <c:order val="14"/>
          <c:tx>
            <c:strRef>
              <c:f>Assessments!$AL$54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Assessments!$AM$54:$AQ$54</c:f>
              <c:numCache>
                <c:formatCode>0.0</c:formatCode>
                <c:ptCount val="5"/>
                <c:pt idx="0">
                  <c:v>#N/A</c:v>
                </c:pt>
                <c:pt idx="1">
                  <c:v>433.95061728395063</c:v>
                </c:pt>
                <c:pt idx="2">
                  <c:v>616.869918699187</c:v>
                </c:pt>
                <c:pt idx="3">
                  <c:v>532.05346586240762</c:v>
                </c:pt>
                <c:pt idx="4">
                  <c:v>460.78918596560976</c:v>
                </c:pt>
              </c:numCache>
            </c:numRef>
          </c:val>
          <c:smooth val="0"/>
        </c:ser>
        <c:ser>
          <c:idx val="22"/>
          <c:order val="15"/>
          <c:tx>
            <c:strRef>
              <c:f>Assessments!$AL$55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Assessments!$AM$55:$AQ$55</c:f>
              <c:numCache>
                <c:formatCode>0.0</c:formatCode>
                <c:ptCount val="5"/>
                <c:pt idx="0">
                  <c:v>453.41269841269843</c:v>
                </c:pt>
                <c:pt idx="1">
                  <c:v>353.22073841319718</c:v>
                </c:pt>
                <c:pt idx="2">
                  <c:v>474.80499219968794</c:v>
                </c:pt>
                <c:pt idx="3">
                  <c:v>464.17167633851869</c:v>
                </c:pt>
                <c:pt idx="4">
                  <c:v>483.2408136608978</c:v>
                </c:pt>
              </c:numCache>
            </c:numRef>
          </c:val>
          <c:smooth val="0"/>
        </c:ser>
        <c:ser>
          <c:idx val="7"/>
          <c:order val="16"/>
          <c:tx>
            <c:strRef>
              <c:f>Assessments!$AL$56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Assessments!$AM$56:$AQ$56</c:f>
              <c:numCache>
                <c:formatCode>0.0</c:formatCode>
                <c:ptCount val="5"/>
                <c:pt idx="0">
                  <c:v>479.54070981210856</c:v>
                </c:pt>
                <c:pt idx="1">
                  <c:v>545.06172839506166</c:v>
                </c:pt>
                <c:pt idx="2">
                  <c:v>640.61224489795916</c:v>
                </c:pt>
                <c:pt idx="3">
                  <c:v>605.313169706037</c:v>
                </c:pt>
                <c:pt idx="4">
                  <c:v>631.15936223059055</c:v>
                </c:pt>
              </c:numCache>
            </c:numRef>
          </c:val>
          <c:smooth val="0"/>
        </c:ser>
        <c:ser>
          <c:idx val="8"/>
          <c:order val="17"/>
          <c:tx>
            <c:strRef>
              <c:f>Assessments!$AL$57</c:f>
              <c:strCache>
                <c:ptCount val="1"/>
                <c:pt idx="0">
                  <c:v>Torbay</c:v>
                </c:pt>
              </c:strCache>
            </c:strRef>
          </c:tx>
          <c:spPr>
            <a:ln w="15875"/>
          </c:spPr>
          <c:marker>
            <c:symbol val="circle"/>
            <c:size val="5"/>
            <c:spPr>
              <a:solidFill>
                <a:schemeClr val="accent3">
                  <a:lumMod val="20000"/>
                  <a:lumOff val="80000"/>
                </a:schemeClr>
              </a:solidFill>
            </c:spPr>
          </c:marker>
          <c:val>
            <c:numRef>
              <c:f>Assessments!$AM$57:$AQ$57</c:f>
              <c:numCache>
                <c:formatCode>0.0</c:formatCode>
                <c:ptCount val="5"/>
                <c:pt idx="0">
                  <c:v>970.96774193548379</c:v>
                </c:pt>
                <c:pt idx="1">
                  <c:v>592.82868525896413</c:v>
                </c:pt>
                <c:pt idx="2">
                  <c:v>618.2539682539682</c:v>
                </c:pt>
                <c:pt idx="3">
                  <c:v>398.84917037796083</c:v>
                </c:pt>
                <c:pt idx="4">
                  <c:v>741.62961797222329</c:v>
                </c:pt>
              </c:numCache>
            </c:numRef>
          </c:val>
          <c:smooth val="0"/>
        </c:ser>
        <c:ser>
          <c:idx val="23"/>
          <c:order val="18"/>
          <c:tx>
            <c:strRef>
              <c:f>Assessments!$AL$58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Assessments!$AM$58:$AQ$58</c:f>
              <c:numCache>
                <c:formatCode>0.0</c:formatCode>
                <c:ptCount val="5"/>
                <c:pt idx="0">
                  <c:v>419.32773109243698</c:v>
                </c:pt>
                <c:pt idx="1">
                  <c:v>249.15730337078651</c:v>
                </c:pt>
                <c:pt idx="2">
                  <c:v>401.68067226890759</c:v>
                </c:pt>
                <c:pt idx="3">
                  <c:v>418.30174501127158</c:v>
                </c:pt>
                <c:pt idx="4">
                  <c:v>497.34562727018721</c:v>
                </c:pt>
              </c:numCache>
            </c:numRef>
          </c:val>
          <c:smooth val="0"/>
        </c:ser>
        <c:ser>
          <c:idx val="24"/>
          <c:order val="19"/>
          <c:tx>
            <c:strRef>
              <c:f>Assessments!$AL$59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Assessments!$AM$59:$AQ$59</c:f>
              <c:numCache>
                <c:formatCode>0.0</c:formatCode>
                <c:ptCount val="5"/>
                <c:pt idx="0">
                  <c:v>432.45508982035926</c:v>
                </c:pt>
                <c:pt idx="1">
                  <c:v>307.16824644549763</c:v>
                </c:pt>
                <c:pt idx="2">
                  <c:v>438.08685446009389</c:v>
                </c:pt>
                <c:pt idx="3">
                  <c:v>444.39657430965116</c:v>
                </c:pt>
                <c:pt idx="4">
                  <c:v>577.32815484675177</c:v>
                </c:pt>
              </c:numCache>
            </c:numRef>
          </c:val>
          <c:smooth val="0"/>
        </c:ser>
        <c:ser>
          <c:idx val="25"/>
          <c:order val="20"/>
          <c:tx>
            <c:strRef>
              <c:f>Assessments!$AL$60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Assessments!$AM$60:$AQ$60</c:f>
              <c:numCache>
                <c:formatCode>0.0</c:formatCode>
                <c:ptCount val="5"/>
                <c:pt idx="0">
                  <c:v>253.75375375375376</c:v>
                </c:pt>
                <c:pt idx="1">
                  <c:v>233.23353293413174</c:v>
                </c:pt>
                <c:pt idx="2">
                  <c:v>274.18397626112761</c:v>
                </c:pt>
                <c:pt idx="3">
                  <c:v>195.45880149812734</c:v>
                </c:pt>
                <c:pt idx="4">
                  <c:v>269.85328365160689</c:v>
                </c:pt>
              </c:numCache>
            </c:numRef>
          </c:val>
          <c:smooth val="0"/>
        </c:ser>
        <c:ser>
          <c:idx val="26"/>
          <c:order val="21"/>
          <c:tx>
            <c:strRef>
              <c:f>Assessments!$AL$61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Assessments!$AM$61:$AQ$61</c:f>
              <c:numCache>
                <c:formatCode>0.0</c:formatCode>
                <c:ptCount val="5"/>
                <c:pt idx="0">
                  <c:v>331.21546961325964</c:v>
                </c:pt>
                <c:pt idx="1">
                  <c:v>240.37940379403793</c:v>
                </c:pt>
                <c:pt idx="2">
                  <c:v>302.41286863270778</c:v>
                </c:pt>
                <c:pt idx="3">
                  <c:v>230.14808385281043</c:v>
                </c:pt>
                <c:pt idx="4">
                  <c:v>283.18949925068472</c:v>
                </c:pt>
              </c:numCache>
            </c:numRef>
          </c:val>
          <c:smooth val="0"/>
        </c:ser>
        <c:ser>
          <c:idx val="4"/>
          <c:order val="22"/>
          <c:tx>
            <c:strRef>
              <c:f>Assessments!$AL$62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Assessments!$D$8:$H$8</c:f>
              <c:numCache>
                <c:formatCode>General</c:formatCode>
                <c:ptCount val="5"/>
                <c:pt idx="0">
                  <c:v>2014</c:v>
                </c:pt>
                <c:pt idx="1">
                  <c:v>2015</c:v>
                </c:pt>
                <c:pt idx="2">
                  <c:v>2016</c:v>
                </c:pt>
                <c:pt idx="3">
                  <c:v>2017</c:v>
                </c:pt>
                <c:pt idx="4">
                  <c:v>2018</c:v>
                </c:pt>
              </c:numCache>
            </c:numRef>
          </c:cat>
          <c:val>
            <c:numRef>
              <c:f>Assessments!$AM$62:$AQ$62</c:f>
              <c:numCache>
                <c:formatCode>0.0</c:formatCode>
                <c:ptCount val="5"/>
                <c:pt idx="0">
                  <c:v>499.74030103879579</c:v>
                </c:pt>
                <c:pt idx="1">
                  <c:v>422.22455624409201</c:v>
                </c:pt>
                <c:pt idx="2">
                  <c:v>476.09613680204365</c:v>
                </c:pt>
                <c:pt idx="3">
                  <c:v>510.96812372070457</c:v>
                </c:pt>
                <c:pt idx="4">
                  <c:v>525.85956329271835</c:v>
                </c:pt>
              </c:numCache>
            </c:numRef>
          </c:val>
          <c:smooth val="0"/>
        </c:ser>
        <c:ser>
          <c:idx val="14"/>
          <c:order val="23"/>
          <c:tx>
            <c:strRef>
              <c:f>Assessments!$AL$63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Assessments!$AM$63:$AQ$63</c:f>
              <c:numCache>
                <c:formatCode>0.0</c:formatCode>
                <c:ptCount val="5"/>
                <c:pt idx="0">
                  <c:v>570.13302668374149</c:v>
                </c:pt>
                <c:pt idx="1">
                  <c:v>475.17620366296575</c:v>
                </c:pt>
                <c:pt idx="2">
                  <c:v>489.50581868315362</c:v>
                </c:pt>
                <c:pt idx="3">
                  <c:v>514.98153161779737</c:v>
                </c:pt>
                <c:pt idx="4">
                  <c:v>531.80440444841918</c:v>
                </c:pt>
              </c:numCache>
            </c:numRef>
          </c:val>
          <c:smooth val="0"/>
        </c:ser>
        <c:ser>
          <c:idx val="6"/>
          <c:order val="24"/>
          <c:tx>
            <c:strRef>
              <c:f>Assessments!$AL$64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Assessments!$D$8:$H$8</c:f>
              <c:numCache>
                <c:formatCode>General</c:formatCode>
                <c:ptCount val="5"/>
                <c:pt idx="0">
                  <c:v>2014</c:v>
                </c:pt>
                <c:pt idx="1">
                  <c:v>2015</c:v>
                </c:pt>
                <c:pt idx="2">
                  <c:v>2016</c:v>
                </c:pt>
                <c:pt idx="3">
                  <c:v>2017</c:v>
                </c:pt>
                <c:pt idx="4">
                  <c:v>2018</c:v>
                </c:pt>
              </c:numCache>
            </c:numRef>
          </c:cat>
          <c:val>
            <c:numRef>
              <c:f>Assessments!$AM$64:$AQ$64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0364032"/>
        <c:axId val="200365952"/>
      </c:lineChart>
      <c:catAx>
        <c:axId val="2003640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365952"/>
        <c:crosses val="autoZero"/>
        <c:auto val="1"/>
        <c:lblAlgn val="ctr"/>
        <c:lblOffset val="100"/>
        <c:tickLblSkip val="1"/>
        <c:tickMarkSkip val="1"/>
        <c:noMultiLvlLbl val="0"/>
      </c:catAx>
      <c:valAx>
        <c:axId val="20036595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3640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Assessments!$Z$4</c:f>
              <c:strCache>
                <c:ptCount val="1"/>
                <c:pt idx="0">
                  <c:v>Selected LA- (none)</c:v>
                </c:pt>
              </c:strCache>
            </c:strRef>
          </c:tx>
          <c:spPr>
            <a:solidFill>
              <a:srgbClr val="66FF99"/>
            </a:solidFill>
            <a:ln>
              <a:solidFill>
                <a:schemeClr val="tx1">
                  <a:lumMod val="75000"/>
                  <a:lumOff val="25000"/>
                </a:schemeClr>
              </a:solidFill>
            </a:ln>
          </c:spPr>
          <c:invertIfNegative val="0"/>
          <c:val>
            <c:numRef>
              <c:f>Assessments!$X$70:$AB$70</c:f>
              <c:numCache>
                <c:formatCode>0.0</c:formatCode>
                <c:ptCount val="5"/>
                <c:pt idx="0">
                  <c:v>#N/A</c:v>
                </c:pt>
                <c:pt idx="1">
                  <c:v>#N/A</c:v>
                </c:pt>
                <c:pt idx="2">
                  <c:v>#N/A</c:v>
                </c:pt>
                <c:pt idx="3">
                  <c:v>#N/A</c:v>
                </c:pt>
                <c:pt idx="4">
                  <c:v>#N/A</c:v>
                </c:pt>
              </c:numCache>
            </c:numRef>
          </c:val>
        </c:ser>
        <c:ser>
          <c:idx val="4"/>
          <c:order val="1"/>
          <c:tx>
            <c:strRef>
              <c:f>Assessments!$B$31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Assessments!$K$8:$O$8</c:f>
              <c:numCache>
                <c:formatCode>General</c:formatCode>
                <c:ptCount val="5"/>
                <c:pt idx="0">
                  <c:v>2014</c:v>
                </c:pt>
                <c:pt idx="1">
                  <c:v>2015</c:v>
                </c:pt>
                <c:pt idx="2">
                  <c:v>2016</c:v>
                </c:pt>
                <c:pt idx="3">
                  <c:v>2017</c:v>
                </c:pt>
                <c:pt idx="4">
                  <c:v>2018</c:v>
                </c:pt>
              </c:numCache>
            </c:numRef>
          </c:cat>
          <c:val>
            <c:numRef>
              <c:f>Assessments!$K$31:$O$31</c:f>
              <c:numCache>
                <c:formatCode>0.0</c:formatCode>
                <c:ptCount val="5"/>
                <c:pt idx="0">
                  <c:v>499.74030103879579</c:v>
                </c:pt>
                <c:pt idx="1">
                  <c:v>422.22455624409201</c:v>
                </c:pt>
                <c:pt idx="2">
                  <c:v>476.09613680204365</c:v>
                </c:pt>
                <c:pt idx="3">
                  <c:v>510.96812372070457</c:v>
                </c:pt>
                <c:pt idx="4">
                  <c:v>525.85956329271835</c:v>
                </c:pt>
              </c:numCache>
            </c:numRef>
          </c:val>
        </c:ser>
        <c:ser>
          <c:idx val="0"/>
          <c:order val="2"/>
          <c:tx>
            <c:strRef>
              <c:f>Assessments!$B$32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Assessments!$K$32:$O$32</c:f>
              <c:numCache>
                <c:formatCode>0.0</c:formatCode>
                <c:ptCount val="5"/>
                <c:pt idx="0">
                  <c:v>570.13302668374149</c:v>
                </c:pt>
                <c:pt idx="1">
                  <c:v>475.17620366296575</c:v>
                </c:pt>
                <c:pt idx="2">
                  <c:v>489.50581868315362</c:v>
                </c:pt>
                <c:pt idx="3">
                  <c:v>514.98153161779737</c:v>
                </c:pt>
                <c:pt idx="4">
                  <c:v>531.80440444841918</c:v>
                </c:pt>
              </c:numCache>
            </c:numRef>
          </c:val>
        </c:ser>
        <c:dLbls>
          <c:showLegendKey val="0"/>
          <c:showVal val="0"/>
          <c:showCatName val="0"/>
          <c:showSerName val="0"/>
          <c:showPercent val="0"/>
          <c:showBubbleSize val="0"/>
        </c:dLbls>
        <c:gapWidth val="100"/>
        <c:axId val="200408064"/>
        <c:axId val="200475392"/>
      </c:barChart>
      <c:catAx>
        <c:axId val="200408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475392"/>
        <c:crosses val="autoZero"/>
        <c:auto val="1"/>
        <c:lblAlgn val="ctr"/>
        <c:lblOffset val="100"/>
        <c:noMultiLvlLbl val="0"/>
      </c:catAx>
      <c:valAx>
        <c:axId val="20047539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40806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vs. IDACI</a:t>
            </a:r>
          </a:p>
        </c:rich>
      </c:tx>
      <c:layout>
        <c:manualLayout>
          <c:xMode val="edge"/>
          <c:yMode val="edge"/>
          <c:x val="0.30103802290200449"/>
          <c:y val="3.6125774697765456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Referrals!$X$67</c:f>
              <c:strCache>
                <c:ptCount val="1"/>
                <c:pt idx="0">
                  <c:v>National Trend 2018</c:v>
                </c:pt>
              </c:strCache>
            </c:strRef>
          </c:tx>
          <c:spPr>
            <a:ln w="15875">
              <a:solidFill>
                <a:schemeClr val="tx1">
                  <a:lumMod val="75000"/>
                  <a:lumOff val="25000"/>
                </a:schemeClr>
              </a:solidFill>
            </a:ln>
          </c:spPr>
          <c:marker>
            <c:symbol val="none"/>
          </c:marker>
          <c:dLbls>
            <c:dLbl>
              <c:idx val="0"/>
              <c:delete val="1"/>
            </c:dLbl>
            <c:dLbl>
              <c:idx val="1"/>
              <c:layout>
                <c:manualLayout>
                  <c:x val="-8.0996884735202487E-2"/>
                  <c:y val="-2.3809518229865431E-2"/>
                </c:manualLayout>
              </c:layout>
              <c:tx>
                <c:strRef>
                  <c:f>Referrals!$AC$67</c:f>
                  <c:strCache>
                    <c:ptCount val="1"/>
                    <c:pt idx="0">
                      <c:v>r² = 0.2393</c:v>
                    </c:pt>
                  </c:strCache>
                </c:strRef>
              </c:tx>
              <c:showLegendKey val="0"/>
              <c:showVal val="1"/>
              <c:showCatName val="0"/>
              <c:showSerName val="0"/>
              <c:showPercent val="0"/>
              <c:showBubbleSize val="0"/>
            </c:dLbl>
            <c:txPr>
              <a:bodyPr/>
              <a:lstStyle/>
              <a:p>
                <a:pPr>
                  <a:defRPr sz="900"/>
                </a:pPr>
                <a:endParaRPr lang="en-US"/>
              </a:p>
            </c:txPr>
            <c:showLegendKey val="0"/>
            <c:showVal val="1"/>
            <c:showCatName val="0"/>
            <c:showSerName val="0"/>
            <c:showPercent val="0"/>
            <c:showBubbleSize val="0"/>
            <c:showLeaderLines val="0"/>
          </c:dLbls>
          <c:xVal>
            <c:numRef>
              <c:f>Referrals!$AA$67:$AA$68</c:f>
              <c:numCache>
                <c:formatCode>General</c:formatCode>
                <c:ptCount val="2"/>
                <c:pt idx="0" formatCode="#,##0.0">
                  <c:v>5</c:v>
                </c:pt>
                <c:pt idx="1">
                  <c:v>35</c:v>
                </c:pt>
              </c:numCache>
            </c:numRef>
          </c:xVal>
          <c:yVal>
            <c:numRef>
              <c:f>Referrals!$AB$67:$AB$68</c:f>
              <c:numCache>
                <c:formatCode>0.0</c:formatCode>
                <c:ptCount val="2"/>
                <c:pt idx="0">
                  <c:v>365.87096653258811</c:v>
                </c:pt>
                <c:pt idx="1">
                  <c:v>733.89503734144341</c:v>
                </c:pt>
              </c:numCache>
            </c:numRef>
          </c:yVal>
          <c:smooth val="1"/>
        </c:ser>
        <c:dLbls>
          <c:showLegendKey val="0"/>
          <c:showVal val="0"/>
          <c:showCatName val="0"/>
          <c:showSerName val="0"/>
          <c:showPercent val="0"/>
          <c:showBubbleSize val="0"/>
        </c:dLbls>
        <c:axId val="117437952"/>
        <c:axId val="117084160"/>
      </c:scatterChart>
      <c:scatterChart>
        <c:scatterStyle val="lineMarker"/>
        <c:varyColors val="0"/>
        <c:ser>
          <c:idx val="0"/>
          <c:order val="0"/>
          <c:tx>
            <c:strRef>
              <c:f>Referrals!$AQ$37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5634218289085547"/>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1.4749262536873156E-2"/>
                  <c:y val="0"/>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30008055176"/>
                  <c:y val="-1.9724901603847381E-2"/>
                </c:manualLayout>
              </c:layout>
              <c:tx>
                <c:rich>
                  <a:bodyPr/>
                  <a:lstStyle/>
                  <a:p>
                    <a:r>
                      <a:rPr lang="en-US"/>
                      <a:t>Buckinghamshire</a:t>
                    </a:r>
                  </a:p>
                </c:rich>
              </c:tx>
              <c:dLblPos val="r"/>
              <c:showLegendKey val="0"/>
              <c:showVal val="0"/>
              <c:showCatName val="1"/>
              <c:showSerName val="0"/>
              <c:showPercent val="0"/>
              <c:showBubbleSize val="0"/>
            </c:dLbl>
            <c:dLbl>
              <c:idx val="3"/>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dLblPos val="r"/>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dLblPos val="r"/>
              <c:showLegendKey val="0"/>
              <c:showVal val="0"/>
              <c:showCatName val="1"/>
              <c:showSerName val="0"/>
              <c:showPercent val="0"/>
              <c:showBubbleSize val="0"/>
            </c:dLbl>
            <c:dLbl>
              <c:idx val="8"/>
              <c:layout>
                <c:manualLayout>
                  <c:x val="-0.13768448191763641"/>
                  <c:y val="-5.9656958397022227E-3"/>
                </c:manualLayout>
              </c:layout>
              <c:tx>
                <c:rich>
                  <a:bodyPr/>
                  <a:lstStyle/>
                  <a:p>
                    <a:r>
                      <a:rPr lang="en-US"/>
                      <a:t>Milton Keynes</a:t>
                    </a:r>
                  </a:p>
                </c:rich>
              </c:tx>
              <c:dLblPos val="r"/>
              <c:showLegendKey val="0"/>
              <c:showVal val="0"/>
              <c:showCatName val="1"/>
              <c:showSerName val="0"/>
              <c:showPercent val="0"/>
              <c:showBubbleSize val="0"/>
            </c:dLbl>
            <c:dLbl>
              <c:idx val="9"/>
              <c:layout/>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layout/>
              <c:tx>
                <c:rich>
                  <a:bodyPr/>
                  <a:lstStyle/>
                  <a:p>
                    <a:r>
                      <a:rPr lang="en-US"/>
                      <a:t>Reading</a:t>
                    </a:r>
                  </a:p>
                </c:rich>
              </c:tx>
              <c:dLblPos val="r"/>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dLblPos val="l"/>
              <c:showLegendKey val="0"/>
              <c:showVal val="0"/>
              <c:showCatName val="1"/>
              <c:showSerName val="0"/>
              <c:showPercent val="0"/>
              <c:showBubbleSize val="0"/>
            </c:dLbl>
            <c:dLbl>
              <c:idx val="14"/>
              <c:layout/>
              <c:tx>
                <c:rich>
                  <a:bodyPr/>
                  <a:lstStyle/>
                  <a:p>
                    <a:r>
                      <a:rPr lang="en-US"/>
                      <a:t>Surrey</a:t>
                    </a:r>
                  </a:p>
                </c:rich>
              </c:tx>
              <c:dLblPos val="l"/>
              <c:showLegendKey val="0"/>
              <c:showVal val="0"/>
              <c:showCatName val="1"/>
              <c:showSerName val="0"/>
              <c:showPercent val="0"/>
              <c:showBubbleSize val="0"/>
            </c:dLbl>
            <c:dLbl>
              <c:idx val="15"/>
              <c:layout/>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800544710491783"/>
                  <c:y val="1.3242527825470671E-2"/>
                </c:manualLayout>
              </c:layout>
              <c:tx>
                <c:rich>
                  <a:bodyPr/>
                  <a:lstStyle/>
                  <a:p>
                    <a:r>
                      <a:rPr lang="en-US"/>
                      <a:t>Windsor &amp; Maidenhead</a:t>
                    </a:r>
                  </a:p>
                </c:rich>
              </c:tx>
              <c:dLblPos val="r"/>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(Referrals!$AQ$40:$AQ$52,Referrals!$AQ$54:$AQ$55,Referrals!$AQ$58:$AQ$61)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(Referrals!$AP$40:$AP$52,Referrals!$AP$54:$AP$55,Referrals!$AP$58:$AP$61)</c:f>
              <c:numCache>
                <c:formatCode>0.0</c:formatCode>
                <c:ptCount val="19"/>
                <c:pt idx="0">
                  <c:v>647.9997150083716</c:v>
                </c:pt>
                <c:pt idx="1">
                  <c:v>655.93064082697481</c:v>
                </c:pt>
                <c:pt idx="2">
                  <c:v>839.89437334958347</c:v>
                </c:pt>
                <c:pt idx="3">
                  <c:v>411.80630864255738</c:v>
                </c:pt>
                <c:pt idx="4">
                  <c:v>568.80351835772319</c:v>
                </c:pt>
                <c:pt idx="5">
                  <c:v>882.85771303133106</c:v>
                </c:pt>
                <c:pt idx="6">
                  <c:v>576.42298193936142</c:v>
                </c:pt>
                <c:pt idx="7">
                  <c:v>408.48881034671507</c:v>
                </c:pt>
                <c:pt idx="8">
                  <c:v>348.72204236699338</c:v>
                </c:pt>
                <c:pt idx="9">
                  <c:v>475.02858258275006</c:v>
                </c:pt>
                <c:pt idx="10">
                  <c:v>643.78167994207092</c:v>
                </c:pt>
                <c:pt idx="11">
                  <c:v>708.48947240719269</c:v>
                </c:pt>
                <c:pt idx="12">
                  <c:v>377.19298245614033</c:v>
                </c:pt>
                <c:pt idx="13">
                  <c:v>519.43146804492596</c:v>
                </c:pt>
                <c:pt idx="14">
                  <c:v>523.46286087474311</c:v>
                </c:pt>
                <c:pt idx="15">
                  <c:v>422.46437552388937</c:v>
                </c:pt>
                <c:pt idx="16">
                  <c:v>576.80876726242343</c:v>
                </c:pt>
                <c:pt idx="17">
                  <c:v>308.8612016767583</c:v>
                </c:pt>
                <c:pt idx="18">
                  <c:v>354.24525864296419</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layout/>
              <c:tx>
                <c:rich>
                  <a:bodyPr/>
                  <a:lstStyle/>
                  <a:p>
                    <a:r>
                      <a:rPr lang="en-GB"/>
                      <a:t>Somerset</a:t>
                    </a:r>
                  </a:p>
                </c:rich>
              </c:tx>
              <c:showLegendKey val="0"/>
              <c:showVal val="0"/>
              <c:showCatName val="0"/>
              <c:showSerName val="1"/>
              <c:showPercent val="0"/>
              <c:showBubbleSize val="0"/>
            </c:dLbl>
            <c:dLbl>
              <c:idx val="1"/>
              <c:layout/>
              <c:tx>
                <c:rich>
                  <a:bodyPr/>
                  <a:lstStyle/>
                  <a:p>
                    <a:r>
                      <a:rPr lang="en-GB"/>
                      <a:t>Swindon</a:t>
                    </a:r>
                  </a:p>
                </c:rich>
              </c:tx>
              <c:dLblPos val="l"/>
              <c:showLegendKey val="0"/>
              <c:showVal val="0"/>
              <c:showCatName val="0"/>
              <c:showSerName val="1"/>
              <c:showPercent val="0"/>
              <c:showBubbleSize val="0"/>
            </c:dLbl>
            <c:dLbl>
              <c:idx val="2"/>
              <c:layout/>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(Referrals!$AQ$53,Referrals!$AQ$56,Referrals!$AQ$57)</c:f>
              <c:numCache>
                <c:formatCode>0.0</c:formatCode>
                <c:ptCount val="3"/>
                <c:pt idx="0">
                  <c:v>14.8</c:v>
                </c:pt>
                <c:pt idx="1">
                  <c:v>17.2</c:v>
                </c:pt>
                <c:pt idx="2">
                  <c:v>24.1</c:v>
                </c:pt>
              </c:numCache>
            </c:numRef>
          </c:xVal>
          <c:yVal>
            <c:numRef>
              <c:f>(Referrals!$AP$53,Referrals!$AP$56,Referrals!$AP$57)</c:f>
              <c:numCache>
                <c:formatCode>0.0</c:formatCode>
                <c:ptCount val="3"/>
                <c:pt idx="0">
                  <c:v>469.1871661640202</c:v>
                </c:pt>
                <c:pt idx="1">
                  <c:v>726.50428651550362</c:v>
                </c:pt>
                <c:pt idx="2">
                  <c:v>710.15462092300436</c:v>
                </c:pt>
              </c:numCache>
            </c:numRef>
          </c:yVal>
          <c:smooth val="0"/>
        </c:ser>
        <c:ser>
          <c:idx val="1"/>
          <c:order val="2"/>
          <c:tx>
            <c:strRef>
              <c:f>Referrals!$Z$4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Referrals!$Y$40</c:f>
              <c:numCache>
                <c:formatCode>0.00</c:formatCode>
                <c:ptCount val="1"/>
                <c:pt idx="0">
                  <c:v>#N/A</c:v>
                </c:pt>
              </c:numCache>
            </c:numRef>
          </c:xVal>
          <c:yVal>
            <c:numRef>
              <c:f>Referrals!$Z$40</c:f>
              <c:numCache>
                <c:formatCode>0.00</c:formatCode>
                <c:ptCount val="1"/>
                <c:pt idx="0">
                  <c:v>#N/A</c:v>
                </c:pt>
              </c:numCache>
            </c:numRef>
          </c:yVal>
          <c:smooth val="0"/>
        </c:ser>
        <c:ser>
          <c:idx val="2"/>
          <c:order val="3"/>
          <c:tx>
            <c:strRef>
              <c:f>Referrals!$X$65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8.5280251183555325E-2"/>
                  <c:y val="4.6575729617611167E-2"/>
                </c:manualLayout>
              </c:layout>
              <c:tx>
                <c:rich>
                  <a:bodyPr/>
                  <a:lstStyle/>
                  <a:p>
                    <a:r>
                      <a:rPr lang="en-US" sz="900">
                        <a:solidFill>
                          <a:srgbClr val="C00000"/>
                        </a:solidFill>
                      </a:rPr>
                      <a:t>r² = 0.0273</a:t>
                    </a:r>
                    <a:endParaRPr lang="en-US"/>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Referrals!$AA$65:$AA$66</c:f>
              <c:numCache>
                <c:formatCode>General</c:formatCode>
                <c:ptCount val="2"/>
                <c:pt idx="0" formatCode="#,##0.0">
                  <c:v>5</c:v>
                </c:pt>
                <c:pt idx="1">
                  <c:v>35</c:v>
                </c:pt>
              </c:numCache>
            </c:numRef>
          </c:xVal>
          <c:yVal>
            <c:numRef>
              <c:f>Referrals!$AB$65:$AB$66</c:f>
              <c:numCache>
                <c:formatCode>0.0</c:formatCode>
                <c:ptCount val="2"/>
                <c:pt idx="0">
                  <c:v>488.625</c:v>
                </c:pt>
                <c:pt idx="1">
                  <c:v>632.71500000000003</c:v>
                </c:pt>
              </c:numCache>
            </c:numRef>
          </c:yVal>
          <c:smooth val="0"/>
        </c:ser>
        <c:ser>
          <c:idx val="4"/>
          <c:order val="4"/>
          <c:tx>
            <c:strRef>
              <c:f>Referrals!$B$31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Referrals!$R$31</c:f>
              <c:numCache>
                <c:formatCode>0.0</c:formatCode>
                <c:ptCount val="1"/>
                <c:pt idx="0">
                  <c:v>14.45223640702325</c:v>
                </c:pt>
              </c:numCache>
            </c:numRef>
          </c:xVal>
          <c:yVal>
            <c:numRef>
              <c:f>Referrals!$O$31</c:f>
              <c:numCache>
                <c:formatCode>0.0</c:formatCode>
                <c:ptCount val="1"/>
                <c:pt idx="0">
                  <c:v>548.34054834054837</c:v>
                </c:pt>
              </c:numCache>
            </c:numRef>
          </c:yVal>
          <c:smooth val="0"/>
        </c:ser>
        <c:dLbls>
          <c:showLegendKey val="0"/>
          <c:showVal val="0"/>
          <c:showCatName val="0"/>
          <c:showSerName val="0"/>
          <c:showPercent val="0"/>
          <c:showBubbleSize val="0"/>
        </c:dLbls>
        <c:axId val="117437952"/>
        <c:axId val="117084160"/>
      </c:scatterChart>
      <c:valAx>
        <c:axId val="117437952"/>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17084160"/>
        <c:crosses val="autoZero"/>
        <c:crossBetween val="midCat"/>
      </c:valAx>
      <c:valAx>
        <c:axId val="117084160"/>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Referrals</a:t>
                </a:r>
                <a:r>
                  <a:rPr lang="en-GB" baseline="0"/>
                  <a:t> </a:t>
                </a:r>
                <a:r>
                  <a:rPr lang="en-GB"/>
                  <a:t>per 10,000 0-17 year olds</a:t>
                </a:r>
              </a:p>
            </c:rich>
          </c:tx>
          <c:layout>
            <c:manualLayout>
              <c:xMode val="edge"/>
              <c:yMode val="edge"/>
              <c:x val="6.0573711471906717E-2"/>
              <c:y val="0.2334493123019540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1743795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Single Assessments completed within 45 Days</a:t>
            </a:r>
          </a:p>
        </c:rich>
      </c:tx>
      <c:layout>
        <c:manualLayout>
          <c:xMode val="edge"/>
          <c:yMode val="edge"/>
          <c:x val="0.13744646204938665"/>
          <c:y val="8.280471006092037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Assessments!$AL$40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Assessments!$AX$39:$BB$39</c:f>
              <c:numCache>
                <c:formatCode>General</c:formatCode>
                <c:ptCount val="5"/>
                <c:pt idx="0">
                  <c:v>2014</c:v>
                </c:pt>
                <c:pt idx="1">
                  <c:v>2015</c:v>
                </c:pt>
                <c:pt idx="2">
                  <c:v>2016</c:v>
                </c:pt>
                <c:pt idx="3">
                  <c:v>2017</c:v>
                </c:pt>
                <c:pt idx="4">
                  <c:v>2018</c:v>
                </c:pt>
              </c:numCache>
            </c:numRef>
          </c:cat>
          <c:val>
            <c:numRef>
              <c:f>Assessments!$AX$40:$BB$40</c:f>
              <c:numCache>
                <c:formatCode>0.0%</c:formatCode>
                <c:ptCount val="5"/>
                <c:pt idx="0">
                  <c:v>#N/A</c:v>
                </c:pt>
                <c:pt idx="1">
                  <c:v>0.99079754601226999</c:v>
                </c:pt>
                <c:pt idx="2">
                  <c:v>0.96542311191992725</c:v>
                </c:pt>
                <c:pt idx="3">
                  <c:v>0.89727011494252873</c:v>
                </c:pt>
                <c:pt idx="4">
                  <c:v>0.90479041916167668</c:v>
                </c:pt>
              </c:numCache>
            </c:numRef>
          </c:val>
          <c:smooth val="0"/>
        </c:ser>
        <c:ser>
          <c:idx val="1"/>
          <c:order val="1"/>
          <c:tx>
            <c:strRef>
              <c:f>Assessments!$AL$41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Assessments!$AX$41:$BB$41</c:f>
              <c:numCache>
                <c:formatCode>0.0%</c:formatCode>
                <c:ptCount val="5"/>
                <c:pt idx="0">
                  <c:v>#N/A</c:v>
                </c:pt>
                <c:pt idx="1">
                  <c:v>0.53104693140794224</c:v>
                </c:pt>
                <c:pt idx="2">
                  <c:v>0.48814504881450488</c:v>
                </c:pt>
                <c:pt idx="3">
                  <c:v>0.70331125827814567</c:v>
                </c:pt>
                <c:pt idx="4">
                  <c:v>0.88855979266938168</c:v>
                </c:pt>
              </c:numCache>
            </c:numRef>
          </c:val>
          <c:smooth val="0"/>
        </c:ser>
        <c:ser>
          <c:idx val="2"/>
          <c:order val="2"/>
          <c:tx>
            <c:strRef>
              <c:f>Assessments!$AL$42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Assessments!$AX$42:$BB$42</c:f>
              <c:numCache>
                <c:formatCode>0.0%</c:formatCode>
                <c:ptCount val="5"/>
                <c:pt idx="0">
                  <c:v>#N/A</c:v>
                </c:pt>
                <c:pt idx="1">
                  <c:v>0.82847896440129454</c:v>
                </c:pt>
                <c:pt idx="2">
                  <c:v>0.87296766124709668</c:v>
                </c:pt>
                <c:pt idx="3">
                  <c:v>0.92904191616766463</c:v>
                </c:pt>
                <c:pt idx="4">
                  <c:v>0.84317475496055461</c:v>
                </c:pt>
              </c:numCache>
            </c:numRef>
          </c:val>
          <c:smooth val="0"/>
        </c:ser>
        <c:ser>
          <c:idx val="5"/>
          <c:order val="3"/>
          <c:tx>
            <c:strRef>
              <c:f>Assessments!$AL$43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Assessments!$AX$43:$BB$43</c:f>
              <c:numCache>
                <c:formatCode>0.0%</c:formatCode>
                <c:ptCount val="5"/>
                <c:pt idx="0">
                  <c:v>#N/A</c:v>
                </c:pt>
                <c:pt idx="1">
                  <c:v>0.5167660208643815</c:v>
                </c:pt>
                <c:pt idx="2">
                  <c:v>0.53883299798792761</c:v>
                </c:pt>
                <c:pt idx="3">
                  <c:v>0.65892459433662109</c:v>
                </c:pt>
                <c:pt idx="4">
                  <c:v>0.6064245810055866</c:v>
                </c:pt>
              </c:numCache>
            </c:numRef>
          </c:val>
          <c:smooth val="0"/>
        </c:ser>
        <c:ser>
          <c:idx val="9"/>
          <c:order val="4"/>
          <c:tx>
            <c:strRef>
              <c:f>Assessments!$AL$44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Assessments!$AX$44:$BB$44</c:f>
              <c:numCache>
                <c:formatCode>0.0%</c:formatCode>
                <c:ptCount val="5"/>
                <c:pt idx="0">
                  <c:v>#N/A</c:v>
                </c:pt>
                <c:pt idx="1">
                  <c:v>0.79404539073467473</c:v>
                </c:pt>
                <c:pt idx="2">
                  <c:v>0.88252318232827354</c:v>
                </c:pt>
                <c:pt idx="3">
                  <c:v>0.89637619071619379</c:v>
                </c:pt>
                <c:pt idx="4">
                  <c:v>0.91200453001132498</c:v>
                </c:pt>
              </c:numCache>
            </c:numRef>
          </c:val>
          <c:smooth val="0"/>
        </c:ser>
        <c:ser>
          <c:idx val="10"/>
          <c:order val="5"/>
          <c:tx>
            <c:strRef>
              <c:f>Assessments!$AL$45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Assessments!$AX$45:$BB$45</c:f>
              <c:numCache>
                <c:formatCode>0.0%</c:formatCode>
                <c:ptCount val="5"/>
                <c:pt idx="0">
                  <c:v>#N/A</c:v>
                </c:pt>
                <c:pt idx="1">
                  <c:v>0.80292338709677424</c:v>
                </c:pt>
                <c:pt idx="2">
                  <c:v>0.86304801670146136</c:v>
                </c:pt>
                <c:pt idx="3">
                  <c:v>0.79189892233370496</c:v>
                </c:pt>
                <c:pt idx="4">
                  <c:v>0.86114221724524076</c:v>
                </c:pt>
              </c:numCache>
            </c:numRef>
          </c:val>
          <c:smooth val="0"/>
        </c:ser>
        <c:ser>
          <c:idx val="11"/>
          <c:order val="6"/>
          <c:tx>
            <c:strRef>
              <c:f>Assessments!$AL$46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Assessments!$AX$46:$BB$46</c:f>
              <c:numCache>
                <c:formatCode>0.0%</c:formatCode>
                <c:ptCount val="5"/>
                <c:pt idx="0">
                  <c:v>#N/A</c:v>
                </c:pt>
                <c:pt idx="1">
                  <c:v>0.88577395266421977</c:v>
                </c:pt>
                <c:pt idx="2">
                  <c:v>0.91204379562043791</c:v>
                </c:pt>
                <c:pt idx="3">
                  <c:v>0.92209458633752905</c:v>
                </c:pt>
                <c:pt idx="4">
                  <c:v>0.86859297816964998</c:v>
                </c:pt>
              </c:numCache>
            </c:numRef>
          </c:val>
          <c:smooth val="0"/>
        </c:ser>
        <c:ser>
          <c:idx val="12"/>
          <c:order val="7"/>
          <c:tx>
            <c:strRef>
              <c:f>Assessments!$AL$47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Assessments!$AX$47:$BB$47</c:f>
              <c:numCache>
                <c:formatCode>0.0%</c:formatCode>
                <c:ptCount val="5"/>
                <c:pt idx="0">
                  <c:v>#N/A</c:v>
                </c:pt>
                <c:pt idx="1">
                  <c:v>0.75371722087050552</c:v>
                </c:pt>
                <c:pt idx="2">
                  <c:v>0.83365446371226715</c:v>
                </c:pt>
                <c:pt idx="3">
                  <c:v>0.95848119233498941</c:v>
                </c:pt>
                <c:pt idx="4">
                  <c:v>0.85930649661219605</c:v>
                </c:pt>
              </c:numCache>
            </c:numRef>
          </c:val>
          <c:smooth val="0"/>
        </c:ser>
        <c:ser>
          <c:idx val="13"/>
          <c:order val="8"/>
          <c:tx>
            <c:strRef>
              <c:f>Assessments!$AL$48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Assessments!$AX$48:$BB$48</c:f>
              <c:numCache>
                <c:formatCode>0.0%</c:formatCode>
                <c:ptCount val="5"/>
                <c:pt idx="0">
                  <c:v>#N/A</c:v>
                </c:pt>
                <c:pt idx="1">
                  <c:v>0.95950000000000002</c:v>
                </c:pt>
                <c:pt idx="2">
                  <c:v>0.93291806420699563</c:v>
                </c:pt>
                <c:pt idx="3">
                  <c:v>0.90186730234406043</c:v>
                </c:pt>
                <c:pt idx="4">
                  <c:v>0.87754179846362401</c:v>
                </c:pt>
              </c:numCache>
            </c:numRef>
          </c:val>
          <c:smooth val="0"/>
        </c:ser>
        <c:ser>
          <c:idx val="15"/>
          <c:order val="9"/>
          <c:tx>
            <c:strRef>
              <c:f>Assessments!$AL$49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Assessments!$AX$49:$BB$49</c:f>
              <c:numCache>
                <c:formatCode>0.0%</c:formatCode>
                <c:ptCount val="5"/>
                <c:pt idx="0">
                  <c:v>#N/A</c:v>
                </c:pt>
                <c:pt idx="1">
                  <c:v>0.74807539155826919</c:v>
                </c:pt>
                <c:pt idx="2">
                  <c:v>0.6292603335750544</c:v>
                </c:pt>
                <c:pt idx="3">
                  <c:v>0.5178571428571429</c:v>
                </c:pt>
                <c:pt idx="4">
                  <c:v>0.51692573402417963</c:v>
                </c:pt>
              </c:numCache>
            </c:numRef>
          </c:val>
          <c:smooth val="0"/>
        </c:ser>
        <c:ser>
          <c:idx val="16"/>
          <c:order val="10"/>
          <c:tx>
            <c:strRef>
              <c:f>Assessments!$AL$50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Assessments!$AX$50:$BB$50</c:f>
              <c:numCache>
                <c:formatCode>0.0%</c:formatCode>
                <c:ptCount val="5"/>
                <c:pt idx="0">
                  <c:v>#N/A</c:v>
                </c:pt>
                <c:pt idx="1">
                  <c:v>0.91397109428768064</c:v>
                </c:pt>
                <c:pt idx="2">
                  <c:v>0.99516908212560384</c:v>
                </c:pt>
                <c:pt idx="3">
                  <c:v>0.94135593220338987</c:v>
                </c:pt>
                <c:pt idx="4">
                  <c:v>0.93573667711598751</c:v>
                </c:pt>
              </c:numCache>
            </c:numRef>
          </c:val>
          <c:smooth val="0"/>
        </c:ser>
        <c:ser>
          <c:idx val="17"/>
          <c:order val="11"/>
          <c:tx>
            <c:strRef>
              <c:f>Assessments!$AL$51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Assessments!$AX$51:$BB$51</c:f>
              <c:numCache>
                <c:formatCode>0.0%</c:formatCode>
                <c:ptCount val="5"/>
                <c:pt idx="0">
                  <c:v>#N/A</c:v>
                </c:pt>
                <c:pt idx="1">
                  <c:v>0.83792815371762741</c:v>
                </c:pt>
                <c:pt idx="2">
                  <c:v>0.8337171810225702</c:v>
                </c:pt>
                <c:pt idx="3">
                  <c:v>0.69847198641765706</c:v>
                </c:pt>
                <c:pt idx="4">
                  <c:v>0.86205661053385885</c:v>
                </c:pt>
              </c:numCache>
            </c:numRef>
          </c:val>
          <c:smooth val="0"/>
        </c:ser>
        <c:ser>
          <c:idx val="19"/>
          <c:order val="12"/>
          <c:tx>
            <c:strRef>
              <c:f>Assessments!$AL$52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Assessments!$AX$52:$BB$52</c:f>
              <c:numCache>
                <c:formatCode>0.0%</c:formatCode>
                <c:ptCount val="5"/>
                <c:pt idx="0">
                  <c:v>#N/A</c:v>
                </c:pt>
                <c:pt idx="1">
                  <c:v>0.93773283661522089</c:v>
                </c:pt>
                <c:pt idx="2">
                  <c:v>0.92851622874806805</c:v>
                </c:pt>
                <c:pt idx="3">
                  <c:v>0.85763146643864896</c:v>
                </c:pt>
                <c:pt idx="4">
                  <c:v>0.54574951330304999</c:v>
                </c:pt>
              </c:numCache>
            </c:numRef>
          </c:val>
          <c:smooth val="0"/>
        </c:ser>
        <c:ser>
          <c:idx val="3"/>
          <c:order val="13"/>
          <c:tx>
            <c:strRef>
              <c:f>Assessments!$AL$53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Assessments!$AX$53:$BB$53</c:f>
              <c:numCache>
                <c:formatCode>0.0%</c:formatCode>
                <c:ptCount val="5"/>
                <c:pt idx="0">
                  <c:v>#N/A</c:v>
                </c:pt>
                <c:pt idx="1">
                  <c:v>0.92904509283819625</c:v>
                </c:pt>
                <c:pt idx="2">
                  <c:v>0.68116927260367099</c:v>
                </c:pt>
                <c:pt idx="3">
                  <c:v>0.89199029126213591</c:v>
                </c:pt>
                <c:pt idx="4">
                  <c:v>0.80662488809310651</c:v>
                </c:pt>
              </c:numCache>
            </c:numRef>
          </c:val>
          <c:smooth val="0"/>
        </c:ser>
        <c:ser>
          <c:idx val="20"/>
          <c:order val="14"/>
          <c:tx>
            <c:strRef>
              <c:f>Assessments!$AL$54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Assessments!$AX$54:$BB$54</c:f>
              <c:numCache>
                <c:formatCode>0.0%</c:formatCode>
                <c:ptCount val="5"/>
                <c:pt idx="0">
                  <c:v>#N/A</c:v>
                </c:pt>
                <c:pt idx="1">
                  <c:v>0.91559981033665239</c:v>
                </c:pt>
                <c:pt idx="2">
                  <c:v>0.84843492586490943</c:v>
                </c:pt>
                <c:pt idx="3">
                  <c:v>0.67984934086629001</c:v>
                </c:pt>
                <c:pt idx="4">
                  <c:v>0.82916307161345992</c:v>
                </c:pt>
              </c:numCache>
            </c:numRef>
          </c:val>
          <c:smooth val="0"/>
        </c:ser>
        <c:ser>
          <c:idx val="22"/>
          <c:order val="15"/>
          <c:tx>
            <c:strRef>
              <c:f>Assessments!$AL$55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Assessments!$AX$55:$BB$55</c:f>
              <c:numCache>
                <c:formatCode>0.0%</c:formatCode>
                <c:ptCount val="5"/>
                <c:pt idx="0">
                  <c:v>#N/A</c:v>
                </c:pt>
                <c:pt idx="1">
                  <c:v>0.74046480596019126</c:v>
                </c:pt>
                <c:pt idx="2">
                  <c:v>0.6516346311812059</c:v>
                </c:pt>
                <c:pt idx="3">
                  <c:v>0.75511562136083843</c:v>
                </c:pt>
                <c:pt idx="4">
                  <c:v>0.75856586374115587</c:v>
                </c:pt>
              </c:numCache>
            </c:numRef>
          </c:val>
          <c:smooth val="0"/>
        </c:ser>
        <c:ser>
          <c:idx val="7"/>
          <c:order val="16"/>
          <c:tx>
            <c:strRef>
              <c:f>Assessments!$AL$56</c:f>
              <c:strCache>
                <c:ptCount val="1"/>
                <c:pt idx="0">
                  <c:v>Swindon</c:v>
                </c:pt>
              </c:strCache>
            </c:strRef>
          </c:tx>
          <c:spPr>
            <a:ln w="15875"/>
          </c:spPr>
          <c:marker>
            <c:symbol val="triangle"/>
            <c:size val="5"/>
            <c:spPr>
              <a:solidFill>
                <a:schemeClr val="accent2">
                  <a:lumMod val="20000"/>
                  <a:lumOff val="80000"/>
                </a:schemeClr>
              </a:solidFill>
            </c:spPr>
          </c:marker>
          <c:cat>
            <c:numRef>
              <c:f>Assessments!$AX$39:$BB$39</c:f>
              <c:numCache>
                <c:formatCode>General</c:formatCode>
                <c:ptCount val="5"/>
                <c:pt idx="0">
                  <c:v>2014</c:v>
                </c:pt>
                <c:pt idx="1">
                  <c:v>2015</c:v>
                </c:pt>
                <c:pt idx="2">
                  <c:v>2016</c:v>
                </c:pt>
                <c:pt idx="3">
                  <c:v>2017</c:v>
                </c:pt>
                <c:pt idx="4">
                  <c:v>2018</c:v>
                </c:pt>
              </c:numCache>
            </c:numRef>
          </c:cat>
          <c:val>
            <c:numRef>
              <c:f>Assessments!$AX$56:$BB$56</c:f>
              <c:numCache>
                <c:formatCode>0.0%</c:formatCode>
                <c:ptCount val="5"/>
                <c:pt idx="0">
                  <c:v>#N/A</c:v>
                </c:pt>
                <c:pt idx="1">
                  <c:v>0.65081162702906759</c:v>
                </c:pt>
                <c:pt idx="2">
                  <c:v>0.60688117234788153</c:v>
                </c:pt>
                <c:pt idx="3">
                  <c:v>0.59084836339345359</c:v>
                </c:pt>
                <c:pt idx="4">
                  <c:v>0.71691526499523961</c:v>
                </c:pt>
              </c:numCache>
            </c:numRef>
          </c:val>
          <c:smooth val="0"/>
        </c:ser>
        <c:ser>
          <c:idx val="8"/>
          <c:order val="17"/>
          <c:tx>
            <c:strRef>
              <c:f>Assessments!$AL$57</c:f>
              <c:strCache>
                <c:ptCount val="1"/>
                <c:pt idx="0">
                  <c:v>Torbay</c:v>
                </c:pt>
              </c:strCache>
            </c:strRef>
          </c:tx>
          <c:spPr>
            <a:ln w="15875"/>
          </c:spPr>
          <c:marker>
            <c:symbol val="circle"/>
            <c:size val="5"/>
            <c:spPr>
              <a:solidFill>
                <a:schemeClr val="accent3">
                  <a:lumMod val="20000"/>
                  <a:lumOff val="80000"/>
                </a:schemeClr>
              </a:solidFill>
            </c:spPr>
          </c:marker>
          <c:cat>
            <c:numRef>
              <c:f>Assessments!$AX$39:$BB$39</c:f>
              <c:numCache>
                <c:formatCode>General</c:formatCode>
                <c:ptCount val="5"/>
                <c:pt idx="0">
                  <c:v>2014</c:v>
                </c:pt>
                <c:pt idx="1">
                  <c:v>2015</c:v>
                </c:pt>
                <c:pt idx="2">
                  <c:v>2016</c:v>
                </c:pt>
                <c:pt idx="3">
                  <c:v>2017</c:v>
                </c:pt>
                <c:pt idx="4">
                  <c:v>2018</c:v>
                </c:pt>
              </c:numCache>
            </c:numRef>
          </c:cat>
          <c:val>
            <c:numRef>
              <c:f>Assessments!$AX$57:$BB$57</c:f>
              <c:numCache>
                <c:formatCode>0.0%</c:formatCode>
                <c:ptCount val="5"/>
                <c:pt idx="0">
                  <c:v>#N/A</c:v>
                </c:pt>
                <c:pt idx="1">
                  <c:v>0.71505376344086025</c:v>
                </c:pt>
                <c:pt idx="2">
                  <c:v>0.90115532734274706</c:v>
                </c:pt>
                <c:pt idx="3">
                  <c:v>0.81576253838280455</c:v>
                </c:pt>
                <c:pt idx="4">
                  <c:v>0.72042440318302392</c:v>
                </c:pt>
              </c:numCache>
            </c:numRef>
          </c:val>
          <c:smooth val="0"/>
        </c:ser>
        <c:ser>
          <c:idx val="23"/>
          <c:order val="18"/>
          <c:tx>
            <c:strRef>
              <c:f>Assessments!$AL$58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Assessments!$AX$58:$BB$58</c:f>
              <c:numCache>
                <c:formatCode>0.0%</c:formatCode>
                <c:ptCount val="5"/>
                <c:pt idx="0">
                  <c:v>#N/A</c:v>
                </c:pt>
                <c:pt idx="1">
                  <c:v>0.7125140924464487</c:v>
                </c:pt>
                <c:pt idx="2">
                  <c:v>0.86052998605299857</c:v>
                </c:pt>
                <c:pt idx="3">
                  <c:v>0.96673320026613441</c:v>
                </c:pt>
                <c:pt idx="4">
                  <c:v>0.98258426966292134</c:v>
                </c:pt>
              </c:numCache>
            </c:numRef>
          </c:val>
          <c:smooth val="0"/>
        </c:ser>
        <c:ser>
          <c:idx val="24"/>
          <c:order val="19"/>
          <c:tx>
            <c:strRef>
              <c:f>Assessments!$AL$59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Assessments!$AX$59:$BB$59</c:f>
              <c:numCache>
                <c:formatCode>0.0%</c:formatCode>
                <c:ptCount val="5"/>
                <c:pt idx="0">
                  <c:v>#N/A</c:v>
                </c:pt>
                <c:pt idx="1">
                  <c:v>0.95949855351976854</c:v>
                </c:pt>
                <c:pt idx="2">
                  <c:v>0.96490288010716674</c:v>
                </c:pt>
                <c:pt idx="3">
                  <c:v>0.96934363946023849</c:v>
                </c:pt>
                <c:pt idx="4">
                  <c:v>0.97780887644942027</c:v>
                </c:pt>
              </c:numCache>
            </c:numRef>
          </c:val>
          <c:smooth val="0"/>
        </c:ser>
        <c:ser>
          <c:idx val="25"/>
          <c:order val="20"/>
          <c:tx>
            <c:strRef>
              <c:f>Assessments!$AL$60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Assessments!$AX$60:$BB$60</c:f>
              <c:numCache>
                <c:formatCode>0.0%</c:formatCode>
                <c:ptCount val="5"/>
                <c:pt idx="0">
                  <c:v>#N/A</c:v>
                </c:pt>
                <c:pt idx="1">
                  <c:v>0.75866495507060339</c:v>
                </c:pt>
                <c:pt idx="2">
                  <c:v>0.81060606060606055</c:v>
                </c:pt>
                <c:pt idx="3">
                  <c:v>0.57485029940119758</c:v>
                </c:pt>
                <c:pt idx="4">
                  <c:v>0.5447680690399137</c:v>
                </c:pt>
              </c:numCache>
            </c:numRef>
          </c:val>
          <c:smooth val="0"/>
        </c:ser>
        <c:ser>
          <c:idx val="26"/>
          <c:order val="21"/>
          <c:tx>
            <c:strRef>
              <c:f>Assessments!$AL$61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Assessments!$AX$61:$BB$61</c:f>
              <c:numCache>
                <c:formatCode>0.0%</c:formatCode>
                <c:ptCount val="5"/>
                <c:pt idx="0">
                  <c:v>#N/A</c:v>
                </c:pt>
                <c:pt idx="1">
                  <c:v>0.98973774230330669</c:v>
                </c:pt>
                <c:pt idx="2">
                  <c:v>0.9521276595744681</c:v>
                </c:pt>
                <c:pt idx="3">
                  <c:v>0.85599999999999998</c:v>
                </c:pt>
                <c:pt idx="4">
                  <c:v>0.7308394160583942</c:v>
                </c:pt>
              </c:numCache>
            </c:numRef>
          </c:val>
          <c:smooth val="0"/>
        </c:ser>
        <c:ser>
          <c:idx val="4"/>
          <c:order val="22"/>
          <c:tx>
            <c:strRef>
              <c:f>Assessments!$AL$62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Assessments!$AX$39:$BB$39</c:f>
              <c:numCache>
                <c:formatCode>General</c:formatCode>
                <c:ptCount val="5"/>
                <c:pt idx="0">
                  <c:v>2014</c:v>
                </c:pt>
                <c:pt idx="1">
                  <c:v>2015</c:v>
                </c:pt>
                <c:pt idx="2">
                  <c:v>2016</c:v>
                </c:pt>
                <c:pt idx="3">
                  <c:v>2017</c:v>
                </c:pt>
                <c:pt idx="4">
                  <c:v>2018</c:v>
                </c:pt>
              </c:numCache>
            </c:numRef>
          </c:cat>
          <c:val>
            <c:numRef>
              <c:f>Assessments!$AX$62:$BB$62</c:f>
              <c:numCache>
                <c:formatCode>0.0%</c:formatCode>
                <c:ptCount val="5"/>
                <c:pt idx="0">
                  <c:v>#N/A</c:v>
                </c:pt>
                <c:pt idx="1">
                  <c:v>0.81318407960199002</c:v>
                </c:pt>
                <c:pt idx="2">
                  <c:v>0.82711047848461627</c:v>
                </c:pt>
                <c:pt idx="3">
                  <c:v>0.83836032388663972</c:v>
                </c:pt>
                <c:pt idx="4">
                  <c:v>0.83770299354333788</c:v>
                </c:pt>
              </c:numCache>
            </c:numRef>
          </c:val>
          <c:smooth val="0"/>
        </c:ser>
        <c:ser>
          <c:idx val="14"/>
          <c:order val="23"/>
          <c:tx>
            <c:strRef>
              <c:f>Assessments!$AL$63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Assessments!$AX$39:$BB$39</c:f>
              <c:numCache>
                <c:formatCode>General</c:formatCode>
                <c:ptCount val="5"/>
                <c:pt idx="0">
                  <c:v>2014</c:v>
                </c:pt>
                <c:pt idx="1">
                  <c:v>2015</c:v>
                </c:pt>
                <c:pt idx="2">
                  <c:v>2016</c:v>
                </c:pt>
                <c:pt idx="3">
                  <c:v>2017</c:v>
                </c:pt>
                <c:pt idx="4">
                  <c:v>2018</c:v>
                </c:pt>
              </c:numCache>
            </c:numRef>
          </c:cat>
          <c:val>
            <c:numRef>
              <c:f>Assessments!$AX$63:$BB$63</c:f>
              <c:numCache>
                <c:formatCode>0.0%</c:formatCode>
                <c:ptCount val="5"/>
                <c:pt idx="0">
                  <c:v>#N/A</c:v>
                </c:pt>
                <c:pt idx="1">
                  <c:v>0.81499972767378948</c:v>
                </c:pt>
                <c:pt idx="2">
                  <c:v>0.8343537890980337</c:v>
                </c:pt>
                <c:pt idx="3">
                  <c:v>0.82934023200632745</c:v>
                </c:pt>
                <c:pt idx="4">
                  <c:v>0.82693435167725682</c:v>
                </c:pt>
              </c:numCache>
            </c:numRef>
          </c:val>
          <c:smooth val="0"/>
        </c:ser>
        <c:ser>
          <c:idx val="6"/>
          <c:order val="24"/>
          <c:tx>
            <c:strRef>
              <c:f>Assessments!$AL$64</c:f>
              <c:strCache>
                <c:ptCount val="1"/>
                <c:pt idx="0">
                  <c:v>Selected LA- (none)</c:v>
                </c:pt>
              </c:strCache>
            </c:strRef>
          </c:tx>
          <c:spPr>
            <a:ln>
              <a:solidFill>
                <a:schemeClr val="tx1">
                  <a:lumMod val="75000"/>
                  <a:lumOff val="25000"/>
                </a:schemeClr>
              </a:solidFill>
            </a:ln>
          </c:spPr>
          <c:marker>
            <c:symbol val="circle"/>
            <c:size val="6"/>
            <c:spPr>
              <a:solidFill>
                <a:srgbClr val="66FF99"/>
              </a:solidFill>
              <a:ln>
                <a:solidFill>
                  <a:schemeClr val="tx1">
                    <a:lumMod val="75000"/>
                    <a:lumOff val="25000"/>
                  </a:schemeClr>
                </a:solidFill>
              </a:ln>
            </c:spPr>
          </c:marker>
          <c:cat>
            <c:numRef>
              <c:f>Assessments!$AX$39:$BB$39</c:f>
              <c:numCache>
                <c:formatCode>General</c:formatCode>
                <c:ptCount val="5"/>
                <c:pt idx="0">
                  <c:v>2014</c:v>
                </c:pt>
                <c:pt idx="1">
                  <c:v>2015</c:v>
                </c:pt>
                <c:pt idx="2">
                  <c:v>2016</c:v>
                </c:pt>
                <c:pt idx="3">
                  <c:v>2017</c:v>
                </c:pt>
                <c:pt idx="4">
                  <c:v>2018</c:v>
                </c:pt>
              </c:numCache>
            </c:numRef>
          </c:cat>
          <c:val>
            <c:numRef>
              <c:f>Assessments!$AX$64:$BB$64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11254656"/>
        <c:axId val="211260928"/>
      </c:lineChart>
      <c:catAx>
        <c:axId val="211254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1260928"/>
        <c:crosses val="autoZero"/>
        <c:auto val="1"/>
        <c:lblAlgn val="ctr"/>
        <c:lblOffset val="100"/>
        <c:tickLblSkip val="1"/>
        <c:tickMarkSkip val="1"/>
        <c:noMultiLvlLbl val="0"/>
      </c:catAx>
      <c:valAx>
        <c:axId val="211260928"/>
        <c:scaling>
          <c:orientation val="minMax"/>
          <c:max val="1"/>
          <c:min val="0.4"/>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1254656"/>
        <c:crosses val="autoZero"/>
        <c:crossBetween val="between"/>
      </c:valAx>
      <c:spPr>
        <a:noFill/>
        <a:ln w="3175">
          <a:solidFill>
            <a:srgbClr val="000000"/>
          </a:solidFill>
          <a:prstDash val="solid"/>
        </a:ln>
      </c:spPr>
    </c:plotArea>
    <c:legend>
      <c:legendPos val="r"/>
      <c:layout>
        <c:manualLayout>
          <c:xMode val="edge"/>
          <c:yMode val="edge"/>
          <c:x val="0.67109092691214423"/>
          <c:y val="5.3754631153420933E-2"/>
          <c:w val="0.30793272269537736"/>
          <c:h val="0.9462453688465790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Assessments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Assessments!$R$7</c:f>
              <c:strCache>
                <c:ptCount val="1"/>
                <c:pt idx="0">
                  <c:v>Distance from Expected 2018</c:v>
                </c:pt>
              </c:strCache>
            </c:strRef>
          </c:tx>
          <c:spPr>
            <a:solidFill>
              <a:srgbClr val="FB994F"/>
            </a:solidFill>
            <a:ln w="25400">
              <a:noFill/>
            </a:ln>
          </c:spPr>
          <c:invertIfNegative val="0"/>
          <c:cat>
            <c:strRef>
              <c:f>Assessments!$X$76:$X$99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Assessments!$T$9:$T$32</c:f>
              <c:numCache>
                <c:formatCode>0.0</c:formatCode>
                <c:ptCount val="24"/>
                <c:pt idx="0">
                  <c:v>169.01173422428843</c:v>
                </c:pt>
                <c:pt idx="1">
                  <c:v>15.055274553127674</c:v>
                </c:pt>
                <c:pt idx="2">
                  <c:v>268.4439390643916</c:v>
                </c:pt>
                <c:pt idx="3">
                  <c:v>-166.20433452751195</c:v>
                </c:pt>
                <c:pt idx="4">
                  <c:v>187.69228920678825</c:v>
                </c:pt>
                <c:pt idx="5">
                  <c:v>528.940519158651</c:v>
                </c:pt>
                <c:pt idx="6">
                  <c:v>51.512431452349119</c:v>
                </c:pt>
                <c:pt idx="7">
                  <c:v>-167.39856592652831</c:v>
                </c:pt>
                <c:pt idx="8">
                  <c:v>-204.64865809616089</c:v>
                </c:pt>
                <c:pt idx="9">
                  <c:v>-32.002522675943226</c:v>
                </c:pt>
                <c:pt idx="10">
                  <c:v>140.16466661694426</c:v>
                </c:pt>
                <c:pt idx="11">
                  <c:v>219.42799162575147</c:v>
                </c:pt>
                <c:pt idx="12">
                  <c:v>-164.01503176623993</c:v>
                </c:pt>
                <c:pt idx="13">
                  <c:v>35.185217569419763</c:v>
                </c:pt>
                <c:pt idx="14">
                  <c:v>-135.5003640343902</c:v>
                </c:pt>
                <c:pt idx="15">
                  <c:v>73.153640660897793</c:v>
                </c:pt>
                <c:pt idx="16">
                  <c:v>129.79651423059056</c:v>
                </c:pt>
                <c:pt idx="17">
                  <c:v>156.29314897222321</c:v>
                </c:pt>
                <c:pt idx="18">
                  <c:v>78.739391270187184</c:v>
                </c:pt>
                <c:pt idx="19">
                  <c:v>128.29669384675174</c:v>
                </c:pt>
                <c:pt idx="20">
                  <c:v>-124.41277234839316</c:v>
                </c:pt>
                <c:pt idx="21">
                  <c:v>-91.604412749315316</c:v>
                </c:pt>
                <c:pt idx="22">
                  <c:v>57.93724551796879</c:v>
                </c:pt>
                <c:pt idx="23">
                  <c:v>-2.4494698136999205</c:v>
                </c:pt>
              </c:numCache>
            </c:numRef>
          </c:val>
        </c:ser>
        <c:ser>
          <c:idx val="0"/>
          <c:order val="1"/>
          <c:tx>
            <c:strRef>
              <c:f>Assessments!$Z$4</c:f>
              <c:strCache>
                <c:ptCount val="1"/>
                <c:pt idx="0">
                  <c:v>Selected LA- (none)</c:v>
                </c:pt>
              </c:strCache>
            </c:strRef>
          </c:tx>
          <c:spPr>
            <a:solidFill>
              <a:srgbClr val="66FF99"/>
            </a:solidFill>
            <a:ln w="12700">
              <a:solidFill>
                <a:srgbClr val="000000"/>
              </a:solidFill>
              <a:prstDash val="solid"/>
            </a:ln>
          </c:spPr>
          <c:invertIfNegative val="0"/>
          <c:cat>
            <c:strRef>
              <c:f>Assessments!$X$76:$X$99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11295232"/>
        <c:axId val="200528640"/>
      </c:barChart>
      <c:catAx>
        <c:axId val="21129523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0528640"/>
        <c:crossesAt val="0"/>
        <c:auto val="1"/>
        <c:lblAlgn val="ctr"/>
        <c:lblOffset val="100"/>
        <c:noMultiLvlLbl val="0"/>
      </c:catAx>
      <c:valAx>
        <c:axId val="200528640"/>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1295232"/>
        <c:crosses val="max"/>
        <c:crossBetween val="between"/>
      </c:valAx>
      <c:spPr>
        <a:noFill/>
        <a:ln w="12700">
          <a:solidFill>
            <a:srgbClr val="000000"/>
          </a:solidFill>
          <a:prstDash val="solid"/>
        </a:ln>
      </c:spPr>
    </c:plotArea>
    <c:legend>
      <c:legendPos val="t"/>
      <c:layout>
        <c:manualLayout>
          <c:xMode val="edge"/>
          <c:yMode val="edge"/>
          <c:x val="0.19701637727249535"/>
          <c:y val="7.2490772111310081E-2"/>
          <c:w val="0.72758490501862216"/>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Assessments</a:t>
            </a:r>
          </a:p>
          <a:p>
            <a:pPr algn="l">
              <a:defRPr sz="1000" b="1" i="0" u="none" strike="noStrike" baseline="0">
                <a:solidFill>
                  <a:srgbClr val="000000"/>
                </a:solidFill>
                <a:latin typeface="Arial"/>
                <a:ea typeface="Arial"/>
                <a:cs typeface="Arial"/>
              </a:defRPr>
            </a:pPr>
            <a:r>
              <a:rPr lang="en-GB"/>
              <a:t> 2015-2018</a:t>
            </a:r>
          </a:p>
        </c:rich>
      </c:tx>
      <c:layout>
        <c:manualLayout>
          <c:xMode val="edge"/>
          <c:yMode val="edge"/>
          <c:x val="2.6894592721364376E-2"/>
          <c:y val="1.1152425391270536E-2"/>
        </c:manualLayout>
      </c:layout>
      <c:overlay val="0"/>
      <c:spPr>
        <a:noFill/>
        <a:ln w="25400">
          <a:noFill/>
        </a:ln>
      </c:sp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Assessments!$I$7</c:f>
              <c:strCache>
                <c:ptCount val="1"/>
                <c:pt idx="0">
                  <c:v>% Change 2015-18</c:v>
                </c:pt>
              </c:strCache>
            </c:strRef>
          </c:tx>
          <c:spPr>
            <a:solidFill>
              <a:srgbClr val="FB994F"/>
            </a:solidFill>
            <a:ln w="25400">
              <a:noFill/>
            </a:ln>
          </c:spPr>
          <c:invertIfNegative val="0"/>
          <c:cat>
            <c:strRef>
              <c:f>Assessments!$B$9:$B$32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Assessments!$I$9:$I$32</c:f>
              <c:numCache>
                <c:formatCode>0.0%</c:formatCode>
                <c:ptCount val="24"/>
                <c:pt idx="0">
                  <c:v>0.69371196754563891</c:v>
                </c:pt>
                <c:pt idx="1">
                  <c:v>-2.4909747292418773E-2</c:v>
                </c:pt>
                <c:pt idx="2">
                  <c:v>0.35372168284789646</c:v>
                </c:pt>
                <c:pt idx="3">
                  <c:v>0.33383010432190763</c:v>
                </c:pt>
                <c:pt idx="4">
                  <c:v>3.2990173139915771E-2</c:v>
                </c:pt>
                <c:pt idx="5">
                  <c:v>0.30810546875</c:v>
                </c:pt>
                <c:pt idx="6">
                  <c:v>0.19143146437159853</c:v>
                </c:pt>
                <c:pt idx="7">
                  <c:v>-0.32170856988375235</c:v>
                </c:pt>
                <c:pt idx="8">
                  <c:v>0.1065</c:v>
                </c:pt>
                <c:pt idx="9">
                  <c:v>0.53703212105123443</c:v>
                </c:pt>
                <c:pt idx="10">
                  <c:v>1.1954576737783895</c:v>
                </c:pt>
                <c:pt idx="11">
                  <c:v>1.3316624895572264</c:v>
                </c:pt>
                <c:pt idx="12">
                  <c:v>-0.1798829164449175</c:v>
                </c:pt>
                <c:pt idx="13">
                  <c:v>0.23452696728558797</c:v>
                </c:pt>
                <c:pt idx="14">
                  <c:v>9.90990990990991E-2</c:v>
                </c:pt>
                <c:pt idx="15">
                  <c:v>0.39875458690092291</c:v>
                </c:pt>
                <c:pt idx="16">
                  <c:v>0.1895054737636844</c:v>
                </c:pt>
                <c:pt idx="17">
                  <c:v>0.26680107526881719</c:v>
                </c:pt>
                <c:pt idx="18">
                  <c:v>1.0067643742953776</c:v>
                </c:pt>
                <c:pt idx="19">
                  <c:v>0.92941176470588238</c:v>
                </c:pt>
                <c:pt idx="20">
                  <c:v>0.18998716302952504</c:v>
                </c:pt>
                <c:pt idx="21">
                  <c:v>0.23562570462232243</c:v>
                </c:pt>
                <c:pt idx="22">
                  <c:v>0.27139303482587063</c:v>
                </c:pt>
                <c:pt idx="23">
                  <c:v>0.145748987854251</c:v>
                </c:pt>
              </c:numCache>
            </c:numRef>
          </c:val>
        </c:ser>
        <c:ser>
          <c:idx val="1"/>
          <c:order val="1"/>
          <c:tx>
            <c:strRef>
              <c:f>Assessments!$Z$4</c:f>
              <c:strCache>
                <c:ptCount val="1"/>
                <c:pt idx="0">
                  <c:v>Selected LA- (none)</c:v>
                </c:pt>
              </c:strCache>
            </c:strRef>
          </c:tx>
          <c:spPr>
            <a:solidFill>
              <a:srgbClr val="66FF99"/>
            </a:solidFill>
            <a:ln w="12700">
              <a:solidFill>
                <a:srgbClr val="000000"/>
              </a:solidFill>
              <a:prstDash val="solid"/>
            </a:ln>
          </c:spPr>
          <c:invertIfNegative val="0"/>
          <c:cat>
            <c:strRef>
              <c:f>Assessments!$B$9:$B$32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11338752"/>
        <c:axId val="211340288"/>
      </c:barChart>
      <c:catAx>
        <c:axId val="21133875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1340288"/>
        <c:crosses val="autoZero"/>
        <c:auto val="1"/>
        <c:lblAlgn val="ctr"/>
        <c:lblOffset val="100"/>
        <c:noMultiLvlLbl val="0"/>
      </c:catAx>
      <c:valAx>
        <c:axId val="211340288"/>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1338752"/>
        <c:crosses val="max"/>
        <c:crossBetween val="between"/>
      </c:valAx>
      <c:spPr>
        <a:noFill/>
        <a:ln w="3175">
          <a:solidFill>
            <a:srgbClr val="000000"/>
          </a:solidFill>
          <a:prstDash val="solid"/>
        </a:ln>
      </c:spPr>
    </c:plotArea>
    <c:legend>
      <c:legendPos val="t"/>
      <c:layout>
        <c:manualLayout>
          <c:xMode val="edge"/>
          <c:yMode val="edge"/>
          <c:x val="0.2503198463828385"/>
          <c:y val="7.189413823272090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Assessments completed in 45 Days</a:t>
            </a:r>
            <a:r>
              <a:rPr lang="en-GB" baseline="0"/>
              <a:t> </a:t>
            </a:r>
            <a:r>
              <a:rPr lang="en-GB"/>
              <a:t>(Selected LA</a:t>
            </a:r>
            <a:r>
              <a:rPr lang="en-GB" baseline="0"/>
              <a:t> vs. SE &amp; National)</a:t>
            </a:r>
            <a:r>
              <a:rPr lang="en-GB"/>
              <a:t> </a:t>
            </a:r>
          </a:p>
        </c:rich>
      </c:tx>
      <c:layout>
        <c:manualLayout>
          <c:xMode val="edge"/>
          <c:yMode val="edge"/>
          <c:x val="0.15377777777777779"/>
          <c:y val="2.5360466305348196E-4"/>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Assessments!$Z$4</c:f>
              <c:strCache>
                <c:ptCount val="1"/>
                <c:pt idx="0">
                  <c:v>Selected LA- (none)</c:v>
                </c:pt>
              </c:strCache>
            </c:strRef>
          </c:tx>
          <c:spPr>
            <a:solidFill>
              <a:srgbClr val="66FF99"/>
            </a:solidFill>
            <a:ln>
              <a:solidFill>
                <a:schemeClr val="tx1">
                  <a:lumMod val="75000"/>
                  <a:lumOff val="25000"/>
                </a:schemeClr>
              </a:solidFill>
            </a:ln>
          </c:spPr>
          <c:invertIfNegative val="0"/>
          <c:cat>
            <c:numRef>
              <c:f>Assessments!$D$109:$H$109</c:f>
              <c:numCache>
                <c:formatCode>General</c:formatCode>
                <c:ptCount val="5"/>
                <c:pt idx="0">
                  <c:v>2014</c:v>
                </c:pt>
                <c:pt idx="1">
                  <c:v>2015</c:v>
                </c:pt>
                <c:pt idx="2">
                  <c:v>2016</c:v>
                </c:pt>
                <c:pt idx="3">
                  <c:v>2017</c:v>
                </c:pt>
                <c:pt idx="4">
                  <c:v>2018</c:v>
                </c:pt>
              </c:numCache>
            </c:numRef>
          </c:cat>
          <c:val>
            <c:numRef>
              <c:f>Assessments!$AX$64:$BB$64</c:f>
              <c:numCache>
                <c:formatCode>0%</c:formatCode>
                <c:ptCount val="5"/>
                <c:pt idx="0">
                  <c:v>#N/A</c:v>
                </c:pt>
                <c:pt idx="1">
                  <c:v>#N/A</c:v>
                </c:pt>
                <c:pt idx="2">
                  <c:v>#N/A</c:v>
                </c:pt>
                <c:pt idx="3">
                  <c:v>#N/A</c:v>
                </c:pt>
                <c:pt idx="4">
                  <c:v>#N/A</c:v>
                </c:pt>
              </c:numCache>
            </c:numRef>
          </c:val>
        </c:ser>
        <c:ser>
          <c:idx val="4"/>
          <c:order val="1"/>
          <c:tx>
            <c:strRef>
              <c:f>Assessments!$B$132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Assessments!$D$109:$H$109</c:f>
              <c:numCache>
                <c:formatCode>General</c:formatCode>
                <c:ptCount val="5"/>
                <c:pt idx="0">
                  <c:v>2014</c:v>
                </c:pt>
                <c:pt idx="1">
                  <c:v>2015</c:v>
                </c:pt>
                <c:pt idx="2">
                  <c:v>2016</c:v>
                </c:pt>
                <c:pt idx="3">
                  <c:v>2017</c:v>
                </c:pt>
                <c:pt idx="4">
                  <c:v>2018</c:v>
                </c:pt>
              </c:numCache>
            </c:numRef>
          </c:cat>
          <c:val>
            <c:numRef>
              <c:f>Assessments!$D$132:$H$132</c:f>
              <c:numCache>
                <c:formatCode>0%</c:formatCode>
                <c:ptCount val="5"/>
                <c:pt idx="0">
                  <c:v>#N/A</c:v>
                </c:pt>
                <c:pt idx="1">
                  <c:v>0.81318407960199002</c:v>
                </c:pt>
                <c:pt idx="2">
                  <c:v>0.82711047848461627</c:v>
                </c:pt>
                <c:pt idx="3">
                  <c:v>0.83836032388663972</c:v>
                </c:pt>
                <c:pt idx="4">
                  <c:v>0.83770299354333788</c:v>
                </c:pt>
              </c:numCache>
            </c:numRef>
          </c:val>
        </c:ser>
        <c:ser>
          <c:idx val="0"/>
          <c:order val="2"/>
          <c:tx>
            <c:strRef>
              <c:f>Assessments!$B$133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numRef>
              <c:f>Assessments!$D$109:$H$109</c:f>
              <c:numCache>
                <c:formatCode>General</c:formatCode>
                <c:ptCount val="5"/>
                <c:pt idx="0">
                  <c:v>2014</c:v>
                </c:pt>
                <c:pt idx="1">
                  <c:v>2015</c:v>
                </c:pt>
                <c:pt idx="2">
                  <c:v>2016</c:v>
                </c:pt>
                <c:pt idx="3">
                  <c:v>2017</c:v>
                </c:pt>
                <c:pt idx="4">
                  <c:v>2018</c:v>
                </c:pt>
              </c:numCache>
            </c:numRef>
          </c:cat>
          <c:val>
            <c:numRef>
              <c:f>Assessments!$D$133:$H$133</c:f>
              <c:numCache>
                <c:formatCode>0%</c:formatCode>
                <c:ptCount val="5"/>
                <c:pt idx="0">
                  <c:v>#N/A</c:v>
                </c:pt>
                <c:pt idx="1">
                  <c:v>0.81499972767378948</c:v>
                </c:pt>
                <c:pt idx="2">
                  <c:v>0.8343537890980337</c:v>
                </c:pt>
                <c:pt idx="3">
                  <c:v>0.82934023200632745</c:v>
                </c:pt>
                <c:pt idx="4">
                  <c:v>0.82693435167725682</c:v>
                </c:pt>
              </c:numCache>
            </c:numRef>
          </c:val>
        </c:ser>
        <c:dLbls>
          <c:showLegendKey val="0"/>
          <c:showVal val="0"/>
          <c:showCatName val="0"/>
          <c:showSerName val="0"/>
          <c:showPercent val="0"/>
          <c:showBubbleSize val="0"/>
        </c:dLbls>
        <c:gapWidth val="100"/>
        <c:axId val="211444096"/>
        <c:axId val="211445632"/>
      </c:barChart>
      <c:catAx>
        <c:axId val="211444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1445632"/>
        <c:crosses val="autoZero"/>
        <c:auto val="1"/>
        <c:lblAlgn val="ctr"/>
        <c:lblOffset val="100"/>
        <c:noMultiLvlLbl val="0"/>
      </c:catAx>
      <c:valAx>
        <c:axId val="21144563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1444096"/>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Single Assessments</a:t>
            </a:r>
            <a:r>
              <a:rPr lang="en-GB" baseline="0"/>
              <a:t> </a:t>
            </a:r>
            <a:r>
              <a:rPr lang="en-GB"/>
              <a:t>completed within each time band </a:t>
            </a:r>
          </a:p>
        </c:rich>
      </c:tx>
      <c:layout>
        <c:manualLayout>
          <c:xMode val="edge"/>
          <c:yMode val="edge"/>
          <c:x val="0.12231399646472763"/>
          <c:y val="8.7452255281276654E-3"/>
        </c:manualLayout>
      </c:layout>
      <c:overlay val="0"/>
      <c:spPr>
        <a:noFill/>
        <a:ln w="25400">
          <a:noFill/>
        </a:ln>
      </c:spPr>
    </c:title>
    <c:autoTitleDeleted val="0"/>
    <c:plotArea>
      <c:layout>
        <c:manualLayout>
          <c:layoutTarget val="inner"/>
          <c:xMode val="edge"/>
          <c:yMode val="edge"/>
          <c:x val="0.28766189940543146"/>
          <c:y val="9.8031702081195882E-2"/>
          <c:w val="0.59469859124752267"/>
          <c:h val="0.8593736222532623"/>
        </c:manualLayout>
      </c:layout>
      <c:barChart>
        <c:barDir val="bar"/>
        <c:grouping val="percentStacked"/>
        <c:varyColors val="0"/>
        <c:ser>
          <c:idx val="0"/>
          <c:order val="0"/>
          <c:tx>
            <c:strRef>
              <c:f>Assessments!$D$144</c:f>
              <c:strCache>
                <c:ptCount val="1"/>
                <c:pt idx="0">
                  <c:v>Within 10 Days</c:v>
                </c:pt>
              </c:strCache>
            </c:strRef>
          </c:tx>
          <c:spPr>
            <a:solidFill>
              <a:srgbClr val="92D050"/>
            </a:solidFill>
            <a:ln>
              <a:solidFill>
                <a:schemeClr val="tx1"/>
              </a:solidFill>
            </a:ln>
          </c:spPr>
          <c:invertIfNegative val="0"/>
          <c:cat>
            <c:strRef>
              <c:f>Assessments!$B$145:$B$168</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Assessments!$D$145:$D$168</c:f>
              <c:numCache>
                <c:formatCode>0%</c:formatCode>
                <c:ptCount val="24"/>
                <c:pt idx="0">
                  <c:v>0.17425149700598802</c:v>
                </c:pt>
                <c:pt idx="1">
                  <c:v>0.18326545723805998</c:v>
                </c:pt>
                <c:pt idx="2">
                  <c:v>0.17391824049725077</c:v>
                </c:pt>
                <c:pt idx="3">
                  <c:v>8.5195530726256977E-2</c:v>
                </c:pt>
                <c:pt idx="4">
                  <c:v>0.29909399773499434</c:v>
                </c:pt>
                <c:pt idx="5">
                  <c:v>0.27659574468085107</c:v>
                </c:pt>
                <c:pt idx="6">
                  <c:v>7.6592128326339826E-2</c:v>
                </c:pt>
                <c:pt idx="7">
                  <c:v>5.8589079314467912E-2</c:v>
                </c:pt>
                <c:pt idx="8">
                  <c:v>0.2797107998192499</c:v>
                </c:pt>
                <c:pt idx="9">
                  <c:v>4.4214162348877373E-2</c:v>
                </c:pt>
                <c:pt idx="10">
                  <c:v>0.30407523510971785</c:v>
                </c:pt>
                <c:pt idx="11">
                  <c:v>0.18237190970978143</c:v>
                </c:pt>
                <c:pt idx="12">
                  <c:v>0</c:v>
                </c:pt>
                <c:pt idx="13">
                  <c:v>0.20286481647269472</c:v>
                </c:pt>
                <c:pt idx="14">
                  <c:v>9.4909404659188956E-2</c:v>
                </c:pt>
                <c:pt idx="15">
                  <c:v>5.92256936163447E-2</c:v>
                </c:pt>
                <c:pt idx="16">
                  <c:v>9.3938432243732148E-2</c:v>
                </c:pt>
                <c:pt idx="17">
                  <c:v>0.12254641909814323</c:v>
                </c:pt>
                <c:pt idx="18">
                  <c:v>0.24157303370786518</c:v>
                </c:pt>
                <c:pt idx="19">
                  <c:v>0.80557776889244304</c:v>
                </c:pt>
                <c:pt idx="20">
                  <c:v>0</c:v>
                </c:pt>
                <c:pt idx="21">
                  <c:v>0.11770072992700729</c:v>
                </c:pt>
                <c:pt idx="22">
                  <c:v>0.21708080610448052</c:v>
                </c:pt>
                <c:pt idx="23">
                  <c:v>0.16356865541557722</c:v>
                </c:pt>
              </c:numCache>
            </c:numRef>
          </c:val>
        </c:ser>
        <c:ser>
          <c:idx val="1"/>
          <c:order val="1"/>
          <c:tx>
            <c:strRef>
              <c:f>Assessments!$E$144</c:f>
              <c:strCache>
                <c:ptCount val="1"/>
                <c:pt idx="0">
                  <c:v>11-20 Days</c:v>
                </c:pt>
              </c:strCache>
            </c:strRef>
          </c:tx>
          <c:spPr>
            <a:solidFill>
              <a:schemeClr val="accent3">
                <a:lumMod val="75000"/>
              </a:schemeClr>
            </a:solidFill>
            <a:ln>
              <a:solidFill>
                <a:srgbClr val="000000"/>
              </a:solidFill>
            </a:ln>
          </c:spPr>
          <c:invertIfNegative val="0"/>
          <c:cat>
            <c:strRef>
              <c:f>Assessments!$B$145:$B$168</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Assessments!$E$145:$E$168</c:f>
              <c:numCache>
                <c:formatCode>0%</c:formatCode>
                <c:ptCount val="24"/>
                <c:pt idx="0">
                  <c:v>0.2221556886227545</c:v>
                </c:pt>
                <c:pt idx="1">
                  <c:v>0.1388374676045909</c:v>
                </c:pt>
                <c:pt idx="2">
                  <c:v>0.13028926607697824</c:v>
                </c:pt>
                <c:pt idx="3">
                  <c:v>0.1430167597765363</c:v>
                </c:pt>
                <c:pt idx="4">
                  <c:v>0.41800679501698756</c:v>
                </c:pt>
                <c:pt idx="5">
                  <c:v>0.28443449048152297</c:v>
                </c:pt>
                <c:pt idx="6">
                  <c:v>0.11504753811016094</c:v>
                </c:pt>
                <c:pt idx="7">
                  <c:v>9.8445595854922283E-2</c:v>
                </c:pt>
                <c:pt idx="8">
                  <c:v>0.27519204699502936</c:v>
                </c:pt>
                <c:pt idx="9">
                  <c:v>9.6545768566493953E-2</c:v>
                </c:pt>
                <c:pt idx="10">
                  <c:v>0.25642633228840123</c:v>
                </c:pt>
                <c:pt idx="11">
                  <c:v>0.12647796488713722</c:v>
                </c:pt>
                <c:pt idx="12">
                  <c:v>7.6043068640646028E-2</c:v>
                </c:pt>
                <c:pt idx="13">
                  <c:v>0.16383169203222919</c:v>
                </c:pt>
                <c:pt idx="14">
                  <c:v>0.15573770491803279</c:v>
                </c:pt>
                <c:pt idx="15">
                  <c:v>0.16821686938548375</c:v>
                </c:pt>
                <c:pt idx="16">
                  <c:v>0.2050142811805776</c:v>
                </c:pt>
                <c:pt idx="17">
                  <c:v>0.2153846153846154</c:v>
                </c:pt>
                <c:pt idx="18">
                  <c:v>0.1348314606741573</c:v>
                </c:pt>
                <c:pt idx="19">
                  <c:v>8.3266693322670934E-2</c:v>
                </c:pt>
                <c:pt idx="20">
                  <c:v>0.1074660633484163</c:v>
                </c:pt>
                <c:pt idx="21">
                  <c:v>0.1478102189781022</c:v>
                </c:pt>
                <c:pt idx="22">
                  <c:v>0.18743885736646448</c:v>
                </c:pt>
                <c:pt idx="23">
                  <c:v>0.17033515569289279</c:v>
                </c:pt>
              </c:numCache>
            </c:numRef>
          </c:val>
        </c:ser>
        <c:ser>
          <c:idx val="2"/>
          <c:order val="2"/>
          <c:tx>
            <c:strRef>
              <c:f>Assessments!$F$144</c:f>
              <c:strCache>
                <c:ptCount val="1"/>
                <c:pt idx="0">
                  <c:v>21-30 Days</c:v>
                </c:pt>
              </c:strCache>
            </c:strRef>
          </c:tx>
          <c:spPr>
            <a:solidFill>
              <a:srgbClr val="FFC000"/>
            </a:solidFill>
            <a:ln>
              <a:solidFill>
                <a:srgbClr val="000000"/>
              </a:solidFill>
            </a:ln>
          </c:spPr>
          <c:invertIfNegative val="0"/>
          <c:cat>
            <c:strRef>
              <c:f>Assessments!$B$145:$B$168</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Assessments!$F$145:$F$168</c:f>
              <c:numCache>
                <c:formatCode>0%</c:formatCode>
                <c:ptCount val="24"/>
                <c:pt idx="0">
                  <c:v>0.18982035928143712</c:v>
                </c:pt>
                <c:pt idx="1">
                  <c:v>0.26952980377637914</c:v>
                </c:pt>
                <c:pt idx="2">
                  <c:v>0.21742768348075545</c:v>
                </c:pt>
                <c:pt idx="3">
                  <c:v>0.15502793296089384</c:v>
                </c:pt>
                <c:pt idx="4">
                  <c:v>0.10203850509626274</c:v>
                </c:pt>
                <c:pt idx="5">
                  <c:v>0.15677491601343785</c:v>
                </c:pt>
                <c:pt idx="6">
                  <c:v>0.23662824666702076</c:v>
                </c:pt>
                <c:pt idx="7">
                  <c:v>0.15464328417696294</c:v>
                </c:pt>
                <c:pt idx="8">
                  <c:v>0.20921825576140984</c:v>
                </c:pt>
                <c:pt idx="9">
                  <c:v>0.12521588946459414</c:v>
                </c:pt>
                <c:pt idx="10">
                  <c:v>0.18777429467084639</c:v>
                </c:pt>
                <c:pt idx="11">
                  <c:v>0.15657470440702256</c:v>
                </c:pt>
                <c:pt idx="12">
                  <c:v>0.2079407806191117</c:v>
                </c:pt>
                <c:pt idx="13">
                  <c:v>0.18316920322291852</c:v>
                </c:pt>
                <c:pt idx="14">
                  <c:v>0.13416738567730802</c:v>
                </c:pt>
                <c:pt idx="15">
                  <c:v>0.17640511964385086</c:v>
                </c:pt>
                <c:pt idx="16">
                  <c:v>0.19105046017137417</c:v>
                </c:pt>
                <c:pt idx="17">
                  <c:v>0.14164456233421752</c:v>
                </c:pt>
                <c:pt idx="18">
                  <c:v>0.11292134831460675</c:v>
                </c:pt>
                <c:pt idx="19">
                  <c:v>4.7780887644942024E-2</c:v>
                </c:pt>
                <c:pt idx="20">
                  <c:v>9.7285067873303169E-2</c:v>
                </c:pt>
                <c:pt idx="21">
                  <c:v>0.19525547445255476</c:v>
                </c:pt>
                <c:pt idx="22">
                  <c:v>0.16171003717472118</c:v>
                </c:pt>
                <c:pt idx="23">
                  <c:v>0.1635528088107123</c:v>
                </c:pt>
              </c:numCache>
            </c:numRef>
          </c:val>
        </c:ser>
        <c:ser>
          <c:idx val="3"/>
          <c:order val="3"/>
          <c:tx>
            <c:strRef>
              <c:f>Assessments!$G$144</c:f>
              <c:strCache>
                <c:ptCount val="1"/>
                <c:pt idx="0">
                  <c:v>31-45 Days</c:v>
                </c:pt>
              </c:strCache>
            </c:strRef>
          </c:tx>
          <c:spPr>
            <a:solidFill>
              <a:schemeClr val="accent6"/>
            </a:solidFill>
            <a:ln>
              <a:solidFill>
                <a:srgbClr val="000000"/>
              </a:solidFill>
            </a:ln>
          </c:spPr>
          <c:invertIfNegative val="0"/>
          <c:cat>
            <c:strRef>
              <c:f>Assessments!$B$145:$B$168</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Assessments!$G$145:$G$168</c:f>
              <c:numCache>
                <c:formatCode>0%</c:formatCode>
                <c:ptCount val="24"/>
                <c:pt idx="0">
                  <c:v>0.31856287425149699</c:v>
                </c:pt>
                <c:pt idx="1">
                  <c:v>0.29692706405035174</c:v>
                </c:pt>
                <c:pt idx="2">
                  <c:v>0.32153956490557017</c:v>
                </c:pt>
                <c:pt idx="3">
                  <c:v>0.22318435754189944</c:v>
                </c:pt>
                <c:pt idx="4">
                  <c:v>9.2865232163080402E-2</c:v>
                </c:pt>
                <c:pt idx="5">
                  <c:v>0.14333706606942889</c:v>
                </c:pt>
                <c:pt idx="6">
                  <c:v>0.44032506506612845</c:v>
                </c:pt>
                <c:pt idx="7">
                  <c:v>0.54762853726584293</c:v>
                </c:pt>
                <c:pt idx="8">
                  <c:v>0.11342069588793494</c:v>
                </c:pt>
                <c:pt idx="9">
                  <c:v>0.25094991364421415</c:v>
                </c:pt>
                <c:pt idx="10">
                  <c:v>0.18746081504702194</c:v>
                </c:pt>
                <c:pt idx="11">
                  <c:v>0.39663203152991761</c:v>
                </c:pt>
                <c:pt idx="12">
                  <c:v>0.28196500672947511</c:v>
                </c:pt>
                <c:pt idx="13">
                  <c:v>0.25675917636526407</c:v>
                </c:pt>
                <c:pt idx="14">
                  <c:v>0.4443485763589301</c:v>
                </c:pt>
                <c:pt idx="15">
                  <c:v>0.35471818109547659</c:v>
                </c:pt>
                <c:pt idx="16">
                  <c:v>0.2269120913995557</c:v>
                </c:pt>
                <c:pt idx="17">
                  <c:v>0.24084880636604775</c:v>
                </c:pt>
                <c:pt idx="18">
                  <c:v>0.49325842696629213</c:v>
                </c:pt>
                <c:pt idx="19">
                  <c:v>4.1183526589364257E-2</c:v>
                </c:pt>
                <c:pt idx="20">
                  <c:v>0.36651583710407237</c:v>
                </c:pt>
                <c:pt idx="21">
                  <c:v>0.27007299270072993</c:v>
                </c:pt>
                <c:pt idx="22">
                  <c:v>0.27147329289767169</c:v>
                </c:pt>
                <c:pt idx="23">
                  <c:v>0.32953014816575549</c:v>
                </c:pt>
              </c:numCache>
            </c:numRef>
          </c:val>
        </c:ser>
        <c:ser>
          <c:idx val="4"/>
          <c:order val="4"/>
          <c:tx>
            <c:strRef>
              <c:f>Assessments!$H$144</c:f>
              <c:strCache>
                <c:ptCount val="1"/>
                <c:pt idx="0">
                  <c:v>Over 45 Days</c:v>
                </c:pt>
              </c:strCache>
            </c:strRef>
          </c:tx>
          <c:spPr>
            <a:solidFill>
              <a:srgbClr val="CB9763"/>
            </a:solidFill>
            <a:ln>
              <a:solidFill>
                <a:srgbClr val="000000"/>
              </a:solidFill>
            </a:ln>
          </c:spPr>
          <c:invertIfNegative val="0"/>
          <c:cat>
            <c:strRef>
              <c:f>Assessments!$B$145:$B$168</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Assessments!$H$145:$H$168</c:f>
              <c:numCache>
                <c:formatCode>0%</c:formatCode>
                <c:ptCount val="24"/>
                <c:pt idx="0">
                  <c:v>9.5209580838323357E-2</c:v>
                </c:pt>
                <c:pt idx="1">
                  <c:v>0.1114402073306183</c:v>
                </c:pt>
                <c:pt idx="2">
                  <c:v>0.15682524503944537</c:v>
                </c:pt>
                <c:pt idx="3">
                  <c:v>0.3935754189944134</c:v>
                </c:pt>
                <c:pt idx="4">
                  <c:v>8.7995469988674968E-2</c:v>
                </c:pt>
                <c:pt idx="5">
                  <c:v>0.13885778275475924</c:v>
                </c:pt>
                <c:pt idx="6">
                  <c:v>0.13140702183035002</c:v>
                </c:pt>
                <c:pt idx="7">
                  <c:v>0.1406935033878039</c:v>
                </c:pt>
                <c:pt idx="8">
                  <c:v>0.12245820153637596</c:v>
                </c:pt>
                <c:pt idx="9">
                  <c:v>0.48307426597582037</c:v>
                </c:pt>
                <c:pt idx="10">
                  <c:v>6.4263322884012541E-2</c:v>
                </c:pt>
                <c:pt idx="11">
                  <c:v>0.13794338946614118</c:v>
                </c:pt>
                <c:pt idx="12">
                  <c:v>0.43405114401076716</c:v>
                </c:pt>
                <c:pt idx="13">
                  <c:v>0.19337511190689347</c:v>
                </c:pt>
                <c:pt idx="14">
                  <c:v>0.17083692838654013</c:v>
                </c:pt>
                <c:pt idx="15">
                  <c:v>0.24143413625884411</c:v>
                </c:pt>
                <c:pt idx="16">
                  <c:v>0.28308473500476039</c:v>
                </c:pt>
                <c:pt idx="17">
                  <c:v>0.27957559681697614</c:v>
                </c:pt>
                <c:pt idx="18">
                  <c:v>1.7415730337078651E-2</c:v>
                </c:pt>
                <c:pt idx="19">
                  <c:v>2.2191123550579769E-2</c:v>
                </c:pt>
                <c:pt idx="20">
                  <c:v>0.42873303167420812</c:v>
                </c:pt>
                <c:pt idx="21">
                  <c:v>0.26916058394160586</c:v>
                </c:pt>
                <c:pt idx="22">
                  <c:v>0.16229700645666209</c:v>
                </c:pt>
                <c:pt idx="23">
                  <c:v>0.17301323191506221</c:v>
                </c:pt>
              </c:numCache>
            </c:numRef>
          </c:val>
        </c:ser>
        <c:dLbls>
          <c:showLegendKey val="0"/>
          <c:showVal val="0"/>
          <c:showCatName val="0"/>
          <c:showSerName val="0"/>
          <c:showPercent val="0"/>
          <c:showBubbleSize val="0"/>
        </c:dLbls>
        <c:gapWidth val="50"/>
        <c:overlap val="100"/>
        <c:axId val="211479552"/>
        <c:axId val="211825408"/>
      </c:barChart>
      <c:catAx>
        <c:axId val="211479552"/>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1825408"/>
        <c:crosses val="autoZero"/>
        <c:auto val="1"/>
        <c:lblAlgn val="ctr"/>
        <c:lblOffset val="100"/>
        <c:noMultiLvlLbl val="0"/>
      </c:catAx>
      <c:valAx>
        <c:axId val="211825408"/>
        <c:scaling>
          <c:orientation val="minMax"/>
        </c:scaling>
        <c:delete val="0"/>
        <c:axPos val="b"/>
        <c:majorGridlines>
          <c:spPr>
            <a:ln w="12700">
              <a:solidFill>
                <a:schemeClr val="bg1">
                  <a:lumMod val="75000"/>
                </a:schemeClr>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1479552"/>
        <c:crosses val="max"/>
        <c:crossBetween val="between"/>
      </c:valAx>
      <c:spPr>
        <a:noFill/>
        <a:ln w="3175">
          <a:solidFill>
            <a:srgbClr val="000000"/>
          </a:solidFill>
          <a:prstDash val="solid"/>
        </a:ln>
      </c:spPr>
    </c:plotArea>
    <c:legend>
      <c:legendPos val="r"/>
      <c:layout>
        <c:manualLayout>
          <c:xMode val="edge"/>
          <c:yMode val="edge"/>
          <c:x val="2.1225561090577962E-2"/>
          <c:y val="6.1796890773268727E-2"/>
          <c:w val="0.95332754834217148"/>
          <c:h val="3.519318326967371E-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in Need vs. IDACI</a:t>
            </a:r>
          </a:p>
        </c:rich>
      </c:tx>
      <c:layout>
        <c:manualLayout>
          <c:xMode val="edge"/>
          <c:yMode val="edge"/>
          <c:x val="0.24509394367662085"/>
          <c:y val="3.6125811358121193E-2"/>
        </c:manualLayout>
      </c:layout>
      <c:overlay val="0"/>
      <c:spPr>
        <a:noFill/>
        <a:ln w="25400">
          <a:noFill/>
        </a:ln>
      </c:spPr>
    </c:title>
    <c:autoTitleDeleted val="0"/>
    <c:plotArea>
      <c:layout>
        <c:manualLayout>
          <c:layoutTarget val="inner"/>
          <c:xMode val="edge"/>
          <c:yMode val="edge"/>
          <c:x val="0.17225028244018517"/>
          <c:y val="0.10979913708990673"/>
          <c:w val="0.71042412839987923"/>
          <c:h val="0.7425640385641078"/>
        </c:manualLayout>
      </c:layout>
      <c:scatterChart>
        <c:scatterStyle val="smoothMarker"/>
        <c:varyColors val="0"/>
        <c:ser>
          <c:idx val="5"/>
          <c:order val="4"/>
          <c:tx>
            <c:strRef>
              <c:f>'Children in Need'!$X$67</c:f>
              <c:strCache>
                <c:ptCount val="1"/>
                <c:pt idx="0">
                  <c:v>National Trend 2016</c:v>
                </c:pt>
              </c:strCache>
            </c:strRef>
          </c:tx>
          <c:spPr>
            <a:ln w="15875">
              <a:solidFill>
                <a:schemeClr val="tx1">
                  <a:lumMod val="75000"/>
                  <a:lumOff val="25000"/>
                </a:schemeClr>
              </a:solidFill>
            </a:ln>
          </c:spPr>
          <c:marker>
            <c:symbol val="none"/>
          </c:marker>
          <c:dLbls>
            <c:dLbl>
              <c:idx val="0"/>
              <c:delete val="1"/>
            </c:dLbl>
            <c:dLbl>
              <c:idx val="1"/>
              <c:layout>
                <c:manualLayout>
                  <c:x val="-6.8535825545171333E-2"/>
                  <c:y val="6.8605502156575557E-2"/>
                </c:manualLayout>
              </c:layout>
              <c:tx>
                <c:strRef>
                  <c:f>'Children in Need'!$AC$67</c:f>
                  <c:strCache>
                    <c:ptCount val="1"/>
                    <c:pt idx="0">
                      <c:v>r² = 0.433</c:v>
                    </c:pt>
                  </c:strCache>
                </c:strRef>
              </c:tx>
              <c:spPr/>
              <c:txPr>
                <a:bodyPr/>
                <a:lstStyle/>
                <a:p>
                  <a:pPr>
                    <a:defRPr sz="900"/>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xVal>
            <c:numRef>
              <c:f>'Children in Need'!$AA$67:$AA$68</c:f>
              <c:numCache>
                <c:formatCode>General</c:formatCode>
                <c:ptCount val="2"/>
                <c:pt idx="0" formatCode="#,##0.0">
                  <c:v>5</c:v>
                </c:pt>
                <c:pt idx="1">
                  <c:v>35</c:v>
                </c:pt>
              </c:numCache>
            </c:numRef>
          </c:xVal>
          <c:yVal>
            <c:numRef>
              <c:f>'Children in Need'!$AB$67:$AB$68</c:f>
              <c:numCache>
                <c:formatCode>0.0</c:formatCode>
                <c:ptCount val="2"/>
                <c:pt idx="0">
                  <c:v>213.58725999999999</c:v>
                </c:pt>
                <c:pt idx="1">
                  <c:v>499.34361999999999</c:v>
                </c:pt>
              </c:numCache>
            </c:numRef>
          </c:yVal>
          <c:smooth val="1"/>
        </c:ser>
        <c:dLbls>
          <c:showLegendKey val="0"/>
          <c:showVal val="0"/>
          <c:showCatName val="0"/>
          <c:showSerName val="0"/>
          <c:showPercent val="0"/>
          <c:showBubbleSize val="0"/>
        </c:dLbls>
        <c:axId val="211147392"/>
        <c:axId val="211657856"/>
      </c:scatterChart>
      <c:scatterChart>
        <c:scatterStyle val="lineMarker"/>
        <c:varyColors val="0"/>
        <c:ser>
          <c:idx val="0"/>
          <c:order val="0"/>
          <c:tx>
            <c:strRef>
              <c:f>'Children in Need'!$AQ$37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tx>
                <c:rich>
                  <a:bodyPr/>
                  <a:lstStyle/>
                  <a:p>
                    <a:r>
                      <a:rPr lang="en-US"/>
                      <a:t>Bracknell Forest</a:t>
                    </a:r>
                  </a:p>
                </c:rich>
              </c:tx>
              <c:dLblPos val="l"/>
              <c:showLegendKey val="0"/>
              <c:showVal val="0"/>
              <c:showCatName val="1"/>
              <c:showSerName val="0"/>
              <c:showPercent val="0"/>
              <c:showBubbleSize val="0"/>
            </c:dLbl>
            <c:dLbl>
              <c:idx val="1"/>
              <c:layout/>
              <c:tx>
                <c:rich>
                  <a:bodyPr/>
                  <a:lstStyle/>
                  <a:p>
                    <a:r>
                      <a:rPr lang="en-US"/>
                      <a:t>Brighton &amp; Hove</a:t>
                    </a:r>
                  </a:p>
                </c:rich>
              </c:tx>
              <c:dLblPos val="l"/>
              <c:showLegendKey val="0"/>
              <c:showVal val="0"/>
              <c:showCatName val="1"/>
              <c:showSerName val="0"/>
              <c:showPercent val="0"/>
              <c:showBubbleSize val="0"/>
            </c:dLbl>
            <c:dLbl>
              <c:idx val="2"/>
              <c:layout/>
              <c:tx>
                <c:rich>
                  <a:bodyPr/>
                  <a:lstStyle/>
                  <a:p>
                    <a:r>
                      <a:rPr lang="en-US"/>
                      <a:t>Buckinghamshire</a:t>
                    </a:r>
                  </a:p>
                </c:rich>
              </c:tx>
              <c:dLblPos val="l"/>
              <c:showLegendKey val="0"/>
              <c:showVal val="0"/>
              <c:showCatName val="1"/>
              <c:showSerName val="0"/>
              <c:showPercent val="0"/>
              <c:showBubbleSize val="0"/>
            </c:dLbl>
            <c:dLbl>
              <c:idx val="3"/>
              <c:layout>
                <c:manualLayout>
                  <c:x val="-3.7348272642390233E-2"/>
                  <c:y val="1.4762323110753922E-2"/>
                </c:manualLayout>
              </c:layout>
              <c:tx>
                <c:rich>
                  <a:bodyPr/>
                  <a:lstStyle/>
                  <a:p>
                    <a:r>
                      <a:rPr lang="en-US"/>
                      <a:t>East Sussex</a:t>
                    </a:r>
                  </a:p>
                </c:rich>
              </c:tx>
              <c:dLblPos val="r"/>
              <c:showLegendKey val="0"/>
              <c:showVal val="0"/>
              <c:showCatName val="1"/>
              <c:showSerName val="0"/>
              <c:showPercent val="0"/>
              <c:showBubbleSize val="0"/>
            </c:dLbl>
            <c:dLbl>
              <c:idx val="4"/>
              <c:layout/>
              <c:tx>
                <c:rich>
                  <a:bodyPr/>
                  <a:lstStyle/>
                  <a:p>
                    <a:r>
                      <a:rPr lang="en-US"/>
                      <a:t>Hampshire</a:t>
                    </a:r>
                  </a:p>
                </c:rich>
              </c:tx>
              <c:dLblPos val="l"/>
              <c:showLegendKey val="0"/>
              <c:showVal val="0"/>
              <c:showCatName val="1"/>
              <c:showSerName val="0"/>
              <c:showPercent val="0"/>
              <c:showBubbleSize val="0"/>
            </c:dLbl>
            <c:dLbl>
              <c:idx val="5"/>
              <c:layout/>
              <c:tx>
                <c:rich>
                  <a:bodyPr/>
                  <a:lstStyle/>
                  <a:p>
                    <a:r>
                      <a:rPr lang="en-US"/>
                      <a:t>Isle of Wight</a:t>
                    </a:r>
                  </a:p>
                </c:rich>
              </c:tx>
              <c:dLblPos val="l"/>
              <c:showLegendKey val="0"/>
              <c:showVal val="0"/>
              <c:showCatName val="1"/>
              <c:showSerName val="0"/>
              <c:showPercent val="0"/>
              <c:showBubbleSize val="0"/>
            </c:dLbl>
            <c:dLbl>
              <c:idx val="6"/>
              <c:layout>
                <c:manualLayout>
                  <c:x val="-2.2829009118958171E-2"/>
                  <c:y val="-1.7714787732904708E-2"/>
                </c:manualLayout>
              </c:layout>
              <c:tx>
                <c:rich>
                  <a:bodyPr/>
                  <a:lstStyle/>
                  <a:p>
                    <a:r>
                      <a:rPr lang="en-US"/>
                      <a:t>Kent</a:t>
                    </a:r>
                  </a:p>
                </c:rich>
              </c:tx>
              <c:dLblPos val="r"/>
              <c:showLegendKey val="0"/>
              <c:showVal val="0"/>
              <c:showCatName val="1"/>
              <c:showSerName val="0"/>
              <c:showPercent val="0"/>
              <c:showBubbleSize val="0"/>
            </c:dLbl>
            <c:dLbl>
              <c:idx val="7"/>
              <c:layout/>
              <c:tx>
                <c:rich>
                  <a:bodyPr/>
                  <a:lstStyle/>
                  <a:p>
                    <a:r>
                      <a:rPr lang="en-US"/>
                      <a:t>Medway</a:t>
                    </a:r>
                  </a:p>
                </c:rich>
              </c:tx>
              <c:dLblPos val="r"/>
              <c:showLegendKey val="0"/>
              <c:showVal val="0"/>
              <c:showCatName val="1"/>
              <c:showSerName val="0"/>
              <c:showPercent val="0"/>
              <c:showBubbleSize val="0"/>
            </c:dLbl>
            <c:dLbl>
              <c:idx val="8"/>
              <c:layout/>
              <c:tx>
                <c:rich>
                  <a:bodyPr/>
                  <a:lstStyle/>
                  <a:p>
                    <a:r>
                      <a:rPr lang="en-US"/>
                      <a:t>Milton Keynes</a:t>
                    </a:r>
                  </a:p>
                </c:rich>
              </c:tx>
              <c:dLblPos val="r"/>
              <c:showLegendKey val="0"/>
              <c:showVal val="0"/>
              <c:showCatName val="1"/>
              <c:showSerName val="0"/>
              <c:showPercent val="0"/>
              <c:showBubbleSize val="0"/>
            </c:dLbl>
            <c:dLbl>
              <c:idx val="9"/>
              <c:layout/>
              <c:tx>
                <c:rich>
                  <a:bodyPr/>
                  <a:lstStyle/>
                  <a:p>
                    <a:r>
                      <a:rPr lang="en-US"/>
                      <a:t>Oxfordshire</a:t>
                    </a:r>
                  </a:p>
                </c:rich>
              </c:tx>
              <c:dLblPos val="l"/>
              <c:showLegendKey val="0"/>
              <c:showVal val="0"/>
              <c:showCatName val="1"/>
              <c:showSerName val="0"/>
              <c:showPercent val="0"/>
              <c:showBubbleSize val="0"/>
            </c:dLbl>
            <c:dLbl>
              <c:idx val="10"/>
              <c:layout/>
              <c:tx>
                <c:rich>
                  <a:bodyPr/>
                  <a:lstStyle/>
                  <a:p>
                    <a:r>
                      <a:rPr lang="en-US"/>
                      <a:t>Portsmouth</a:t>
                    </a:r>
                  </a:p>
                </c:rich>
              </c:tx>
              <c:dLblPos val="l"/>
              <c:showLegendKey val="0"/>
              <c:showVal val="0"/>
              <c:showCatName val="1"/>
              <c:showSerName val="0"/>
              <c:showPercent val="0"/>
              <c:showBubbleSize val="0"/>
            </c:dLbl>
            <c:dLbl>
              <c:idx val="11"/>
              <c:layout/>
              <c:tx>
                <c:rich>
                  <a:bodyPr/>
                  <a:lstStyle/>
                  <a:p>
                    <a:r>
                      <a:rPr lang="en-US"/>
                      <a:t>Reading</a:t>
                    </a:r>
                  </a:p>
                </c:rich>
              </c:tx>
              <c:dLblPos val="l"/>
              <c:showLegendKey val="0"/>
              <c:showVal val="0"/>
              <c:showCatName val="1"/>
              <c:showSerName val="0"/>
              <c:showPercent val="0"/>
              <c:showBubbleSize val="0"/>
            </c:dLbl>
            <c:dLbl>
              <c:idx val="12"/>
              <c:layout>
                <c:manualLayout>
                  <c:x val="-9.3370681605975722E-3"/>
                  <c:y val="0"/>
                </c:manualLayout>
              </c:layout>
              <c:tx>
                <c:rich>
                  <a:bodyPr/>
                  <a:lstStyle/>
                  <a:p>
                    <a:r>
                      <a:rPr lang="en-US"/>
                      <a:t>Slough</a:t>
                    </a:r>
                  </a:p>
                </c:rich>
              </c:tx>
              <c:dLblPos val="r"/>
              <c:showLegendKey val="0"/>
              <c:showVal val="0"/>
              <c:showCatName val="1"/>
              <c:showSerName val="0"/>
              <c:showPercent val="0"/>
              <c:showBubbleSize val="0"/>
            </c:dLbl>
            <c:dLbl>
              <c:idx val="13"/>
              <c:layout/>
              <c:tx>
                <c:rich>
                  <a:bodyPr/>
                  <a:lstStyle/>
                  <a:p>
                    <a:r>
                      <a:rPr lang="en-US"/>
                      <a:t>Southampton</a:t>
                    </a:r>
                  </a:p>
                </c:rich>
              </c:tx>
              <c:dLblPos val="l"/>
              <c:showLegendKey val="0"/>
              <c:showVal val="0"/>
              <c:showCatName val="1"/>
              <c:showSerName val="0"/>
              <c:showPercent val="0"/>
              <c:showBubbleSize val="0"/>
            </c:dLbl>
            <c:dLbl>
              <c:idx val="14"/>
              <c:layout/>
              <c:tx>
                <c:rich>
                  <a:bodyPr/>
                  <a:lstStyle/>
                  <a:p>
                    <a:r>
                      <a:rPr lang="en-US"/>
                      <a:t>Surrey</a:t>
                    </a:r>
                  </a:p>
                </c:rich>
              </c:tx>
              <c:dLblPos val="l"/>
              <c:showLegendKey val="0"/>
              <c:showVal val="0"/>
              <c:showCatName val="1"/>
              <c:showSerName val="0"/>
              <c:showPercent val="0"/>
              <c:showBubbleSize val="0"/>
            </c:dLbl>
            <c:dLbl>
              <c:idx val="15"/>
              <c:layout/>
              <c:tx>
                <c:rich>
                  <a:bodyPr/>
                  <a:lstStyle/>
                  <a:p>
                    <a:r>
                      <a:rPr lang="en-US"/>
                      <a:t>West Berkshire</a:t>
                    </a:r>
                  </a:p>
                </c:rich>
              </c:tx>
              <c:dLblPos val="l"/>
              <c:showLegendKey val="0"/>
              <c:showVal val="0"/>
              <c:showCatName val="1"/>
              <c:showSerName val="0"/>
              <c:showPercent val="0"/>
              <c:showBubbleSize val="0"/>
            </c:dLbl>
            <c:dLbl>
              <c:idx val="16"/>
              <c:layout/>
              <c:tx>
                <c:rich>
                  <a:bodyPr/>
                  <a:lstStyle/>
                  <a:p>
                    <a:r>
                      <a:rPr lang="en-US"/>
                      <a:t>West Sussex</a:t>
                    </a:r>
                  </a:p>
                </c:rich>
              </c:tx>
              <c:dLblPos val="l"/>
              <c:showLegendKey val="0"/>
              <c:showVal val="0"/>
              <c:showCatName val="1"/>
              <c:showSerName val="0"/>
              <c:showPercent val="0"/>
              <c:showBubbleSize val="0"/>
            </c:dLbl>
            <c:dLbl>
              <c:idx val="17"/>
              <c:layout/>
              <c:tx>
                <c:rich>
                  <a:bodyPr/>
                  <a:lstStyle/>
                  <a:p>
                    <a:r>
                      <a:rPr lang="en-US"/>
                      <a:t>Windsor &amp; Maidenhead</a:t>
                    </a:r>
                  </a:p>
                </c:rich>
              </c:tx>
              <c:dLblPos val="l"/>
              <c:showLegendKey val="0"/>
              <c:showVal val="0"/>
              <c:showCatName val="1"/>
              <c:showSerName val="0"/>
              <c:showPercent val="0"/>
              <c:showBubbleSize val="0"/>
            </c:dLbl>
            <c:dLbl>
              <c:idx val="18"/>
              <c:layout/>
              <c:tx>
                <c:rich>
                  <a:bodyPr/>
                  <a:lstStyle/>
                  <a:p>
                    <a:r>
                      <a:rPr lang="en-US"/>
                      <a:t>Wokingham</a:t>
                    </a:r>
                  </a:p>
                </c:rich>
              </c:tx>
              <c:dLblPos val="l"/>
              <c:showLegendKey val="0"/>
              <c:showVal val="0"/>
              <c:showCatName val="1"/>
              <c:showSerName val="0"/>
              <c:showPercent val="0"/>
              <c:showBubbleSize val="0"/>
            </c:dLbl>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dLbls>
          <c:xVal>
            <c:numRef>
              <c:f>('Children in Need'!$AQ$40:$AQ$52,'Children in Need'!$AQ$54:$AQ$55,'Children in Need'!$AQ$58:$AQ$61)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('Children in Need'!$AP$40:$AP$52,'Children in Need'!$AP$54:$AP$55,'Children in Need'!$AP$58:$AP$61)</c:f>
              <c:numCache>
                <c:formatCode>0.0</c:formatCode>
                <c:ptCount val="19"/>
                <c:pt idx="0">
                  <c:v>353.74585871540023</c:v>
                </c:pt>
                <c:pt idx="1">
                  <c:v>426.62952864792771</c:v>
                </c:pt>
                <c:pt idx="2">
                  <c:v>301.76721511273615</c:v>
                </c:pt>
                <c:pt idx="3">
                  <c:v>295.53491442312225</c:v>
                </c:pt>
                <c:pt idx="4">
                  <c:v>292.43171887022879</c:v>
                </c:pt>
                <c:pt idx="5">
                  <c:v>490.91997605268409</c:v>
                </c:pt>
                <c:pt idx="6">
                  <c:v>298.1046743431819</c:v>
                </c:pt>
                <c:pt idx="7">
                  <c:v>304.17715778114882</c:v>
                </c:pt>
                <c:pt idx="8">
                  <c:v>277.02632784898077</c:v>
                </c:pt>
                <c:pt idx="9">
                  <c:v>299.28055547809601</c:v>
                </c:pt>
                <c:pt idx="10">
                  <c:v>395.54670528602463</c:v>
                </c:pt>
                <c:pt idx="11">
                  <c:v>453.724422397757</c:v>
                </c:pt>
                <c:pt idx="12">
                  <c:v>289.94784257942155</c:v>
                </c:pt>
                <c:pt idx="13">
                  <c:v>475.89702812841665</c:v>
                </c:pt>
                <c:pt idx="14">
                  <c:v>269.64522387199634</c:v>
                </c:pt>
                <c:pt idx="15">
                  <c:v>285.27521654093323</c:v>
                </c:pt>
                <c:pt idx="16">
                  <c:v>417.41448860521348</c:v>
                </c:pt>
                <c:pt idx="17">
                  <c:v>223.27666511411272</c:v>
                </c:pt>
                <c:pt idx="18">
                  <c:v>250.37465764043202</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layout>
                <c:manualLayout>
                  <c:x val="-4.3572984749455396E-2"/>
                  <c:y val="1.7714787732904708E-2"/>
                </c:manualLayout>
              </c:layout>
              <c:tx>
                <c:rich>
                  <a:bodyPr/>
                  <a:lstStyle/>
                  <a:p>
                    <a:r>
                      <a:rPr lang="en-GB"/>
                      <a:t>Somerset</a:t>
                    </a:r>
                  </a:p>
                </c:rich>
              </c:tx>
              <c:dLblPos val="r"/>
              <c:showLegendKey val="0"/>
              <c:showVal val="0"/>
              <c:showCatName val="0"/>
              <c:showSerName val="1"/>
              <c:showPercent val="0"/>
              <c:showBubbleSize val="0"/>
            </c:dLbl>
            <c:dLbl>
              <c:idx val="1"/>
              <c:layout/>
              <c:tx>
                <c:rich>
                  <a:bodyPr/>
                  <a:lstStyle/>
                  <a:p>
                    <a:r>
                      <a:rPr lang="en-GB"/>
                      <a:t>Swindon</a:t>
                    </a:r>
                  </a:p>
                </c:rich>
              </c:tx>
              <c:dLblPos val="r"/>
              <c:showLegendKey val="0"/>
              <c:showVal val="0"/>
              <c:showCatName val="0"/>
              <c:showSerName val="1"/>
              <c:showPercent val="0"/>
              <c:showBubbleSize val="0"/>
            </c:dLbl>
            <c:dLbl>
              <c:idx val="2"/>
              <c:layout/>
              <c:tx>
                <c:rich>
                  <a:bodyPr/>
                  <a:lstStyle/>
                  <a:p>
                    <a:r>
                      <a:rPr lang="en-GB"/>
                      <a:t>Torbay</a:t>
                    </a:r>
                  </a:p>
                </c:rich>
              </c:tx>
              <c:dLblPos val="r"/>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('Children in Need'!$AQ$53,'Children in Need'!$AQ$56,'Children in Need'!$AQ$57)</c:f>
              <c:numCache>
                <c:formatCode>0.0</c:formatCode>
                <c:ptCount val="3"/>
                <c:pt idx="0">
                  <c:v>14.8</c:v>
                </c:pt>
                <c:pt idx="1">
                  <c:v>17.2</c:v>
                </c:pt>
                <c:pt idx="2">
                  <c:v>24.1</c:v>
                </c:pt>
              </c:numCache>
            </c:numRef>
          </c:xVal>
          <c:yVal>
            <c:numRef>
              <c:f>('Children in Need'!$AP$53,'Children in Need'!$AP$56,'Children in Need'!$AP$57)</c:f>
              <c:numCache>
                <c:formatCode>0.0</c:formatCode>
                <c:ptCount val="3"/>
                <c:pt idx="0">
                  <c:v>290.05123360343009</c:v>
                </c:pt>
                <c:pt idx="1">
                  <c:v>543.42600753144779</c:v>
                </c:pt>
                <c:pt idx="2">
                  <c:v>455.9940197505606</c:v>
                </c:pt>
              </c:numCache>
            </c:numRef>
          </c:yVal>
          <c:smooth val="0"/>
        </c:ser>
        <c:ser>
          <c:idx val="2"/>
          <c:order val="2"/>
          <c:tx>
            <c:strRef>
              <c:f>'Children in Need'!$X$65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6.9638678342777247E-2"/>
                  <c:y val="-3.3747988339178463E-2"/>
                </c:manualLayout>
              </c:layout>
              <c:tx>
                <c:rich>
                  <a:bodyPr/>
                  <a:lstStyle/>
                  <a:p>
                    <a:r>
                      <a:rPr lang="en-US" sz="900">
                        <a:solidFill>
                          <a:srgbClr val="C00000"/>
                        </a:solidFill>
                      </a:rPr>
                      <a:t>r² = 0.365</a:t>
                    </a:r>
                    <a:endParaRPr lang="en-US"/>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'Children in Need'!$AA$65:$AA$66</c:f>
              <c:numCache>
                <c:formatCode>General</c:formatCode>
                <c:ptCount val="2"/>
                <c:pt idx="0" formatCode="#,##0.0">
                  <c:v>5</c:v>
                </c:pt>
                <c:pt idx="1">
                  <c:v>35</c:v>
                </c:pt>
              </c:numCache>
            </c:numRef>
          </c:xVal>
          <c:yVal>
            <c:numRef>
              <c:f>'Children in Need'!$AB$65:$AB$66</c:f>
              <c:numCache>
                <c:formatCode>0.0</c:formatCode>
                <c:ptCount val="2"/>
                <c:pt idx="0">
                  <c:v>244.76299999999998</c:v>
                </c:pt>
                <c:pt idx="1">
                  <c:v>505.601</c:v>
                </c:pt>
              </c:numCache>
            </c:numRef>
          </c:yVal>
          <c:smooth val="0"/>
        </c:ser>
        <c:ser>
          <c:idx val="4"/>
          <c:order val="3"/>
          <c:tx>
            <c:strRef>
              <c:f>'Children in Need'!$B$31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'Children in Need'!$R$31</c:f>
              <c:numCache>
                <c:formatCode>0.0</c:formatCode>
                <c:ptCount val="1"/>
                <c:pt idx="0">
                  <c:v>14.45223640702325</c:v>
                </c:pt>
              </c:numCache>
            </c:numRef>
          </c:xVal>
          <c:yVal>
            <c:numRef>
              <c:f>'Children in Need'!$O$31</c:f>
              <c:numCache>
                <c:formatCode>0.0</c:formatCode>
                <c:ptCount val="1"/>
                <c:pt idx="0">
                  <c:v>317.51176136202872</c:v>
                </c:pt>
              </c:numCache>
            </c:numRef>
          </c:yVal>
          <c:smooth val="0"/>
        </c:ser>
        <c:ser>
          <c:idx val="1"/>
          <c:order val="5"/>
          <c:tx>
            <c:strRef>
              <c:f>'Children in Need'!$Z$4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'Children in Need'!$Y$40</c:f>
              <c:numCache>
                <c:formatCode>0.00</c:formatCode>
                <c:ptCount val="1"/>
                <c:pt idx="0">
                  <c:v>#N/A</c:v>
                </c:pt>
              </c:numCache>
            </c:numRef>
          </c:xVal>
          <c:yVal>
            <c:numRef>
              <c:f>'Children in Need'!$Z$40</c:f>
              <c:numCache>
                <c:formatCode>0.00</c:formatCode>
                <c:ptCount val="1"/>
                <c:pt idx="0">
                  <c:v>#N/A</c:v>
                </c:pt>
              </c:numCache>
            </c:numRef>
          </c:yVal>
          <c:smooth val="0"/>
        </c:ser>
        <c:dLbls>
          <c:showLegendKey val="0"/>
          <c:showVal val="0"/>
          <c:showCatName val="0"/>
          <c:showSerName val="0"/>
          <c:showPercent val="0"/>
          <c:showBubbleSize val="0"/>
        </c:dLbls>
        <c:axId val="211147392"/>
        <c:axId val="211657856"/>
      </c:scatterChart>
      <c:valAx>
        <c:axId val="211147392"/>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1657856"/>
        <c:crosses val="autoZero"/>
        <c:crossBetween val="midCat"/>
      </c:valAx>
      <c:valAx>
        <c:axId val="211657856"/>
        <c:scaling>
          <c:orientation val="minMax"/>
          <c:min val="100"/>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in Need per 10,000 0-17 year olds</a:t>
                </a:r>
              </a:p>
            </c:rich>
          </c:tx>
          <c:layout>
            <c:manualLayout>
              <c:xMode val="edge"/>
              <c:yMode val="edge"/>
              <c:x val="6.6789763167715926E-2"/>
              <c:y val="0.185723854985677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114739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in Need, per 10,000 0-17 year olds</a:t>
            </a:r>
          </a:p>
        </c:rich>
      </c:tx>
      <c:layout>
        <c:manualLayout>
          <c:xMode val="edge"/>
          <c:yMode val="edge"/>
          <c:x val="0.17164814872449241"/>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313872900079858"/>
        </c:manualLayout>
      </c:layout>
      <c:lineChart>
        <c:grouping val="standard"/>
        <c:varyColors val="0"/>
        <c:ser>
          <c:idx val="0"/>
          <c:order val="0"/>
          <c:tx>
            <c:strRef>
              <c:f>'Children in Need'!$AK$40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'Children in Need'!$D$8:$H$8</c:f>
              <c:numCache>
                <c:formatCode>General</c:formatCode>
                <c:ptCount val="5"/>
                <c:pt idx="0">
                  <c:v>2014</c:v>
                </c:pt>
                <c:pt idx="1">
                  <c:v>2015</c:v>
                </c:pt>
                <c:pt idx="2">
                  <c:v>2016</c:v>
                </c:pt>
                <c:pt idx="3">
                  <c:v>2017</c:v>
                </c:pt>
                <c:pt idx="4">
                  <c:v>2018</c:v>
                </c:pt>
              </c:numCache>
            </c:numRef>
          </c:cat>
          <c:val>
            <c:numRef>
              <c:f>'Children in Need'!$AL$40:$AP$40</c:f>
              <c:numCache>
                <c:formatCode>0.0</c:formatCode>
                <c:ptCount val="5"/>
                <c:pt idx="0">
                  <c:v>285.60885608856086</c:v>
                </c:pt>
                <c:pt idx="1">
                  <c:v>269.06474820143887</c:v>
                </c:pt>
                <c:pt idx="2">
                  <c:v>297.51773049645391</c:v>
                </c:pt>
                <c:pt idx="3">
                  <c:v>348.1933697735501</c:v>
                </c:pt>
                <c:pt idx="4">
                  <c:v>353.74585871540023</c:v>
                </c:pt>
              </c:numCache>
            </c:numRef>
          </c:val>
          <c:smooth val="0"/>
        </c:ser>
        <c:ser>
          <c:idx val="1"/>
          <c:order val="1"/>
          <c:tx>
            <c:strRef>
              <c:f>'Children in Need'!$AK$41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Need'!$AL$41:$AP$41</c:f>
              <c:numCache>
                <c:formatCode>0.0</c:formatCode>
                <c:ptCount val="5"/>
                <c:pt idx="0">
                  <c:v>355.6435643564356</c:v>
                </c:pt>
                <c:pt idx="1">
                  <c:v>485.29411764705884</c:v>
                </c:pt>
                <c:pt idx="2">
                  <c:v>458.3984375</c:v>
                </c:pt>
                <c:pt idx="3">
                  <c:v>422.37865876250459</c:v>
                </c:pt>
                <c:pt idx="4">
                  <c:v>426.62952864792771</c:v>
                </c:pt>
              </c:numCache>
            </c:numRef>
          </c:val>
          <c:smooth val="0"/>
        </c:ser>
        <c:ser>
          <c:idx val="2"/>
          <c:order val="2"/>
          <c:tx>
            <c:strRef>
              <c:f>'Children in Need'!$AK$42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Need'!$AL$42:$AP$42</c:f>
              <c:numCache>
                <c:formatCode>0.0</c:formatCode>
                <c:ptCount val="5"/>
                <c:pt idx="0">
                  <c:v>205.52721088435374</c:v>
                </c:pt>
                <c:pt idx="1">
                  <c:v>227.33389402859547</c:v>
                </c:pt>
                <c:pt idx="2">
                  <c:v>218.49087893864015</c:v>
                </c:pt>
                <c:pt idx="3">
                  <c:v>275.19332269547073</c:v>
                </c:pt>
                <c:pt idx="4">
                  <c:v>301.76721511273615</c:v>
                </c:pt>
              </c:numCache>
            </c:numRef>
          </c:val>
          <c:smooth val="0"/>
        </c:ser>
        <c:ser>
          <c:idx val="5"/>
          <c:order val="3"/>
          <c:tx>
            <c:strRef>
              <c:f>'Children in Need'!$AK$43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Need'!$AL$43:$AP$43</c:f>
              <c:numCache>
                <c:formatCode>0.0</c:formatCode>
                <c:ptCount val="5"/>
                <c:pt idx="0">
                  <c:v>412.69083969465652</c:v>
                </c:pt>
                <c:pt idx="1">
                  <c:v>317.93168880455408</c:v>
                </c:pt>
                <c:pt idx="2">
                  <c:v>283.19169027384328</c:v>
                </c:pt>
                <c:pt idx="3">
                  <c:v>296.44175485966218</c:v>
                </c:pt>
                <c:pt idx="4">
                  <c:v>295.53491442312225</c:v>
                </c:pt>
              </c:numCache>
            </c:numRef>
          </c:val>
          <c:smooth val="0"/>
        </c:ser>
        <c:ser>
          <c:idx val="9"/>
          <c:order val="4"/>
          <c:tx>
            <c:strRef>
              <c:f>'Children in Need'!$AK$44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Need'!$AL$44:$AP$44</c:f>
              <c:numCache>
                <c:formatCode>0.0</c:formatCode>
                <c:ptCount val="5"/>
                <c:pt idx="0">
                  <c:v>284.49804895352963</c:v>
                </c:pt>
                <c:pt idx="1">
                  <c:v>277.72646536412077</c:v>
                </c:pt>
                <c:pt idx="2">
                  <c:v>309.7552323518978</c:v>
                </c:pt>
                <c:pt idx="3">
                  <c:v>308.10740087202208</c:v>
                </c:pt>
                <c:pt idx="4">
                  <c:v>292.43171887022879</c:v>
                </c:pt>
              </c:numCache>
            </c:numRef>
          </c:val>
          <c:smooth val="0"/>
        </c:ser>
        <c:ser>
          <c:idx val="10"/>
          <c:order val="5"/>
          <c:tx>
            <c:strRef>
              <c:f>'Children in Need'!$AK$45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Need'!$AL$45:$AP$45</c:f>
              <c:numCache>
                <c:formatCode>0.0</c:formatCode>
                <c:ptCount val="5"/>
                <c:pt idx="0">
                  <c:v>447.67441860465112</c:v>
                </c:pt>
                <c:pt idx="1">
                  <c:v>428.23529411764707</c:v>
                </c:pt>
                <c:pt idx="2">
                  <c:v>514.62450592885375</c:v>
                </c:pt>
                <c:pt idx="3">
                  <c:v>494.84126984126982</c:v>
                </c:pt>
                <c:pt idx="4">
                  <c:v>490.91997605268409</c:v>
                </c:pt>
              </c:numCache>
            </c:numRef>
          </c:val>
          <c:smooth val="0"/>
        </c:ser>
        <c:ser>
          <c:idx val="11"/>
          <c:order val="6"/>
          <c:tx>
            <c:strRef>
              <c:f>'Children in Need'!$AK$46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Need'!$AL$46:$AP$46</c:f>
              <c:numCache>
                <c:formatCode>0.0</c:formatCode>
                <c:ptCount val="5"/>
                <c:pt idx="0">
                  <c:v>308.04668304668303</c:v>
                </c:pt>
                <c:pt idx="1">
                  <c:v>279.68321657021016</c:v>
                </c:pt>
                <c:pt idx="2">
                  <c:v>281.17433414043586</c:v>
                </c:pt>
                <c:pt idx="3">
                  <c:v>300.40985452416339</c:v>
                </c:pt>
                <c:pt idx="4">
                  <c:v>298.1046743431819</c:v>
                </c:pt>
              </c:numCache>
            </c:numRef>
          </c:val>
          <c:smooth val="0"/>
        </c:ser>
        <c:ser>
          <c:idx val="12"/>
          <c:order val="7"/>
          <c:tx>
            <c:strRef>
              <c:f>'Children in Need'!$AK$47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Need'!$AL$47:$AP$47</c:f>
              <c:numCache>
                <c:formatCode>0.0</c:formatCode>
                <c:ptCount val="5"/>
                <c:pt idx="0">
                  <c:v>420.29220779220776</c:v>
                </c:pt>
                <c:pt idx="1">
                  <c:v>407.03999999999996</c:v>
                </c:pt>
                <c:pt idx="2">
                  <c:v>414.24050632911394</c:v>
                </c:pt>
                <c:pt idx="3">
                  <c:v>278.82003862034315</c:v>
                </c:pt>
                <c:pt idx="4">
                  <c:v>304.17715778114882</c:v>
                </c:pt>
              </c:numCache>
            </c:numRef>
          </c:val>
          <c:smooth val="0"/>
        </c:ser>
        <c:ser>
          <c:idx val="13"/>
          <c:order val="8"/>
          <c:tx>
            <c:strRef>
              <c:f>'Children in Need'!$AK$48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Need'!$AL$48:$AP$48</c:f>
              <c:numCache>
                <c:formatCode>0.0</c:formatCode>
                <c:ptCount val="5"/>
                <c:pt idx="0">
                  <c:v>232.34375000000003</c:v>
                </c:pt>
                <c:pt idx="1">
                  <c:v>242.94478527607362</c:v>
                </c:pt>
                <c:pt idx="2">
                  <c:v>261.72465960665659</c:v>
                </c:pt>
                <c:pt idx="3">
                  <c:v>301.58162809400409</c:v>
                </c:pt>
                <c:pt idx="4">
                  <c:v>277.02632784898077</c:v>
                </c:pt>
              </c:numCache>
            </c:numRef>
          </c:val>
          <c:smooth val="0"/>
        </c:ser>
        <c:ser>
          <c:idx val="15"/>
          <c:order val="9"/>
          <c:tx>
            <c:strRef>
              <c:f>'Children in Need'!$AK$49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Need'!$AL$49:$AP$49</c:f>
              <c:numCache>
                <c:formatCode>0.0</c:formatCode>
                <c:ptCount val="5"/>
                <c:pt idx="0">
                  <c:v>249.75053456878121</c:v>
                </c:pt>
                <c:pt idx="1">
                  <c:v>277.40793201133147</c:v>
                </c:pt>
                <c:pt idx="2">
                  <c:v>326.93935119887163</c:v>
                </c:pt>
                <c:pt idx="3">
                  <c:v>336.46612595085975</c:v>
                </c:pt>
                <c:pt idx="4">
                  <c:v>299.28055547809601</c:v>
                </c:pt>
              </c:numCache>
            </c:numRef>
          </c:val>
          <c:smooth val="0"/>
        </c:ser>
        <c:ser>
          <c:idx val="16"/>
          <c:order val="10"/>
          <c:tx>
            <c:strRef>
              <c:f>'Children in Need'!$AK$50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Need'!$AL$50:$AP$50</c:f>
              <c:numCache>
                <c:formatCode>0.0</c:formatCode>
                <c:ptCount val="5"/>
                <c:pt idx="0">
                  <c:v>311.73708920187789</c:v>
                </c:pt>
                <c:pt idx="1">
                  <c:v>330.87557603686639</c:v>
                </c:pt>
                <c:pt idx="2">
                  <c:v>303.88127853881281</c:v>
                </c:pt>
                <c:pt idx="3">
                  <c:v>325.45454545454544</c:v>
                </c:pt>
                <c:pt idx="4">
                  <c:v>395.54670528602463</c:v>
                </c:pt>
              </c:numCache>
            </c:numRef>
          </c:val>
          <c:smooth val="0"/>
        </c:ser>
        <c:ser>
          <c:idx val="17"/>
          <c:order val="11"/>
          <c:tx>
            <c:strRef>
              <c:f>'Children in Need'!$AK$51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Need'!$AL$51:$AP$51</c:f>
              <c:numCache>
                <c:formatCode>0.0</c:formatCode>
                <c:ptCount val="5"/>
                <c:pt idx="0">
                  <c:v>431.98847262247841</c:v>
                </c:pt>
                <c:pt idx="1">
                  <c:v>388.30083565459609</c:v>
                </c:pt>
                <c:pt idx="2">
                  <c:v>513.46153846153845</c:v>
                </c:pt>
                <c:pt idx="3">
                  <c:v>486.06751999126658</c:v>
                </c:pt>
                <c:pt idx="4">
                  <c:v>453.724422397757</c:v>
                </c:pt>
              </c:numCache>
            </c:numRef>
          </c:val>
          <c:smooth val="0"/>
        </c:ser>
        <c:ser>
          <c:idx val="19"/>
          <c:order val="12"/>
          <c:tx>
            <c:strRef>
              <c:f>'Children in Need'!$AK$52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Need'!$AL$52:$AP$52</c:f>
              <c:numCache>
                <c:formatCode>0.0</c:formatCode>
                <c:ptCount val="5"/>
                <c:pt idx="0">
                  <c:v>398.20051413881748</c:v>
                </c:pt>
                <c:pt idx="1">
                  <c:v>363.40852130325811</c:v>
                </c:pt>
                <c:pt idx="2">
                  <c:v>394.33497536945811</c:v>
                </c:pt>
                <c:pt idx="3">
                  <c:v>292.71120127517753</c:v>
                </c:pt>
                <c:pt idx="4">
                  <c:v>289.94784257942155</c:v>
                </c:pt>
              </c:numCache>
            </c:numRef>
          </c:val>
          <c:smooth val="0"/>
        </c:ser>
        <c:ser>
          <c:idx val="3"/>
          <c:order val="13"/>
          <c:tx>
            <c:strRef>
              <c:f>'Children in Need'!$AK$53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Need'!$AL$53:$AP$53</c:f>
              <c:numCache>
                <c:formatCode>0.0</c:formatCode>
                <c:ptCount val="5"/>
                <c:pt idx="0">
                  <c:v>371.04779411764702</c:v>
                </c:pt>
                <c:pt idx="1">
                  <c:v>391.55188246097339</c:v>
                </c:pt>
                <c:pt idx="2">
                  <c:v>265.84249084249086</c:v>
                </c:pt>
                <c:pt idx="3">
                  <c:v>283.52043189217289</c:v>
                </c:pt>
                <c:pt idx="4">
                  <c:v>290.05123360343009</c:v>
                </c:pt>
              </c:numCache>
            </c:numRef>
          </c:val>
          <c:smooth val="0"/>
        </c:ser>
        <c:ser>
          <c:idx val="20"/>
          <c:order val="14"/>
          <c:tx>
            <c:strRef>
              <c:f>'Children in Need'!$AK$54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Need'!$AL$54:$AP$54</c:f>
              <c:numCache>
                <c:formatCode>0.0</c:formatCode>
                <c:ptCount val="5"/>
                <c:pt idx="0">
                  <c:v>411.81434599156114</c:v>
                </c:pt>
                <c:pt idx="1">
                  <c:v>277.16049382716051</c:v>
                </c:pt>
                <c:pt idx="2">
                  <c:v>700.00000000000011</c:v>
                </c:pt>
                <c:pt idx="3">
                  <c:v>458.30744874852206</c:v>
                </c:pt>
                <c:pt idx="4">
                  <c:v>475.89702812841665</c:v>
                </c:pt>
              </c:numCache>
            </c:numRef>
          </c:val>
          <c:smooth val="0"/>
        </c:ser>
        <c:ser>
          <c:idx val="22"/>
          <c:order val="15"/>
          <c:tx>
            <c:strRef>
              <c:f>'Children in Need'!$AK$55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Need'!$AL$55:$AP$55</c:f>
              <c:numCache>
                <c:formatCode>0.0</c:formatCode>
                <c:ptCount val="5"/>
                <c:pt idx="0">
                  <c:v>181.8650793650794</c:v>
                </c:pt>
                <c:pt idx="1">
                  <c:v>225.25530243519245</c:v>
                </c:pt>
                <c:pt idx="2">
                  <c:v>242.86271450858032</c:v>
                </c:pt>
                <c:pt idx="3">
                  <c:v>236.48739956524926</c:v>
                </c:pt>
                <c:pt idx="4">
                  <c:v>269.64522387199634</c:v>
                </c:pt>
              </c:numCache>
            </c:numRef>
          </c:val>
          <c:smooth val="0"/>
        </c:ser>
        <c:ser>
          <c:idx val="7"/>
          <c:order val="16"/>
          <c:tx>
            <c:strRef>
              <c:f>'Children in Need'!$AK$56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'Children in Need'!$AL$56:$AP$56</c:f>
              <c:numCache>
                <c:formatCode>0.0</c:formatCode>
                <c:ptCount val="5"/>
                <c:pt idx="0">
                  <c:v>337.78705636743211</c:v>
                </c:pt>
                <c:pt idx="1">
                  <c:v>386.62551440329219</c:v>
                </c:pt>
                <c:pt idx="2">
                  <c:v>401.63265306122452</c:v>
                </c:pt>
                <c:pt idx="3">
                  <c:v>387.97460676883264</c:v>
                </c:pt>
                <c:pt idx="4">
                  <c:v>543.42600753144779</c:v>
                </c:pt>
              </c:numCache>
            </c:numRef>
          </c:val>
          <c:smooth val="0"/>
        </c:ser>
        <c:ser>
          <c:idx val="8"/>
          <c:order val="17"/>
          <c:tx>
            <c:strRef>
              <c:f>'Children in Need'!$AK$57</c:f>
              <c:strCache>
                <c:ptCount val="1"/>
                <c:pt idx="0">
                  <c:v>Torbay</c:v>
                </c:pt>
              </c:strCache>
            </c:strRef>
          </c:tx>
          <c:spPr>
            <a:ln w="15875"/>
          </c:spPr>
          <c:marker>
            <c:symbol val="circle"/>
            <c:size val="5"/>
            <c:spPr>
              <a:solidFill>
                <a:schemeClr val="accent3">
                  <a:lumMod val="20000"/>
                  <a:lumOff val="80000"/>
                </a:schemeClr>
              </a:solidFill>
            </c:spPr>
          </c:marker>
          <c:val>
            <c:numRef>
              <c:f>'Children in Need'!$AL$57:$AP$57</c:f>
              <c:numCache>
                <c:formatCode>0.0</c:formatCode>
                <c:ptCount val="5"/>
                <c:pt idx="0">
                  <c:v>743.14516129032256</c:v>
                </c:pt>
                <c:pt idx="1">
                  <c:v>619.52191235059763</c:v>
                </c:pt>
                <c:pt idx="2">
                  <c:v>468.25396825396825</c:v>
                </c:pt>
                <c:pt idx="3">
                  <c:v>471.3672013557719</c:v>
                </c:pt>
                <c:pt idx="4">
                  <c:v>455.9940197505606</c:v>
                </c:pt>
              </c:numCache>
            </c:numRef>
          </c:val>
          <c:smooth val="0"/>
        </c:ser>
        <c:ser>
          <c:idx val="23"/>
          <c:order val="18"/>
          <c:tx>
            <c:strRef>
              <c:f>'Children in Need'!$AK$58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Need'!$AL$58:$AP$58</c:f>
              <c:numCache>
                <c:formatCode>0.0</c:formatCode>
                <c:ptCount val="5"/>
                <c:pt idx="0">
                  <c:v>234.73389355742299</c:v>
                </c:pt>
                <c:pt idx="1">
                  <c:v>268.25842696629218</c:v>
                </c:pt>
                <c:pt idx="2">
                  <c:v>295.23809523809524</c:v>
                </c:pt>
                <c:pt idx="3">
                  <c:v>273.85822827085246</c:v>
                </c:pt>
                <c:pt idx="4">
                  <c:v>285.27521654093323</c:v>
                </c:pt>
              </c:numCache>
            </c:numRef>
          </c:val>
          <c:smooth val="0"/>
        </c:ser>
        <c:ser>
          <c:idx val="24"/>
          <c:order val="19"/>
          <c:tx>
            <c:strRef>
              <c:f>'Children in Need'!$AK$59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Need'!$AL$59:$AP$59</c:f>
              <c:numCache>
                <c:formatCode>0.0</c:formatCode>
                <c:ptCount val="5"/>
                <c:pt idx="0">
                  <c:v>298.14371257485027</c:v>
                </c:pt>
                <c:pt idx="1">
                  <c:v>282.34597156398104</c:v>
                </c:pt>
                <c:pt idx="2">
                  <c:v>227.52347417840377</c:v>
                </c:pt>
                <c:pt idx="3">
                  <c:v>279.57452506680795</c:v>
                </c:pt>
                <c:pt idx="4">
                  <c:v>417.41448860521348</c:v>
                </c:pt>
              </c:numCache>
            </c:numRef>
          </c:val>
          <c:smooth val="0"/>
        </c:ser>
        <c:ser>
          <c:idx val="25"/>
          <c:order val="20"/>
          <c:tx>
            <c:strRef>
              <c:f>'Children in Need'!$AK$60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Need'!$AL$60:$AP$60</c:f>
              <c:numCache>
                <c:formatCode>0.0</c:formatCode>
                <c:ptCount val="5"/>
                <c:pt idx="0">
                  <c:v>285.58558558558559</c:v>
                </c:pt>
                <c:pt idx="1">
                  <c:v>251.79640718562877</c:v>
                </c:pt>
                <c:pt idx="2">
                  <c:v>300.593471810089</c:v>
                </c:pt>
                <c:pt idx="3">
                  <c:v>280.6062734082397</c:v>
                </c:pt>
                <c:pt idx="4">
                  <c:v>223.27666511411272</c:v>
                </c:pt>
              </c:numCache>
            </c:numRef>
          </c:val>
          <c:smooth val="0"/>
        </c:ser>
        <c:ser>
          <c:idx val="26"/>
          <c:order val="21"/>
          <c:tx>
            <c:strRef>
              <c:f>'Children in Need'!$AK$61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Need'!$AL$61:$AP$61</c:f>
              <c:numCache>
                <c:formatCode>0.0</c:formatCode>
                <c:ptCount val="5"/>
                <c:pt idx="0">
                  <c:v>149.44751381215471</c:v>
                </c:pt>
                <c:pt idx="1">
                  <c:v>141.73441734417344</c:v>
                </c:pt>
                <c:pt idx="2">
                  <c:v>150.93833780160858</c:v>
                </c:pt>
                <c:pt idx="3">
                  <c:v>175.43859649122805</c:v>
                </c:pt>
                <c:pt idx="4">
                  <c:v>250.37465764043202</c:v>
                </c:pt>
              </c:numCache>
            </c:numRef>
          </c:val>
          <c:smooth val="0"/>
        </c:ser>
        <c:ser>
          <c:idx val="4"/>
          <c:order val="22"/>
          <c:tx>
            <c:strRef>
              <c:f>'Children in Need'!$AK$62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'Children in Need'!$D$8:$H$8</c:f>
              <c:numCache>
                <c:formatCode>General</c:formatCode>
                <c:ptCount val="5"/>
                <c:pt idx="0">
                  <c:v>2014</c:v>
                </c:pt>
                <c:pt idx="1">
                  <c:v>2015</c:v>
                </c:pt>
                <c:pt idx="2">
                  <c:v>2016</c:v>
                </c:pt>
                <c:pt idx="3">
                  <c:v>2017</c:v>
                </c:pt>
                <c:pt idx="4">
                  <c:v>2018</c:v>
                </c:pt>
              </c:numCache>
            </c:numRef>
          </c:cat>
          <c:val>
            <c:numRef>
              <c:f>'Children in Need'!$AL$62:$AP$62</c:f>
              <c:numCache>
                <c:formatCode>0.0</c:formatCode>
                <c:ptCount val="5"/>
                <c:pt idx="0">
                  <c:v>287.87894848420603</c:v>
                </c:pt>
                <c:pt idx="1">
                  <c:v>283.05850225816619</c:v>
                </c:pt>
                <c:pt idx="2">
                  <c:v>302.95605025806788</c:v>
                </c:pt>
                <c:pt idx="3">
                  <c:v>302.45298839795095</c:v>
                </c:pt>
                <c:pt idx="4">
                  <c:v>317.51176136202872</c:v>
                </c:pt>
              </c:numCache>
            </c:numRef>
          </c:val>
          <c:smooth val="0"/>
        </c:ser>
        <c:ser>
          <c:idx val="14"/>
          <c:order val="23"/>
          <c:tx>
            <c:strRef>
              <c:f>'Children in Need'!$AK$63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'Children in Need'!$AL$63:$AP$63</c:f>
              <c:numCache>
                <c:formatCode>0.0</c:formatCode>
                <c:ptCount val="5"/>
                <c:pt idx="0">
                  <c:v>346.37465262350923</c:v>
                </c:pt>
                <c:pt idx="1">
                  <c:v>337.31031686465315</c:v>
                </c:pt>
                <c:pt idx="2">
                  <c:v>337.73195523167698</c:v>
                </c:pt>
                <c:pt idx="3">
                  <c:v>330.4377147859995</c:v>
                </c:pt>
                <c:pt idx="4">
                  <c:v>341.03940883918267</c:v>
                </c:pt>
              </c:numCache>
            </c:numRef>
          </c:val>
          <c:smooth val="0"/>
        </c:ser>
        <c:ser>
          <c:idx val="6"/>
          <c:order val="24"/>
          <c:tx>
            <c:strRef>
              <c:f>'Children in Need'!$AK$64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'Children in Need'!$D$8:$H$8</c:f>
              <c:numCache>
                <c:formatCode>General</c:formatCode>
                <c:ptCount val="5"/>
                <c:pt idx="0">
                  <c:v>2014</c:v>
                </c:pt>
                <c:pt idx="1">
                  <c:v>2015</c:v>
                </c:pt>
                <c:pt idx="2">
                  <c:v>2016</c:v>
                </c:pt>
                <c:pt idx="3">
                  <c:v>2017</c:v>
                </c:pt>
                <c:pt idx="4">
                  <c:v>2018</c:v>
                </c:pt>
              </c:numCache>
            </c:numRef>
          </c:cat>
          <c:val>
            <c:numRef>
              <c:f>'Children in Need'!$AL$64:$AP$64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16190976"/>
        <c:axId val="216192896"/>
      </c:lineChart>
      <c:catAx>
        <c:axId val="2161909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6192896"/>
        <c:crosses val="autoZero"/>
        <c:auto val="1"/>
        <c:lblAlgn val="ctr"/>
        <c:lblOffset val="100"/>
        <c:tickLblSkip val="1"/>
        <c:tickMarkSkip val="1"/>
        <c:noMultiLvlLbl val="0"/>
      </c:catAx>
      <c:valAx>
        <c:axId val="21619289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619097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a:t>
            </a:r>
            <a:r>
              <a:rPr lang="en-GB" baseline="0"/>
              <a:t> in Need </a:t>
            </a:r>
            <a:r>
              <a:rPr lang="en-GB"/>
              <a:t>(Selected LA</a:t>
            </a:r>
            <a:r>
              <a:rPr lang="en-GB" baseline="0"/>
              <a:t> vs. SE)</a:t>
            </a:r>
            <a:r>
              <a:rPr lang="en-GB"/>
              <a:t> </a:t>
            </a:r>
          </a:p>
        </c:rich>
      </c:tx>
      <c:layout>
        <c:manualLayout>
          <c:xMode val="edge"/>
          <c:yMode val="edge"/>
          <c:x val="0.15863149973386192"/>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'Children in Need'!$Z$4</c:f>
              <c:strCache>
                <c:ptCount val="1"/>
                <c:pt idx="0">
                  <c:v>Selected LA- (none)</c:v>
                </c:pt>
              </c:strCache>
            </c:strRef>
          </c:tx>
          <c:spPr>
            <a:solidFill>
              <a:srgbClr val="66FF99"/>
            </a:solidFill>
            <a:ln>
              <a:solidFill>
                <a:schemeClr val="tx1">
                  <a:lumMod val="75000"/>
                  <a:lumOff val="25000"/>
                </a:schemeClr>
              </a:solidFill>
            </a:ln>
          </c:spPr>
          <c:invertIfNegative val="0"/>
          <c:val>
            <c:numRef>
              <c:f>'Children in Need'!$X$70:$AB$70</c:f>
              <c:numCache>
                <c:formatCode>0.0</c:formatCode>
                <c:ptCount val="5"/>
                <c:pt idx="0">
                  <c:v>#N/A</c:v>
                </c:pt>
                <c:pt idx="1">
                  <c:v>#N/A</c:v>
                </c:pt>
                <c:pt idx="2">
                  <c:v>#N/A</c:v>
                </c:pt>
                <c:pt idx="3">
                  <c:v>#N/A</c:v>
                </c:pt>
                <c:pt idx="4">
                  <c:v>#N/A</c:v>
                </c:pt>
              </c:numCache>
            </c:numRef>
          </c:val>
        </c:ser>
        <c:ser>
          <c:idx val="4"/>
          <c:order val="1"/>
          <c:tx>
            <c:strRef>
              <c:f>'Children in Need'!$B$31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'Children in Need'!$K$8:$O$8</c:f>
              <c:numCache>
                <c:formatCode>General</c:formatCode>
                <c:ptCount val="5"/>
                <c:pt idx="0">
                  <c:v>2014</c:v>
                </c:pt>
                <c:pt idx="1">
                  <c:v>2015</c:v>
                </c:pt>
                <c:pt idx="2">
                  <c:v>2016</c:v>
                </c:pt>
                <c:pt idx="3">
                  <c:v>2017</c:v>
                </c:pt>
                <c:pt idx="4">
                  <c:v>2018</c:v>
                </c:pt>
              </c:numCache>
            </c:numRef>
          </c:cat>
          <c:val>
            <c:numRef>
              <c:f>'Children in Need'!$K$31:$O$31</c:f>
              <c:numCache>
                <c:formatCode>0.0</c:formatCode>
                <c:ptCount val="5"/>
                <c:pt idx="0">
                  <c:v>287.87894848420603</c:v>
                </c:pt>
                <c:pt idx="1">
                  <c:v>283.05850225816619</c:v>
                </c:pt>
                <c:pt idx="2">
                  <c:v>302.95605025806788</c:v>
                </c:pt>
                <c:pt idx="3">
                  <c:v>302.45298839795095</c:v>
                </c:pt>
                <c:pt idx="4">
                  <c:v>317.51176136202872</c:v>
                </c:pt>
              </c:numCache>
            </c:numRef>
          </c:val>
        </c:ser>
        <c:ser>
          <c:idx val="0"/>
          <c:order val="2"/>
          <c:tx>
            <c:strRef>
              <c:f>'Children in Need'!$B$32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'Children in Need'!$K$32:$O$32</c:f>
              <c:numCache>
                <c:formatCode>0.0</c:formatCode>
                <c:ptCount val="5"/>
                <c:pt idx="0">
                  <c:v>346.37465262350923</c:v>
                </c:pt>
                <c:pt idx="1">
                  <c:v>337.31031686465315</c:v>
                </c:pt>
                <c:pt idx="2">
                  <c:v>337.73195523167698</c:v>
                </c:pt>
                <c:pt idx="3">
                  <c:v>330.4377147859995</c:v>
                </c:pt>
                <c:pt idx="4">
                  <c:v>341.03940883918267</c:v>
                </c:pt>
              </c:numCache>
            </c:numRef>
          </c:val>
        </c:ser>
        <c:dLbls>
          <c:showLegendKey val="0"/>
          <c:showVal val="0"/>
          <c:showCatName val="0"/>
          <c:showSerName val="0"/>
          <c:showPercent val="0"/>
          <c:showBubbleSize val="0"/>
        </c:dLbls>
        <c:gapWidth val="100"/>
        <c:axId val="216567808"/>
        <c:axId val="216569344"/>
      </c:barChart>
      <c:catAx>
        <c:axId val="216567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6569344"/>
        <c:crosses val="autoZero"/>
        <c:auto val="1"/>
        <c:lblAlgn val="ctr"/>
        <c:lblOffset val="100"/>
        <c:noMultiLvlLbl val="0"/>
      </c:catAx>
      <c:valAx>
        <c:axId val="21656934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6567808"/>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Children in Need</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'Children in Need'!$T$8</c:f>
              <c:strCache>
                <c:ptCount val="1"/>
                <c:pt idx="0">
                  <c:v>Distance</c:v>
                </c:pt>
              </c:strCache>
            </c:strRef>
          </c:tx>
          <c:spPr>
            <a:solidFill>
              <a:srgbClr val="FB994F"/>
            </a:solidFill>
            <a:ln w="25400">
              <a:noFill/>
            </a:ln>
          </c:spPr>
          <c:invertIfNegative val="0"/>
          <c:cat>
            <c:strRef>
              <c:f>'Children in Need'!$X$76:$X$99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Need'!$T$9:$T$32</c:f>
              <c:numCache>
                <c:formatCode>0.0</c:formatCode>
                <c:ptCount val="24"/>
                <c:pt idx="0">
                  <c:v>83.007326715400268</c:v>
                </c:pt>
                <c:pt idx="1">
                  <c:v>86.356949047927742</c:v>
                </c:pt>
                <c:pt idx="2">
                  <c:v>42.458937512736156</c:v>
                </c:pt>
                <c:pt idx="3">
                  <c:v>-36.164974376877694</c:v>
                </c:pt>
                <c:pt idx="4">
                  <c:v>14.073017270228831</c:v>
                </c:pt>
                <c:pt idx="5">
                  <c:v>130.64445125268412</c:v>
                </c:pt>
                <c:pt idx="6">
                  <c:v>-37.405299256818068</c:v>
                </c:pt>
                <c:pt idx="7">
                  <c:v>-71.338706218851144</c:v>
                </c:pt>
                <c:pt idx="8">
                  <c:v>-76.581548551019239</c:v>
                </c:pt>
                <c:pt idx="9">
                  <c:v>20.921853878096044</c:v>
                </c:pt>
                <c:pt idx="10">
                  <c:v>2.8854596860246602</c:v>
                </c:pt>
                <c:pt idx="11">
                  <c:v>99.164024797757008</c:v>
                </c:pt>
                <c:pt idx="12">
                  <c:v>-61.754991420578449</c:v>
                </c:pt>
                <c:pt idx="13">
                  <c:v>-16.883103996569901</c:v>
                </c:pt>
                <c:pt idx="14">
                  <c:v>71.805528128416654</c:v>
                </c:pt>
                <c:pt idx="15">
                  <c:v>11.289467471996318</c:v>
                </c:pt>
                <c:pt idx="16">
                  <c:v>213.63116113144781</c:v>
                </c:pt>
                <c:pt idx="17">
                  <c:v>60.475210550560632</c:v>
                </c:pt>
                <c:pt idx="18">
                  <c:v>20.251811740933249</c:v>
                </c:pt>
                <c:pt idx="19">
                  <c:v>128.57805380521347</c:v>
                </c:pt>
                <c:pt idx="20">
                  <c:v>-22.696315685887271</c:v>
                </c:pt>
                <c:pt idx="21">
                  <c:v>19.642016040432026</c:v>
                </c:pt>
                <c:pt idx="22">
                  <c:v>13.889945711013979</c:v>
                </c:pt>
                <c:pt idx="23">
                  <c:v>-14.498385891047576</c:v>
                </c:pt>
              </c:numCache>
            </c:numRef>
          </c:val>
        </c:ser>
        <c:ser>
          <c:idx val="0"/>
          <c:order val="1"/>
          <c:tx>
            <c:strRef>
              <c:f>'Children in Need'!$Z$4</c:f>
              <c:strCache>
                <c:ptCount val="1"/>
                <c:pt idx="0">
                  <c:v>Selected LA- (none)</c:v>
                </c:pt>
              </c:strCache>
            </c:strRef>
          </c:tx>
          <c:spPr>
            <a:solidFill>
              <a:srgbClr val="66FF99"/>
            </a:solidFill>
            <a:ln w="12700">
              <a:solidFill>
                <a:srgbClr val="000000"/>
              </a:solidFill>
              <a:prstDash val="solid"/>
            </a:ln>
          </c:spPr>
          <c:invertIfNegative val="0"/>
          <c:cat>
            <c:strRef>
              <c:f>'Children in Need'!$X$76:$X$99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16931328"/>
        <c:axId val="216937216"/>
      </c:barChart>
      <c:catAx>
        <c:axId val="21693132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6937216"/>
        <c:crossesAt val="0"/>
        <c:auto val="1"/>
        <c:lblAlgn val="ctr"/>
        <c:lblOffset val="100"/>
        <c:noMultiLvlLbl val="0"/>
      </c:catAx>
      <c:valAx>
        <c:axId val="216937216"/>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6931328"/>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Children in Need </a:t>
            </a:r>
          </a:p>
          <a:p>
            <a:pPr algn="l">
              <a:defRPr sz="1000" b="1" i="0" u="none" strike="noStrike" baseline="0">
                <a:solidFill>
                  <a:srgbClr val="000000"/>
                </a:solidFill>
                <a:latin typeface="Arial"/>
                <a:ea typeface="Arial"/>
                <a:cs typeface="Arial"/>
              </a:defRPr>
            </a:pPr>
            <a:r>
              <a:rPr lang="en-GB"/>
              <a:t>2015-2018</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'Children in Need'!$I$7</c:f>
              <c:strCache>
                <c:ptCount val="1"/>
                <c:pt idx="0">
                  <c:v>% Change 2015-18</c:v>
                </c:pt>
              </c:strCache>
            </c:strRef>
          </c:tx>
          <c:spPr>
            <a:solidFill>
              <a:srgbClr val="FB994F"/>
            </a:solidFill>
            <a:ln w="25400">
              <a:noFill/>
            </a:ln>
          </c:spPr>
          <c:invertIfNegative val="0"/>
          <c:cat>
            <c:strRef>
              <c:f>'Children in Need'!$B$9:$B$32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Need'!$I$9:$I$32</c:f>
              <c:numCache>
                <c:formatCode>0.0%</c:formatCode>
                <c:ptCount val="24"/>
                <c:pt idx="0">
                  <c:v>0.32754010695187163</c:v>
                </c:pt>
                <c:pt idx="1">
                  <c:v>-0.12121212121212122</c:v>
                </c:pt>
                <c:pt idx="2">
                  <c:v>0.37402885682574916</c:v>
                </c:pt>
                <c:pt idx="3">
                  <c:v>-6.4756789018203517E-2</c:v>
                </c:pt>
                <c:pt idx="4">
                  <c:v>5.9733947301100022E-2</c:v>
                </c:pt>
                <c:pt idx="5">
                  <c:v>0.12637362637362637</c:v>
                </c:pt>
                <c:pt idx="6">
                  <c:v>9.1156610760182971E-2</c:v>
                </c:pt>
                <c:pt idx="7">
                  <c:v>-0.23545597484276728</c:v>
                </c:pt>
                <c:pt idx="8">
                  <c:v>0.18308080808080809</c:v>
                </c:pt>
                <c:pt idx="9">
                  <c:v>9.5991830482512128E-2</c:v>
                </c:pt>
                <c:pt idx="10">
                  <c:v>0.21727019498607242</c:v>
                </c:pt>
                <c:pt idx="11">
                  <c:v>0.2073170731707317</c:v>
                </c:pt>
                <c:pt idx="12">
                  <c:v>-0.15655172413793103</c:v>
                </c:pt>
                <c:pt idx="13">
                  <c:v>-0.25117260787992496</c:v>
                </c:pt>
                <c:pt idx="14">
                  <c:v>0.77728285077950998</c:v>
                </c:pt>
                <c:pt idx="15">
                  <c:v>0.22388840453356582</c:v>
                </c:pt>
                <c:pt idx="16">
                  <c:v>0.44385311335816924</c:v>
                </c:pt>
                <c:pt idx="17">
                  <c:v>-0.25466237942122188</c:v>
                </c:pt>
                <c:pt idx="18">
                  <c:v>6.9109947643979056E-2</c:v>
                </c:pt>
                <c:pt idx="19">
                  <c:v>0.51762484263533359</c:v>
                </c:pt>
                <c:pt idx="20">
                  <c:v>-8.7990487514863255E-2</c:v>
                </c:pt>
                <c:pt idx="21">
                  <c:v>0.85277246653919692</c:v>
                </c:pt>
                <c:pt idx="22">
                  <c:v>0.14508348794063081</c:v>
                </c:pt>
                <c:pt idx="23">
                  <c:v>3.506393861892583E-2</c:v>
                </c:pt>
              </c:numCache>
            </c:numRef>
          </c:val>
        </c:ser>
        <c:ser>
          <c:idx val="1"/>
          <c:order val="1"/>
          <c:tx>
            <c:strRef>
              <c:f>'Children in Need'!$Z$4</c:f>
              <c:strCache>
                <c:ptCount val="1"/>
                <c:pt idx="0">
                  <c:v>Selected LA- (none)</c:v>
                </c:pt>
              </c:strCache>
            </c:strRef>
          </c:tx>
          <c:spPr>
            <a:solidFill>
              <a:srgbClr val="66FF99"/>
            </a:solidFill>
            <a:ln w="12700">
              <a:solidFill>
                <a:srgbClr val="000000"/>
              </a:solidFill>
              <a:prstDash val="solid"/>
            </a:ln>
          </c:spPr>
          <c:invertIfNegative val="0"/>
          <c:cat>
            <c:strRef>
              <c:f>'Children in Need'!$B$9:$B$32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16991232"/>
        <c:axId val="216992768"/>
      </c:barChart>
      <c:catAx>
        <c:axId val="21699123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6992768"/>
        <c:crosses val="autoZero"/>
        <c:auto val="1"/>
        <c:lblAlgn val="ctr"/>
        <c:lblOffset val="100"/>
        <c:noMultiLvlLbl val="0"/>
      </c:catAx>
      <c:valAx>
        <c:axId val="216992768"/>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6991232"/>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per 10,000 0-17 year olds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108111549870636"/>
        </c:manualLayout>
      </c:layout>
      <c:lineChart>
        <c:grouping val="standard"/>
        <c:varyColors val="0"/>
        <c:ser>
          <c:idx val="0"/>
          <c:order val="0"/>
          <c:tx>
            <c:strRef>
              <c:f>Referrals!$AK$40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Referrals!$D$8:$H$8</c:f>
              <c:numCache>
                <c:formatCode>General</c:formatCode>
                <c:ptCount val="5"/>
                <c:pt idx="0">
                  <c:v>2014</c:v>
                </c:pt>
                <c:pt idx="1">
                  <c:v>2015</c:v>
                </c:pt>
                <c:pt idx="2">
                  <c:v>2016</c:v>
                </c:pt>
                <c:pt idx="3">
                  <c:v>2017</c:v>
                </c:pt>
                <c:pt idx="4">
                  <c:v>2018</c:v>
                </c:pt>
              </c:numCache>
            </c:numRef>
          </c:cat>
          <c:val>
            <c:numRef>
              <c:f>Referrals!$AL$40:$AP$40</c:f>
              <c:numCache>
                <c:formatCode>0.0</c:formatCode>
                <c:ptCount val="5"/>
                <c:pt idx="0">
                  <c:v>419.18819188191884</c:v>
                </c:pt>
                <c:pt idx="1">
                  <c:v>381.29496402877697</c:v>
                </c:pt>
                <c:pt idx="2">
                  <c:v>463.12056737588654</c:v>
                </c:pt>
                <c:pt idx="3">
                  <c:v>583.51671754099527</c:v>
                </c:pt>
                <c:pt idx="4">
                  <c:v>647.9997150083716</c:v>
                </c:pt>
              </c:numCache>
            </c:numRef>
          </c:val>
          <c:smooth val="0"/>
        </c:ser>
        <c:ser>
          <c:idx val="1"/>
          <c:order val="1"/>
          <c:tx>
            <c:strRef>
              <c:f>Referrals!$AK$41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Referrals!$AL$41:$AP$41</c:f>
              <c:numCache>
                <c:formatCode>0.0</c:formatCode>
                <c:ptCount val="5"/>
                <c:pt idx="0">
                  <c:v>838.01980198019805</c:v>
                </c:pt>
                <c:pt idx="1">
                  <c:v>1432.7450980392157</c:v>
                </c:pt>
                <c:pt idx="2">
                  <c:v>669.140625</c:v>
                </c:pt>
                <c:pt idx="3">
                  <c:v>663.98861176654123</c:v>
                </c:pt>
                <c:pt idx="4">
                  <c:v>655.93064082697481</c:v>
                </c:pt>
              </c:numCache>
            </c:numRef>
          </c:val>
          <c:smooth val="0"/>
        </c:ser>
        <c:ser>
          <c:idx val="2"/>
          <c:order val="2"/>
          <c:tx>
            <c:strRef>
              <c:f>Referrals!$AK$42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Referrals!$AL$42:$AP$42</c:f>
              <c:numCache>
                <c:formatCode>0.0</c:formatCode>
                <c:ptCount val="5"/>
                <c:pt idx="0">
                  <c:v>622.19387755102036</c:v>
                </c:pt>
                <c:pt idx="1">
                  <c:v>431.37089991589573</c:v>
                </c:pt>
                <c:pt idx="2">
                  <c:v>576.94859038142624</c:v>
                </c:pt>
                <c:pt idx="3">
                  <c:v>753.1606726402357</c:v>
                </c:pt>
                <c:pt idx="4">
                  <c:v>839.89437334958347</c:v>
                </c:pt>
              </c:numCache>
            </c:numRef>
          </c:val>
          <c:smooth val="0"/>
        </c:ser>
        <c:ser>
          <c:idx val="5"/>
          <c:order val="3"/>
          <c:tx>
            <c:strRef>
              <c:f>Referrals!$AK$43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Referrals!$AL$43:$AP$43</c:f>
              <c:numCache>
                <c:formatCode>0.0</c:formatCode>
                <c:ptCount val="5"/>
                <c:pt idx="0">
                  <c:v>708.96946564885502</c:v>
                </c:pt>
                <c:pt idx="1">
                  <c:v>378.55787476280835</c:v>
                </c:pt>
                <c:pt idx="2">
                  <c:v>301.98300283286119</c:v>
                </c:pt>
                <c:pt idx="3">
                  <c:v>347.04455123061092</c:v>
                </c:pt>
                <c:pt idx="4">
                  <c:v>411.80630864255738</c:v>
                </c:pt>
              </c:numCache>
            </c:numRef>
          </c:val>
          <c:smooth val="0"/>
        </c:ser>
        <c:ser>
          <c:idx val="9"/>
          <c:order val="4"/>
          <c:tx>
            <c:strRef>
              <c:f>Referrals!$AK$44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Referrals!$AL$44:$AP$44</c:f>
              <c:numCache>
                <c:formatCode>0.0</c:formatCode>
                <c:ptCount val="5"/>
                <c:pt idx="0">
                  <c:v>575.09755232351893</c:v>
                </c:pt>
                <c:pt idx="1">
                  <c:v>594.99111900532853</c:v>
                </c:pt>
                <c:pt idx="2">
                  <c:v>591.20255409719766</c:v>
                </c:pt>
                <c:pt idx="3">
                  <c:v>687.25666658415582</c:v>
                </c:pt>
                <c:pt idx="4">
                  <c:v>568.80351835772319</c:v>
                </c:pt>
              </c:numCache>
            </c:numRef>
          </c:val>
          <c:smooth val="0"/>
        </c:ser>
        <c:ser>
          <c:idx val="10"/>
          <c:order val="5"/>
          <c:tx>
            <c:strRef>
              <c:f>Referrals!$AK$45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Referrals!$AL$45:$AP$45</c:f>
              <c:numCache>
                <c:formatCode>0.0</c:formatCode>
                <c:ptCount val="5"/>
                <c:pt idx="0">
                  <c:v>856.97674418604652</c:v>
                </c:pt>
                <c:pt idx="1">
                  <c:v>931.37254901960785</c:v>
                </c:pt>
                <c:pt idx="2">
                  <c:v>944.26877470355737</c:v>
                </c:pt>
                <c:pt idx="3">
                  <c:v>1036.9047619047619</c:v>
                </c:pt>
                <c:pt idx="4">
                  <c:v>882.85771303133106</c:v>
                </c:pt>
              </c:numCache>
            </c:numRef>
          </c:val>
          <c:smooth val="0"/>
        </c:ser>
        <c:ser>
          <c:idx val="11"/>
          <c:order val="6"/>
          <c:tx>
            <c:strRef>
              <c:f>Referrals!$AK$46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Referrals!$AL$46:$AP$46</c:f>
              <c:numCache>
                <c:formatCode>0.0</c:formatCode>
                <c:ptCount val="5"/>
                <c:pt idx="0">
                  <c:v>588.57493857493853</c:v>
                </c:pt>
                <c:pt idx="1">
                  <c:v>503.4724337496192</c:v>
                </c:pt>
                <c:pt idx="2">
                  <c:v>464.34624697336562</c:v>
                </c:pt>
                <c:pt idx="3">
                  <c:v>474.56049482802626</c:v>
                </c:pt>
                <c:pt idx="4">
                  <c:v>576.42298193936142</c:v>
                </c:pt>
              </c:numCache>
            </c:numRef>
          </c:val>
          <c:smooth val="0"/>
        </c:ser>
        <c:ser>
          <c:idx val="12"/>
          <c:order val="7"/>
          <c:tx>
            <c:strRef>
              <c:f>Referrals!$AK$47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Referrals!$AL$47:$AP$47</c:f>
              <c:numCache>
                <c:formatCode>0.0</c:formatCode>
                <c:ptCount val="5"/>
                <c:pt idx="0">
                  <c:v>691.39610389610391</c:v>
                </c:pt>
                <c:pt idx="1">
                  <c:v>492.79999999999995</c:v>
                </c:pt>
                <c:pt idx="2">
                  <c:v>532.91139240506334</c:v>
                </c:pt>
                <c:pt idx="3">
                  <c:v>428.90559994976212</c:v>
                </c:pt>
                <c:pt idx="4">
                  <c:v>408.48881034671507</c:v>
                </c:pt>
              </c:numCache>
            </c:numRef>
          </c:val>
          <c:smooth val="0"/>
        </c:ser>
        <c:ser>
          <c:idx val="13"/>
          <c:order val="8"/>
          <c:tx>
            <c:strRef>
              <c:f>Referrals!$AK$48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Referrals!$AL$48:$AP$48</c:f>
              <c:numCache>
                <c:formatCode>0.0</c:formatCode>
                <c:ptCount val="5"/>
                <c:pt idx="0">
                  <c:v>490.3125</c:v>
                </c:pt>
                <c:pt idx="1">
                  <c:v>394.01840490797548</c:v>
                </c:pt>
                <c:pt idx="2">
                  <c:v>418.91074130105898</c:v>
                </c:pt>
                <c:pt idx="3">
                  <c:v>459.14872069818006</c:v>
                </c:pt>
                <c:pt idx="4">
                  <c:v>348.72204236699338</c:v>
                </c:pt>
              </c:numCache>
            </c:numRef>
          </c:val>
          <c:smooth val="0"/>
        </c:ser>
        <c:ser>
          <c:idx val="15"/>
          <c:order val="9"/>
          <c:tx>
            <c:strRef>
              <c:f>Referrals!$AK$49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Referrals!$AL$49:$AP$49</c:f>
              <c:numCache>
                <c:formatCode>0.0</c:formatCode>
                <c:ptCount val="5"/>
                <c:pt idx="0">
                  <c:v>420.88382038488953</c:v>
                </c:pt>
                <c:pt idx="1">
                  <c:v>401.06232294617564</c:v>
                </c:pt>
                <c:pt idx="2">
                  <c:v>476.02256699576873</c:v>
                </c:pt>
                <c:pt idx="3">
                  <c:v>494.48203951097639</c:v>
                </c:pt>
                <c:pt idx="4">
                  <c:v>475.02858258275006</c:v>
                </c:pt>
              </c:numCache>
            </c:numRef>
          </c:val>
          <c:smooth val="0"/>
        </c:ser>
        <c:ser>
          <c:idx val="16"/>
          <c:order val="10"/>
          <c:tx>
            <c:strRef>
              <c:f>Referrals!$AK$50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Referrals!$AL$50:$AP$50</c:f>
              <c:numCache>
                <c:formatCode>0.0</c:formatCode>
                <c:ptCount val="5"/>
                <c:pt idx="0">
                  <c:v>427.69953051643188</c:v>
                </c:pt>
                <c:pt idx="1">
                  <c:v>442.62672811059912</c:v>
                </c:pt>
                <c:pt idx="2">
                  <c:v>477.85388127853878</c:v>
                </c:pt>
                <c:pt idx="3">
                  <c:v>565.22727272727275</c:v>
                </c:pt>
                <c:pt idx="4">
                  <c:v>643.78167994207092</c:v>
                </c:pt>
              </c:numCache>
            </c:numRef>
          </c:val>
          <c:smooth val="0"/>
        </c:ser>
        <c:ser>
          <c:idx val="17"/>
          <c:order val="11"/>
          <c:tx>
            <c:strRef>
              <c:f>Referrals!$AK$51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Referrals!$AL$51:$AP$51</c:f>
              <c:numCache>
                <c:formatCode>0.0</c:formatCode>
                <c:ptCount val="5"/>
                <c:pt idx="0">
                  <c:v>499.135446685879</c:v>
                </c:pt>
                <c:pt idx="1">
                  <c:v>466.01671309192204</c:v>
                </c:pt>
                <c:pt idx="2">
                  <c:v>845.60439560439556</c:v>
                </c:pt>
                <c:pt idx="3">
                  <c:v>891.62413689582706</c:v>
                </c:pt>
                <c:pt idx="4">
                  <c:v>708.48947240719269</c:v>
                </c:pt>
              </c:numCache>
            </c:numRef>
          </c:val>
          <c:smooth val="0"/>
        </c:ser>
        <c:ser>
          <c:idx val="19"/>
          <c:order val="12"/>
          <c:tx>
            <c:strRef>
              <c:f>Referrals!$AK$52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Referrals!$AL$52:$AP$52</c:f>
              <c:numCache>
                <c:formatCode>0.0</c:formatCode>
                <c:ptCount val="5"/>
                <c:pt idx="0">
                  <c:v>644.47300771208222</c:v>
                </c:pt>
                <c:pt idx="1">
                  <c:v>571.92982456140351</c:v>
                </c:pt>
                <c:pt idx="2">
                  <c:v>683.25123152709364</c:v>
                </c:pt>
                <c:pt idx="3">
                  <c:v>1373.7139544993479</c:v>
                </c:pt>
                <c:pt idx="4">
                  <c:v>377.19298245614033</c:v>
                </c:pt>
              </c:numCache>
            </c:numRef>
          </c:val>
          <c:smooth val="0"/>
        </c:ser>
        <c:ser>
          <c:idx val="3"/>
          <c:order val="13"/>
          <c:tx>
            <c:strRef>
              <c:f>Referrals!$AK$53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Referrals!$AL$53:$AP$53</c:f>
              <c:numCache>
                <c:formatCode>0.0</c:formatCode>
                <c:ptCount val="5"/>
                <c:pt idx="0">
                  <c:v>674.44852941176475</c:v>
                </c:pt>
                <c:pt idx="1">
                  <c:v>513.40679522497703</c:v>
                </c:pt>
                <c:pt idx="2">
                  <c:v>378.47985347985349</c:v>
                </c:pt>
                <c:pt idx="3">
                  <c:v>435.63110426146989</c:v>
                </c:pt>
                <c:pt idx="4">
                  <c:v>469.1871661640202</c:v>
                </c:pt>
              </c:numCache>
            </c:numRef>
          </c:val>
          <c:smooth val="0"/>
        </c:ser>
        <c:ser>
          <c:idx val="20"/>
          <c:order val="14"/>
          <c:tx>
            <c:strRef>
              <c:f>Referrals!$AK$54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Referrals!$AL$54:$AP$54</c:f>
              <c:numCache>
                <c:formatCode>0.0</c:formatCode>
                <c:ptCount val="5"/>
                <c:pt idx="0">
                  <c:v>732.27848101265829</c:v>
                </c:pt>
                <c:pt idx="1">
                  <c:v>1318.3127572016463</c:v>
                </c:pt>
                <c:pt idx="2">
                  <c:v>836.58536585365857</c:v>
                </c:pt>
                <c:pt idx="3">
                  <c:v>610.00781547463976</c:v>
                </c:pt>
                <c:pt idx="4">
                  <c:v>519.43146804492596</c:v>
                </c:pt>
              </c:numCache>
            </c:numRef>
          </c:val>
          <c:smooth val="0"/>
        </c:ser>
        <c:ser>
          <c:idx val="22"/>
          <c:order val="15"/>
          <c:tx>
            <c:strRef>
              <c:f>Referrals!$AK$55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Referrals!$AL$55:$AP$55</c:f>
              <c:numCache>
                <c:formatCode>0.0</c:formatCode>
                <c:ptCount val="5"/>
                <c:pt idx="0">
                  <c:v>467.30158730158735</c:v>
                </c:pt>
                <c:pt idx="1">
                  <c:v>391.9481539670071</c:v>
                </c:pt>
                <c:pt idx="2">
                  <c:v>458.97035881435261</c:v>
                </c:pt>
                <c:pt idx="3">
                  <c:v>450.92838196286471</c:v>
                </c:pt>
                <c:pt idx="4">
                  <c:v>523.46286087474311</c:v>
                </c:pt>
              </c:numCache>
            </c:numRef>
          </c:val>
          <c:smooth val="0"/>
        </c:ser>
        <c:ser>
          <c:idx val="7"/>
          <c:order val="16"/>
          <c:tx>
            <c:strRef>
              <c:f>Referrals!$AK$56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Referrals!$AL$56:$AP$56</c:f>
              <c:numCache>
                <c:formatCode>0.0</c:formatCode>
                <c:ptCount val="5"/>
                <c:pt idx="0">
                  <c:v>470.56367432150313</c:v>
                </c:pt>
                <c:pt idx="1">
                  <c:v>545.26748971193422</c:v>
                </c:pt>
                <c:pt idx="2">
                  <c:v>694.89795918367349</c:v>
                </c:pt>
                <c:pt idx="3">
                  <c:v>610.77190570539005</c:v>
                </c:pt>
                <c:pt idx="4">
                  <c:v>726.50428651550362</c:v>
                </c:pt>
              </c:numCache>
            </c:numRef>
          </c:val>
          <c:smooth val="0"/>
        </c:ser>
        <c:ser>
          <c:idx val="8"/>
          <c:order val="17"/>
          <c:tx>
            <c:strRef>
              <c:f>Referrals!$AK$57</c:f>
              <c:strCache>
                <c:ptCount val="1"/>
                <c:pt idx="0">
                  <c:v>Torbay</c:v>
                </c:pt>
              </c:strCache>
            </c:strRef>
          </c:tx>
          <c:spPr>
            <a:ln w="15875"/>
          </c:spPr>
          <c:marker>
            <c:symbol val="circle"/>
            <c:size val="5"/>
            <c:spPr>
              <a:solidFill>
                <a:schemeClr val="accent3">
                  <a:lumMod val="20000"/>
                  <a:lumOff val="80000"/>
                </a:schemeClr>
              </a:solidFill>
            </c:spPr>
          </c:marker>
          <c:val>
            <c:numRef>
              <c:f>Referrals!$AL$57:$AP$57</c:f>
              <c:numCache>
                <c:formatCode>0.0</c:formatCode>
                <c:ptCount val="5"/>
                <c:pt idx="0">
                  <c:v>970.96774193548379</c:v>
                </c:pt>
                <c:pt idx="1">
                  <c:v>850.19920318725099</c:v>
                </c:pt>
                <c:pt idx="2">
                  <c:v>788.8888888888888</c:v>
                </c:pt>
                <c:pt idx="3">
                  <c:v>636.89748945729707</c:v>
                </c:pt>
                <c:pt idx="4">
                  <c:v>710.15462092300436</c:v>
                </c:pt>
              </c:numCache>
            </c:numRef>
          </c:val>
          <c:smooth val="0"/>
        </c:ser>
        <c:ser>
          <c:idx val="23"/>
          <c:order val="18"/>
          <c:tx>
            <c:strRef>
              <c:f>Referrals!$AK$58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Referrals!$AL$58:$AP$58</c:f>
              <c:numCache>
                <c:formatCode>0.0</c:formatCode>
                <c:ptCount val="5"/>
                <c:pt idx="0">
                  <c:v>348.17927170868347</c:v>
                </c:pt>
                <c:pt idx="1">
                  <c:v>353.65168539325845</c:v>
                </c:pt>
                <c:pt idx="2">
                  <c:v>382.35294117647061</c:v>
                </c:pt>
                <c:pt idx="3">
                  <c:v>459.77011494252872</c:v>
                </c:pt>
                <c:pt idx="4">
                  <c:v>422.46437552388937</c:v>
                </c:pt>
              </c:numCache>
            </c:numRef>
          </c:val>
          <c:smooth val="0"/>
        </c:ser>
        <c:ser>
          <c:idx val="24"/>
          <c:order val="19"/>
          <c:tx>
            <c:strRef>
              <c:f>Referrals!$AK$59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Referrals!$AL$59:$AP$59</c:f>
              <c:numCache>
                <c:formatCode>0.0</c:formatCode>
                <c:ptCount val="5"/>
                <c:pt idx="0">
                  <c:v>395.50898203592817</c:v>
                </c:pt>
                <c:pt idx="1">
                  <c:v>409.7748815165877</c:v>
                </c:pt>
                <c:pt idx="2">
                  <c:v>478.11032863849766</c:v>
                </c:pt>
                <c:pt idx="3">
                  <c:v>508.90481541211335</c:v>
                </c:pt>
                <c:pt idx="4">
                  <c:v>576.80876726242343</c:v>
                </c:pt>
              </c:numCache>
            </c:numRef>
          </c:val>
          <c:smooth val="0"/>
        </c:ser>
        <c:ser>
          <c:idx val="25"/>
          <c:order val="20"/>
          <c:tx>
            <c:strRef>
              <c:f>Referrals!$AK$60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Referrals!$AL$60:$AP$60</c:f>
              <c:numCache>
                <c:formatCode>0.0</c:formatCode>
                <c:ptCount val="5"/>
                <c:pt idx="0">
                  <c:v>313.21321321321324</c:v>
                </c:pt>
                <c:pt idx="1">
                  <c:v>313.77245508982037</c:v>
                </c:pt>
                <c:pt idx="2">
                  <c:v>330.86053412462905</c:v>
                </c:pt>
                <c:pt idx="3">
                  <c:v>290.26217228464424</c:v>
                </c:pt>
                <c:pt idx="4">
                  <c:v>308.8612016767583</c:v>
                </c:pt>
              </c:numCache>
            </c:numRef>
          </c:val>
          <c:smooth val="0"/>
        </c:ser>
        <c:ser>
          <c:idx val="26"/>
          <c:order val="21"/>
          <c:tx>
            <c:strRef>
              <c:f>Referrals!$AK$61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Referrals!$AL$61:$AP$61</c:f>
              <c:numCache>
                <c:formatCode>0.0</c:formatCode>
                <c:ptCount val="5"/>
                <c:pt idx="0">
                  <c:v>391.16022099447514</c:v>
                </c:pt>
                <c:pt idx="1">
                  <c:v>268.29268292682929</c:v>
                </c:pt>
                <c:pt idx="2">
                  <c:v>303.21715817694371</c:v>
                </c:pt>
                <c:pt idx="3">
                  <c:v>238.56492806228465</c:v>
                </c:pt>
                <c:pt idx="4">
                  <c:v>354.24525864296419</c:v>
                </c:pt>
              </c:numCache>
            </c:numRef>
          </c:val>
          <c:smooth val="0"/>
        </c:ser>
        <c:ser>
          <c:idx val="4"/>
          <c:order val="22"/>
          <c:tx>
            <c:strRef>
              <c:f>Referrals!$AK$62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Referrals!$AL$62:$AP$62</c:f>
              <c:numCache>
                <c:formatCode>0.0</c:formatCode>
                <c:ptCount val="5"/>
                <c:pt idx="0">
                  <c:v>543.87852448590206</c:v>
                </c:pt>
                <c:pt idx="1">
                  <c:v>508.87511815985715</c:v>
                </c:pt>
                <c:pt idx="2">
                  <c:v>509.67102862207395</c:v>
                </c:pt>
                <c:pt idx="3">
                  <c:v>554.10918620127427</c:v>
                </c:pt>
                <c:pt idx="4">
                  <c:v>548.34054834054837</c:v>
                </c:pt>
              </c:numCache>
            </c:numRef>
          </c:val>
          <c:smooth val="0"/>
        </c:ser>
        <c:ser>
          <c:idx val="14"/>
          <c:order val="23"/>
          <c:tx>
            <c:strRef>
              <c:f>Referrals!$AK$63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Referrals!$AL$63:$AP$63</c:f>
              <c:numCache>
                <c:formatCode>0.0</c:formatCode>
                <c:ptCount val="5"/>
                <c:pt idx="0">
                  <c:v>573.05142478808943</c:v>
                </c:pt>
                <c:pt idx="1">
                  <c:v>548.32336930734925</c:v>
                </c:pt>
                <c:pt idx="2">
                  <c:v>532.17616180991445</c:v>
                </c:pt>
                <c:pt idx="3">
                  <c:v>548.24337179346742</c:v>
                </c:pt>
                <c:pt idx="4">
                  <c:v>552.48367378427349</c:v>
                </c:pt>
              </c:numCache>
            </c:numRef>
          </c:val>
          <c:smooth val="0"/>
        </c:ser>
        <c:ser>
          <c:idx val="6"/>
          <c:order val="24"/>
          <c:tx>
            <c:strRef>
              <c:f>Referrals!$AK$64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Referrals!$D$8:$H$8</c:f>
              <c:numCache>
                <c:formatCode>General</c:formatCode>
                <c:ptCount val="5"/>
                <c:pt idx="0">
                  <c:v>2014</c:v>
                </c:pt>
                <c:pt idx="1">
                  <c:v>2015</c:v>
                </c:pt>
                <c:pt idx="2">
                  <c:v>2016</c:v>
                </c:pt>
                <c:pt idx="3">
                  <c:v>2017</c:v>
                </c:pt>
                <c:pt idx="4">
                  <c:v>2018</c:v>
                </c:pt>
              </c:numCache>
            </c:numRef>
          </c:cat>
          <c:val>
            <c:numRef>
              <c:f>Referrals!$AL$64:$AP$64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7267072"/>
        <c:axId val="117269248"/>
      </c:lineChart>
      <c:catAx>
        <c:axId val="1172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17269248"/>
        <c:crosses val="autoZero"/>
        <c:auto val="1"/>
        <c:lblAlgn val="ctr"/>
        <c:lblOffset val="100"/>
        <c:tickLblSkip val="1"/>
        <c:tickMarkSkip val="1"/>
        <c:noMultiLvlLbl val="0"/>
      </c:catAx>
      <c:valAx>
        <c:axId val="1172692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172670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vs. IDACI</a:t>
            </a:r>
          </a:p>
        </c:rich>
      </c:tx>
      <c:layout>
        <c:manualLayout>
          <c:xMode val="edge"/>
          <c:yMode val="edge"/>
          <c:x val="0.23576993435261151"/>
          <c:y val="3.6125811358121193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'Section 47 Enquiries'!$X$67</c:f>
              <c:strCache>
                <c:ptCount val="1"/>
                <c:pt idx="0">
                  <c:v>National Trend 2016</c:v>
                </c:pt>
              </c:strCache>
            </c:strRef>
          </c:tx>
          <c:spPr>
            <a:ln w="15875">
              <a:solidFill>
                <a:schemeClr val="tx1">
                  <a:lumMod val="75000"/>
                  <a:lumOff val="25000"/>
                </a:schemeClr>
              </a:solidFill>
            </a:ln>
          </c:spPr>
          <c:marker>
            <c:symbol val="none"/>
          </c:marker>
          <c:dLbls>
            <c:dLbl>
              <c:idx val="0"/>
              <c:delete val="1"/>
            </c:dLbl>
            <c:dLbl>
              <c:idx val="1"/>
              <c:layout>
                <c:manualLayout>
                  <c:x val="-6.5420560747663545E-2"/>
                  <c:y val="5.3691262557320006E-2"/>
                </c:manualLayout>
              </c:layout>
              <c:tx>
                <c:strRef>
                  <c:f>'Section 47 Enquiries'!$AC$67</c:f>
                  <c:strCache>
                    <c:ptCount val="1"/>
                    <c:pt idx="0">
                      <c:v>r² = 0.324</c:v>
                    </c:pt>
                  </c:strCache>
                </c:strRef>
              </c:tx>
              <c:spPr/>
              <c:txPr>
                <a:bodyPr/>
                <a:lstStyle/>
                <a:p>
                  <a:pPr>
                    <a:defRPr sz="900"/>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xVal>
            <c:numRef>
              <c:f>'Section 47 Enquiries'!$AA$67:$AA$68</c:f>
              <c:numCache>
                <c:formatCode>General</c:formatCode>
                <c:ptCount val="2"/>
                <c:pt idx="0" formatCode="#,##0.0">
                  <c:v>5</c:v>
                </c:pt>
                <c:pt idx="1">
                  <c:v>35</c:v>
                </c:pt>
              </c:numCache>
            </c:numRef>
          </c:xVal>
          <c:yVal>
            <c:numRef>
              <c:f>'Section 47 Enquiries'!$AB$67:$AB$68</c:f>
              <c:numCache>
                <c:formatCode>0.0</c:formatCode>
                <c:ptCount val="2"/>
                <c:pt idx="0">
                  <c:v>82.670945000000003</c:v>
                </c:pt>
                <c:pt idx="1">
                  <c:v>267.14541500000001</c:v>
                </c:pt>
              </c:numCache>
            </c:numRef>
          </c:yVal>
          <c:smooth val="1"/>
        </c:ser>
        <c:dLbls>
          <c:showLegendKey val="0"/>
          <c:showVal val="0"/>
          <c:showCatName val="0"/>
          <c:showSerName val="0"/>
          <c:showPercent val="0"/>
          <c:showBubbleSize val="0"/>
        </c:dLbls>
        <c:axId val="216471424"/>
        <c:axId val="216510848"/>
      </c:scatterChart>
      <c:scatterChart>
        <c:scatterStyle val="lineMarker"/>
        <c:varyColors val="0"/>
        <c:ser>
          <c:idx val="0"/>
          <c:order val="0"/>
          <c:tx>
            <c:strRef>
              <c:f>'Section 47 Enquiries'!$AQ$37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5634218289085547"/>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1.4749262536873156E-2"/>
                  <c:y val="0"/>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30008055176"/>
                  <c:y val="-1.9724901603847381E-2"/>
                </c:manualLayout>
              </c:layout>
              <c:tx>
                <c:rich>
                  <a:bodyPr/>
                  <a:lstStyle/>
                  <a:p>
                    <a:r>
                      <a:rPr lang="en-US"/>
                      <a:t>Buckinghamshire</a:t>
                    </a:r>
                  </a:p>
                </c:rich>
              </c:tx>
              <c:dLblPos val="r"/>
              <c:showLegendKey val="0"/>
              <c:showVal val="0"/>
              <c:showCatName val="1"/>
              <c:showSerName val="0"/>
              <c:showPercent val="0"/>
              <c:showBubbleSize val="0"/>
            </c:dLbl>
            <c:dLbl>
              <c:idx val="3"/>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dLblPos val="r"/>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dLblPos val="r"/>
              <c:showLegendKey val="0"/>
              <c:showVal val="0"/>
              <c:showCatName val="1"/>
              <c:showSerName val="0"/>
              <c:showPercent val="0"/>
              <c:showBubbleSize val="0"/>
            </c:dLbl>
            <c:dLbl>
              <c:idx val="8"/>
              <c:layout>
                <c:manualLayout>
                  <c:x val="-0.13768448191763641"/>
                  <c:y val="-5.9656958397022227E-3"/>
                </c:manualLayout>
              </c:layout>
              <c:tx>
                <c:rich>
                  <a:bodyPr/>
                  <a:lstStyle/>
                  <a:p>
                    <a:r>
                      <a:rPr lang="en-US"/>
                      <a:t>Milton Keynes</a:t>
                    </a:r>
                  </a:p>
                </c:rich>
              </c:tx>
              <c:dLblPos val="r"/>
              <c:showLegendKey val="0"/>
              <c:showVal val="0"/>
              <c:showCatName val="1"/>
              <c:showSerName val="0"/>
              <c:showPercent val="0"/>
              <c:showBubbleSize val="0"/>
            </c:dLbl>
            <c:dLbl>
              <c:idx val="9"/>
              <c:layout/>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layout/>
              <c:tx>
                <c:rich>
                  <a:bodyPr/>
                  <a:lstStyle/>
                  <a:p>
                    <a:r>
                      <a:rPr lang="en-US"/>
                      <a:t>Reading</a:t>
                    </a:r>
                  </a:p>
                </c:rich>
              </c:tx>
              <c:dLblPos val="r"/>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dLblPos val="l"/>
              <c:showLegendKey val="0"/>
              <c:showVal val="0"/>
              <c:showCatName val="1"/>
              <c:showSerName val="0"/>
              <c:showPercent val="0"/>
              <c:showBubbleSize val="0"/>
            </c:dLbl>
            <c:dLbl>
              <c:idx val="14"/>
              <c:layout/>
              <c:tx>
                <c:rich>
                  <a:bodyPr/>
                  <a:lstStyle/>
                  <a:p>
                    <a:r>
                      <a:rPr lang="en-US"/>
                      <a:t>Surrey</a:t>
                    </a:r>
                  </a:p>
                </c:rich>
              </c:tx>
              <c:dLblPos val="l"/>
              <c:showLegendKey val="0"/>
              <c:showVal val="0"/>
              <c:showCatName val="1"/>
              <c:showSerName val="0"/>
              <c:showPercent val="0"/>
              <c:showBubbleSize val="0"/>
            </c:dLbl>
            <c:dLbl>
              <c:idx val="15"/>
              <c:layout/>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800544710491783"/>
                  <c:y val="1.3242527825470671E-2"/>
                </c:manualLayout>
              </c:layout>
              <c:tx>
                <c:rich>
                  <a:bodyPr/>
                  <a:lstStyle/>
                  <a:p>
                    <a:r>
                      <a:rPr lang="en-US"/>
                      <a:t>Windsor &amp; Maidenhead</a:t>
                    </a:r>
                  </a:p>
                </c:rich>
              </c:tx>
              <c:dLblPos val="r"/>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('Section 47 Enquiries'!$AQ$40:$AQ$52,'Section 47 Enquiries'!$AQ$54:$AQ$55,'Section 47 Enquiries'!$AQ$58:$AQ$61)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('Section 47 Enquiries'!$AP$40:$AP$52,'Section 47 Enquiries'!$AP$54:$AP$55,'Section 47 Enquiries'!$AP$58:$AP$61)</c:f>
              <c:numCache>
                <c:formatCode>0.0</c:formatCode>
                <c:ptCount val="19"/>
                <c:pt idx="0">
                  <c:v>225.14338641302413</c:v>
                </c:pt>
                <c:pt idx="1">
                  <c:v>172.41717502599008</c:v>
                </c:pt>
                <c:pt idx="2">
                  <c:v>200.85313833028638</c:v>
                </c:pt>
                <c:pt idx="3">
                  <c:v>125.79565278891036</c:v>
                </c:pt>
                <c:pt idx="4">
                  <c:v>135.67984638951833</c:v>
                </c:pt>
                <c:pt idx="5">
                  <c:v>222.31091598483337</c:v>
                </c:pt>
                <c:pt idx="6">
                  <c:v>186.22987890148474</c:v>
                </c:pt>
                <c:pt idx="7">
                  <c:v>184.69574464757676</c:v>
                </c:pt>
                <c:pt idx="8">
                  <c:v>82.487028249589784</c:v>
                </c:pt>
                <c:pt idx="9">
                  <c:v>125.83307771673962</c:v>
                </c:pt>
                <c:pt idx="10">
                  <c:v>231.94243301955106</c:v>
                </c:pt>
                <c:pt idx="11">
                  <c:v>226.45782223060954</c:v>
                </c:pt>
                <c:pt idx="12">
                  <c:v>167.85206258890469</c:v>
                </c:pt>
                <c:pt idx="13">
                  <c:v>336.34827551933205</c:v>
                </c:pt>
                <c:pt idx="14">
                  <c:v>160.00460997675805</c:v>
                </c:pt>
                <c:pt idx="15">
                  <c:v>173.51215423302597</c:v>
                </c:pt>
                <c:pt idx="16">
                  <c:v>173.30232397089119</c:v>
                </c:pt>
                <c:pt idx="17">
                  <c:v>101.88635305076851</c:v>
                </c:pt>
                <c:pt idx="18">
                  <c:v>121.69913699550412</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layout/>
              <c:tx>
                <c:rich>
                  <a:bodyPr/>
                  <a:lstStyle/>
                  <a:p>
                    <a:r>
                      <a:rPr lang="en-GB"/>
                      <a:t>Somerset</a:t>
                    </a:r>
                  </a:p>
                </c:rich>
              </c:tx>
              <c:showLegendKey val="0"/>
              <c:showVal val="0"/>
              <c:showCatName val="0"/>
              <c:showSerName val="1"/>
              <c:showPercent val="0"/>
              <c:showBubbleSize val="0"/>
            </c:dLbl>
            <c:dLbl>
              <c:idx val="1"/>
              <c:layout/>
              <c:tx>
                <c:rich>
                  <a:bodyPr/>
                  <a:lstStyle/>
                  <a:p>
                    <a:r>
                      <a:rPr lang="en-GB"/>
                      <a:t>Swindon</a:t>
                    </a:r>
                  </a:p>
                </c:rich>
              </c:tx>
              <c:dLblPos val="l"/>
              <c:showLegendKey val="0"/>
              <c:showVal val="0"/>
              <c:showCatName val="0"/>
              <c:showSerName val="1"/>
              <c:showPercent val="0"/>
              <c:showBubbleSize val="0"/>
            </c:dLbl>
            <c:dLbl>
              <c:idx val="2"/>
              <c:layout/>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('Section 47 Enquiries'!$AQ$53,'Section 47 Enquiries'!$AQ$56,'Section 47 Enquiries'!$AQ$57)</c:f>
              <c:numCache>
                <c:formatCode>0.0</c:formatCode>
                <c:ptCount val="3"/>
                <c:pt idx="0">
                  <c:v>14.8</c:v>
                </c:pt>
                <c:pt idx="1">
                  <c:v>17.2</c:v>
                </c:pt>
                <c:pt idx="2">
                  <c:v>24.1</c:v>
                </c:pt>
              </c:numCache>
            </c:numRef>
          </c:xVal>
          <c:yVal>
            <c:numRef>
              <c:f>('Section 47 Enquiries'!$AP$53,'Section 47 Enquiries'!$AP$56,'Section 47 Enquiries'!$AP$57)</c:f>
              <c:numCache>
                <c:formatCode>0.0</c:formatCode>
                <c:ptCount val="3"/>
                <c:pt idx="0">
                  <c:v>138.89393554013299</c:v>
                </c:pt>
                <c:pt idx="1">
                  <c:v>203.10872526239885</c:v>
                </c:pt>
                <c:pt idx="2">
                  <c:v>272.2587244757446</c:v>
                </c:pt>
              </c:numCache>
            </c:numRef>
          </c:yVal>
          <c:smooth val="0"/>
        </c:ser>
        <c:ser>
          <c:idx val="1"/>
          <c:order val="2"/>
          <c:tx>
            <c:strRef>
              <c:f>'Section 47 Enquiries'!$Z$4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'Section 47 Enquiries'!$Y$40</c:f>
              <c:numCache>
                <c:formatCode>0.00</c:formatCode>
                <c:ptCount val="1"/>
                <c:pt idx="0">
                  <c:v>#N/A</c:v>
                </c:pt>
              </c:numCache>
            </c:numRef>
          </c:xVal>
          <c:yVal>
            <c:numRef>
              <c:f>'Section 47 Enquiries'!$Z$40</c:f>
              <c:numCache>
                <c:formatCode>0.00</c:formatCode>
                <c:ptCount val="1"/>
                <c:pt idx="0">
                  <c:v>#N/A</c:v>
                </c:pt>
              </c:numCache>
            </c:numRef>
          </c:yVal>
          <c:smooth val="0"/>
        </c:ser>
        <c:ser>
          <c:idx val="2"/>
          <c:order val="3"/>
          <c:tx>
            <c:strRef>
              <c:f>'Section 47 Enquiries'!$X$65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6.971128608923885E-2"/>
                  <c:y val="-1.2868052900220684E-2"/>
                </c:manualLayout>
              </c:layout>
              <c:tx>
                <c:rich>
                  <a:bodyPr/>
                  <a:lstStyle/>
                  <a:p>
                    <a:r>
                      <a:rPr lang="en-US" sz="900">
                        <a:solidFill>
                          <a:srgbClr val="C00000"/>
                        </a:solidFill>
                      </a:rPr>
                      <a:t>r² = 0.272</a:t>
                    </a:r>
                    <a:endParaRPr lang="en-US"/>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'Section 47 Enquiries'!$AA$65:$AA$66</c:f>
              <c:numCache>
                <c:formatCode>General</c:formatCode>
                <c:ptCount val="2"/>
                <c:pt idx="0" formatCode="#,##0.0">
                  <c:v>5</c:v>
                </c:pt>
                <c:pt idx="1">
                  <c:v>35</c:v>
                </c:pt>
              </c:numCache>
            </c:numRef>
          </c:xVal>
          <c:yVal>
            <c:numRef>
              <c:f>'Section 47 Enquiries'!$AB$65:$AB$66</c:f>
              <c:numCache>
                <c:formatCode>0.0</c:formatCode>
                <c:ptCount val="2"/>
                <c:pt idx="0">
                  <c:v>119.29049999999999</c:v>
                </c:pt>
                <c:pt idx="1">
                  <c:v>281.4255</c:v>
                </c:pt>
              </c:numCache>
            </c:numRef>
          </c:yVal>
          <c:smooth val="0"/>
        </c:ser>
        <c:ser>
          <c:idx val="4"/>
          <c:order val="4"/>
          <c:tx>
            <c:strRef>
              <c:f>'Section 47 Enquiries'!$B$31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'Section 47 Enquiries'!$R$31</c:f>
              <c:numCache>
                <c:formatCode>0.0</c:formatCode>
                <c:ptCount val="1"/>
                <c:pt idx="0">
                  <c:v>14.45223640702325</c:v>
                </c:pt>
              </c:numCache>
            </c:numRef>
          </c:xVal>
          <c:yVal>
            <c:numRef>
              <c:f>'Section 47 Enquiries'!$O$31</c:f>
              <c:numCache>
                <c:formatCode>0.0</c:formatCode>
                <c:ptCount val="1"/>
                <c:pt idx="0">
                  <c:v>166.67824154455172</c:v>
                </c:pt>
              </c:numCache>
            </c:numRef>
          </c:yVal>
          <c:smooth val="0"/>
        </c:ser>
        <c:dLbls>
          <c:showLegendKey val="0"/>
          <c:showVal val="0"/>
          <c:showCatName val="0"/>
          <c:showSerName val="0"/>
          <c:showPercent val="0"/>
          <c:showBubbleSize val="0"/>
        </c:dLbls>
        <c:axId val="216471424"/>
        <c:axId val="216510848"/>
      </c:scatterChart>
      <c:valAx>
        <c:axId val="216471424"/>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6510848"/>
        <c:crosses val="autoZero"/>
        <c:crossBetween val="midCat"/>
      </c:valAx>
      <c:valAx>
        <c:axId val="21651084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Re-referrals</a:t>
                </a:r>
                <a:r>
                  <a:rPr lang="en-GB" baseline="0"/>
                  <a:t> </a:t>
                </a:r>
                <a:r>
                  <a:rPr lang="en-GB"/>
                  <a:t>per 10,000 0-17 year olds</a:t>
                </a:r>
              </a:p>
            </c:rich>
          </c:tx>
          <c:layout>
            <c:manualLayout>
              <c:xMode val="edge"/>
              <c:yMode val="edge"/>
              <c:x val="4.1925738303691069E-2"/>
              <c:y val="0.185723854985677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647142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per 10,000 0-17 year olds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4050498859185963"/>
        </c:manualLayout>
      </c:layout>
      <c:lineChart>
        <c:grouping val="standard"/>
        <c:varyColors val="0"/>
        <c:ser>
          <c:idx val="0"/>
          <c:order val="0"/>
          <c:tx>
            <c:strRef>
              <c:f>'Section 47 Enquiries'!$AK$40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'Section 47 Enquiries'!$D$8:$H$8</c:f>
              <c:numCache>
                <c:formatCode>General</c:formatCode>
                <c:ptCount val="5"/>
                <c:pt idx="0">
                  <c:v>2014</c:v>
                </c:pt>
                <c:pt idx="1">
                  <c:v>2015</c:v>
                </c:pt>
                <c:pt idx="2">
                  <c:v>2016</c:v>
                </c:pt>
                <c:pt idx="3">
                  <c:v>2017</c:v>
                </c:pt>
                <c:pt idx="4">
                  <c:v>2018</c:v>
                </c:pt>
              </c:numCache>
            </c:numRef>
          </c:cat>
          <c:val>
            <c:numRef>
              <c:f>'Section 47 Enquiries'!$AL$40:$AP$40</c:f>
              <c:numCache>
                <c:formatCode>0.0</c:formatCode>
                <c:ptCount val="5"/>
                <c:pt idx="0">
                  <c:v>125.46125461254613</c:v>
                </c:pt>
                <c:pt idx="1">
                  <c:v>151.43884892086331</c:v>
                </c:pt>
                <c:pt idx="2">
                  <c:v>139.71631205673759</c:v>
                </c:pt>
                <c:pt idx="3">
                  <c:v>198.76481862710301</c:v>
                </c:pt>
                <c:pt idx="4">
                  <c:v>225.14338641302413</c:v>
                </c:pt>
              </c:numCache>
            </c:numRef>
          </c:val>
          <c:smooth val="0"/>
        </c:ser>
        <c:ser>
          <c:idx val="1"/>
          <c:order val="1"/>
          <c:tx>
            <c:strRef>
              <c:f>'Section 47 Enquiries'!$AK$41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Enquiries'!$AL$41:$AP$41</c:f>
              <c:numCache>
                <c:formatCode>0.0</c:formatCode>
                <c:ptCount val="5"/>
                <c:pt idx="0">
                  <c:v>167.92079207920793</c:v>
                </c:pt>
                <c:pt idx="1">
                  <c:v>203.52941176470588</c:v>
                </c:pt>
                <c:pt idx="2">
                  <c:v>223.2421875</c:v>
                </c:pt>
                <c:pt idx="3">
                  <c:v>168.28844991322322</c:v>
                </c:pt>
                <c:pt idx="4">
                  <c:v>172.41717502599008</c:v>
                </c:pt>
              </c:numCache>
            </c:numRef>
          </c:val>
          <c:smooth val="0"/>
        </c:ser>
        <c:ser>
          <c:idx val="2"/>
          <c:order val="2"/>
          <c:tx>
            <c:strRef>
              <c:f>'Section 47 Enquiries'!$AK$42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Enquiries'!$AL$42:$AP$42</c:f>
              <c:numCache>
                <c:formatCode>0.0</c:formatCode>
                <c:ptCount val="5"/>
                <c:pt idx="0">
                  <c:v>75.425170068027214</c:v>
                </c:pt>
                <c:pt idx="1">
                  <c:v>147.85534062237173</c:v>
                </c:pt>
                <c:pt idx="2">
                  <c:v>159.53565505804312</c:v>
                </c:pt>
                <c:pt idx="3">
                  <c:v>210.79333906141321</c:v>
                </c:pt>
                <c:pt idx="4">
                  <c:v>200.85313833028638</c:v>
                </c:pt>
              </c:numCache>
            </c:numRef>
          </c:val>
          <c:smooth val="0"/>
        </c:ser>
        <c:ser>
          <c:idx val="5"/>
          <c:order val="3"/>
          <c:tx>
            <c:strRef>
              <c:f>'Section 47 Enquiries'!$AK$43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Enquiries'!$AL$43:$AP$43</c:f>
              <c:numCache>
                <c:formatCode>0.0</c:formatCode>
                <c:ptCount val="5"/>
                <c:pt idx="0">
                  <c:v>130.15267175572518</c:v>
                </c:pt>
                <c:pt idx="1">
                  <c:v>94.402277039848187</c:v>
                </c:pt>
                <c:pt idx="2">
                  <c:v>81.964117091595838</c:v>
                </c:pt>
                <c:pt idx="3">
                  <c:v>106.39804386205074</c:v>
                </c:pt>
                <c:pt idx="4">
                  <c:v>125.79565278891036</c:v>
                </c:pt>
              </c:numCache>
            </c:numRef>
          </c:val>
          <c:smooth val="0"/>
        </c:ser>
        <c:ser>
          <c:idx val="9"/>
          <c:order val="4"/>
          <c:tx>
            <c:strRef>
              <c:f>'Section 47 Enquiries'!$AK$44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Enquiries'!$AL$44:$AP$44</c:f>
              <c:numCache>
                <c:formatCode>0.0</c:formatCode>
                <c:ptCount val="5"/>
                <c:pt idx="0">
                  <c:v>97.729691379921945</c:v>
                </c:pt>
                <c:pt idx="1">
                  <c:v>164.22735346358792</c:v>
                </c:pt>
                <c:pt idx="2">
                  <c:v>148.35047889322453</c:v>
                </c:pt>
                <c:pt idx="3">
                  <c:v>148.90855791025882</c:v>
                </c:pt>
                <c:pt idx="4">
                  <c:v>135.67984638951833</c:v>
                </c:pt>
              </c:numCache>
            </c:numRef>
          </c:val>
          <c:smooth val="0"/>
        </c:ser>
        <c:ser>
          <c:idx val="10"/>
          <c:order val="5"/>
          <c:tx>
            <c:strRef>
              <c:f>'Section 47 Enquiries'!$AK$45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Enquiries'!$AL$45:$AP$45</c:f>
              <c:numCache>
                <c:formatCode>0.0</c:formatCode>
                <c:ptCount val="5"/>
                <c:pt idx="0">
                  <c:v>195.73643410852713</c:v>
                </c:pt>
                <c:pt idx="1">
                  <c:v>286.2745098039216</c:v>
                </c:pt>
                <c:pt idx="2">
                  <c:v>267.19367588932806</c:v>
                </c:pt>
                <c:pt idx="3">
                  <c:v>217.85714285714286</c:v>
                </c:pt>
                <c:pt idx="4">
                  <c:v>222.31091598483337</c:v>
                </c:pt>
              </c:numCache>
            </c:numRef>
          </c:val>
          <c:smooth val="0"/>
        </c:ser>
        <c:ser>
          <c:idx val="11"/>
          <c:order val="6"/>
          <c:tx>
            <c:strRef>
              <c:f>'Section 47 Enquiries'!$AK$46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Enquiries'!$AL$46:$AP$46</c:f>
              <c:numCache>
                <c:formatCode>0.0</c:formatCode>
                <c:ptCount val="5"/>
                <c:pt idx="0">
                  <c:v>123.55651105651107</c:v>
                </c:pt>
                <c:pt idx="1">
                  <c:v>133.01858056655499</c:v>
                </c:pt>
                <c:pt idx="2">
                  <c:v>144.06779661016949</c:v>
                </c:pt>
                <c:pt idx="3">
                  <c:v>146.91708327703464</c:v>
                </c:pt>
                <c:pt idx="4">
                  <c:v>186.22987890148474</c:v>
                </c:pt>
              </c:numCache>
            </c:numRef>
          </c:val>
          <c:smooth val="0"/>
        </c:ser>
        <c:ser>
          <c:idx val="12"/>
          <c:order val="7"/>
          <c:tx>
            <c:strRef>
              <c:f>'Section 47 Enquiries'!$AK$47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Enquiries'!$AL$47:$AP$47</c:f>
              <c:numCache>
                <c:formatCode>0.0</c:formatCode>
                <c:ptCount val="5"/>
                <c:pt idx="0">
                  <c:v>141.07142857142856</c:v>
                </c:pt>
                <c:pt idx="1">
                  <c:v>242.23999999999998</c:v>
                </c:pt>
                <c:pt idx="2">
                  <c:v>258.06962025316454</c:v>
                </c:pt>
                <c:pt idx="3">
                  <c:v>168.29678006813509</c:v>
                </c:pt>
                <c:pt idx="4">
                  <c:v>184.69574464757676</c:v>
                </c:pt>
              </c:numCache>
            </c:numRef>
          </c:val>
          <c:smooth val="0"/>
        </c:ser>
        <c:ser>
          <c:idx val="13"/>
          <c:order val="8"/>
          <c:tx>
            <c:strRef>
              <c:f>'Section 47 Enquiries'!$AK$48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Enquiries'!$AL$48:$AP$48</c:f>
              <c:numCache>
                <c:formatCode>0.0</c:formatCode>
                <c:ptCount val="5"/>
                <c:pt idx="0">
                  <c:v>83.125</c:v>
                </c:pt>
                <c:pt idx="1">
                  <c:v>85.429447852760731</c:v>
                </c:pt>
                <c:pt idx="2">
                  <c:v>86.081694402420567</c:v>
                </c:pt>
                <c:pt idx="3">
                  <c:v>115.56905846960355</c:v>
                </c:pt>
                <c:pt idx="4">
                  <c:v>82.487028249589784</c:v>
                </c:pt>
              </c:numCache>
            </c:numRef>
          </c:val>
          <c:smooth val="0"/>
        </c:ser>
        <c:ser>
          <c:idx val="15"/>
          <c:order val="9"/>
          <c:tx>
            <c:strRef>
              <c:f>'Section 47 Enquiries'!$AK$49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Enquiries'!$AL$49:$AP$49</c:f>
              <c:numCache>
                <c:formatCode>0.0</c:formatCode>
                <c:ptCount val="5"/>
                <c:pt idx="0">
                  <c:v>112.7583749109052</c:v>
                </c:pt>
                <c:pt idx="1">
                  <c:v>111.68555240793202</c:v>
                </c:pt>
                <c:pt idx="2">
                  <c:v>131.45275035260931</c:v>
                </c:pt>
                <c:pt idx="3">
                  <c:v>134.78239571159648</c:v>
                </c:pt>
                <c:pt idx="4">
                  <c:v>125.83307771673962</c:v>
                </c:pt>
              </c:numCache>
            </c:numRef>
          </c:val>
          <c:smooth val="0"/>
        </c:ser>
        <c:ser>
          <c:idx val="16"/>
          <c:order val="10"/>
          <c:tx>
            <c:strRef>
              <c:f>'Section 47 Enquiries'!$AK$50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Enquiries'!$AL$50:$AP$50</c:f>
              <c:numCache>
                <c:formatCode>0.0</c:formatCode>
                <c:ptCount val="5"/>
                <c:pt idx="0">
                  <c:v>229.34272300469485</c:v>
                </c:pt>
                <c:pt idx="1">
                  <c:v>248.61751152073734</c:v>
                </c:pt>
                <c:pt idx="2">
                  <c:v>262.10045662100458</c:v>
                </c:pt>
                <c:pt idx="3">
                  <c:v>281.81818181818181</c:v>
                </c:pt>
                <c:pt idx="4">
                  <c:v>231.94243301955106</c:v>
                </c:pt>
              </c:numCache>
            </c:numRef>
          </c:val>
          <c:smooth val="0"/>
        </c:ser>
        <c:ser>
          <c:idx val="17"/>
          <c:order val="11"/>
          <c:tx>
            <c:strRef>
              <c:f>'Section 47 Enquiries'!$AK$51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Enquiries'!$AL$51:$AP$51</c:f>
              <c:numCache>
                <c:formatCode>0.0</c:formatCode>
                <c:ptCount val="5"/>
                <c:pt idx="0">
                  <c:v>160.51873198847264</c:v>
                </c:pt>
                <c:pt idx="1">
                  <c:v>161.28133704735376</c:v>
                </c:pt>
                <c:pt idx="2">
                  <c:v>267.30769230769232</c:v>
                </c:pt>
                <c:pt idx="3">
                  <c:v>297.48096394749052</c:v>
                </c:pt>
                <c:pt idx="4">
                  <c:v>226.45782223060954</c:v>
                </c:pt>
              </c:numCache>
            </c:numRef>
          </c:val>
          <c:smooth val="0"/>
        </c:ser>
        <c:ser>
          <c:idx val="19"/>
          <c:order val="12"/>
          <c:tx>
            <c:strRef>
              <c:f>'Section 47 Enquiries'!$AK$52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Enquiries'!$AL$52:$AP$52</c:f>
              <c:numCache>
                <c:formatCode>0.0</c:formatCode>
                <c:ptCount val="5"/>
                <c:pt idx="0">
                  <c:v>233.41902313624681</c:v>
                </c:pt>
                <c:pt idx="1">
                  <c:v>235.33834586466165</c:v>
                </c:pt>
                <c:pt idx="2">
                  <c:v>221.67487684729065</c:v>
                </c:pt>
                <c:pt idx="3">
                  <c:v>211.56354151572236</c:v>
                </c:pt>
                <c:pt idx="4">
                  <c:v>167.85206258890469</c:v>
                </c:pt>
              </c:numCache>
            </c:numRef>
          </c:val>
          <c:smooth val="0"/>
        </c:ser>
        <c:ser>
          <c:idx val="3"/>
          <c:order val="13"/>
          <c:tx>
            <c:strRef>
              <c:f>'Section 47 Enquiries'!$AK$53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Enquiries'!$AL$53:$AP$53</c:f>
              <c:numCache>
                <c:formatCode>0.0</c:formatCode>
                <c:ptCount val="5"/>
                <c:pt idx="0">
                  <c:v>148.89705882352939</c:v>
                </c:pt>
                <c:pt idx="1">
                  <c:v>187.41965105601469</c:v>
                </c:pt>
                <c:pt idx="2">
                  <c:v>118.77289377289378</c:v>
                </c:pt>
                <c:pt idx="3">
                  <c:v>143.81206854099599</c:v>
                </c:pt>
                <c:pt idx="4">
                  <c:v>138.89393554013299</c:v>
                </c:pt>
              </c:numCache>
            </c:numRef>
          </c:val>
          <c:smooth val="0"/>
        </c:ser>
        <c:ser>
          <c:idx val="20"/>
          <c:order val="14"/>
          <c:tx>
            <c:strRef>
              <c:f>'Section 47 Enquiries'!$AK$54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Enquiries'!$AL$54:$AP$54</c:f>
              <c:numCache>
                <c:formatCode>0.0</c:formatCode>
                <c:ptCount val="5"/>
                <c:pt idx="0">
                  <c:v>328.05907172995779</c:v>
                </c:pt>
                <c:pt idx="1">
                  <c:v>436.21399176954736</c:v>
                </c:pt>
                <c:pt idx="2">
                  <c:v>383.73983739837399</c:v>
                </c:pt>
                <c:pt idx="3">
                  <c:v>270.93645417927496</c:v>
                </c:pt>
                <c:pt idx="4">
                  <c:v>336.34827551933205</c:v>
                </c:pt>
              </c:numCache>
            </c:numRef>
          </c:val>
          <c:smooth val="0"/>
        </c:ser>
        <c:ser>
          <c:idx val="22"/>
          <c:order val="15"/>
          <c:tx>
            <c:strRef>
              <c:f>'Section 47 Enquiries'!$AK$55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Enquiries'!$AL$55:$AP$55</c:f>
              <c:numCache>
                <c:formatCode>0.0</c:formatCode>
                <c:ptCount val="5"/>
                <c:pt idx="0">
                  <c:v>103.80952380952381</c:v>
                </c:pt>
                <c:pt idx="1">
                  <c:v>127.57266300078554</c:v>
                </c:pt>
                <c:pt idx="2">
                  <c:v>175.07800312012478</c:v>
                </c:pt>
                <c:pt idx="3">
                  <c:v>164.7882810358341</c:v>
                </c:pt>
                <c:pt idx="4">
                  <c:v>160.00460997675805</c:v>
                </c:pt>
              </c:numCache>
            </c:numRef>
          </c:val>
          <c:smooth val="0"/>
        </c:ser>
        <c:ser>
          <c:idx val="7"/>
          <c:order val="16"/>
          <c:tx>
            <c:strRef>
              <c:f>'Section 47 Enquiries'!$AK$56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'Section 47 Enquiries'!$AL$56:$AP$56</c:f>
              <c:numCache>
                <c:formatCode>0.0</c:formatCode>
                <c:ptCount val="5"/>
                <c:pt idx="0">
                  <c:v>108.35073068893529</c:v>
                </c:pt>
                <c:pt idx="1">
                  <c:v>119.54732510288066</c:v>
                </c:pt>
                <c:pt idx="2">
                  <c:v>156.32653061224491</c:v>
                </c:pt>
                <c:pt idx="3">
                  <c:v>185.59702397800331</c:v>
                </c:pt>
                <c:pt idx="4">
                  <c:v>203.10872526239885</c:v>
                </c:pt>
              </c:numCache>
            </c:numRef>
          </c:val>
          <c:smooth val="0"/>
        </c:ser>
        <c:ser>
          <c:idx val="8"/>
          <c:order val="17"/>
          <c:tx>
            <c:strRef>
              <c:f>'Section 47 Enquiries'!$AK$57</c:f>
              <c:strCache>
                <c:ptCount val="1"/>
                <c:pt idx="0">
                  <c:v>Torbay</c:v>
                </c:pt>
              </c:strCache>
            </c:strRef>
          </c:tx>
          <c:spPr>
            <a:ln w="15875"/>
          </c:spPr>
          <c:marker>
            <c:symbol val="circle"/>
            <c:size val="5"/>
            <c:spPr>
              <a:solidFill>
                <a:schemeClr val="accent3">
                  <a:lumMod val="20000"/>
                  <a:lumOff val="80000"/>
                </a:schemeClr>
              </a:solidFill>
            </c:spPr>
          </c:marker>
          <c:val>
            <c:numRef>
              <c:f>'Section 47 Enquiries'!$AL$57:$AP$57</c:f>
              <c:numCache>
                <c:formatCode>0.0</c:formatCode>
                <c:ptCount val="5"/>
                <c:pt idx="0">
                  <c:v>275.80645161290323</c:v>
                </c:pt>
                <c:pt idx="1">
                  <c:v>274.50199203187248</c:v>
                </c:pt>
                <c:pt idx="2">
                  <c:v>313.09523809523807</c:v>
                </c:pt>
                <c:pt idx="3">
                  <c:v>299.53099751704565</c:v>
                </c:pt>
                <c:pt idx="4">
                  <c:v>272.2587244757446</c:v>
                </c:pt>
              </c:numCache>
            </c:numRef>
          </c:val>
          <c:smooth val="0"/>
        </c:ser>
        <c:ser>
          <c:idx val="23"/>
          <c:order val="18"/>
          <c:tx>
            <c:strRef>
              <c:f>'Section 47 Enquiries'!$AK$58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Enquiries'!$AL$58:$AP$58</c:f>
              <c:numCache>
                <c:formatCode>0.0</c:formatCode>
                <c:ptCount val="5"/>
                <c:pt idx="0">
                  <c:v>109.80392156862746</c:v>
                </c:pt>
                <c:pt idx="1">
                  <c:v>139.32584269662922</c:v>
                </c:pt>
                <c:pt idx="2">
                  <c:v>180.39215686274511</c:v>
                </c:pt>
                <c:pt idx="3">
                  <c:v>153.90609779855833</c:v>
                </c:pt>
                <c:pt idx="4">
                  <c:v>173.51215423302597</c:v>
                </c:pt>
              </c:numCache>
            </c:numRef>
          </c:val>
          <c:smooth val="0"/>
        </c:ser>
        <c:ser>
          <c:idx val="24"/>
          <c:order val="19"/>
          <c:tx>
            <c:strRef>
              <c:f>'Section 47 Enquiries'!$AK$59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Enquiries'!$AL$59:$AP$59</c:f>
              <c:numCache>
                <c:formatCode>0.0</c:formatCode>
                <c:ptCount val="5"/>
                <c:pt idx="0">
                  <c:v>100.11976047904191</c:v>
                </c:pt>
                <c:pt idx="1">
                  <c:v>117.18009478672987</c:v>
                </c:pt>
                <c:pt idx="2">
                  <c:v>105.92723004694835</c:v>
                </c:pt>
                <c:pt idx="3">
                  <c:v>126.28012179714835</c:v>
                </c:pt>
                <c:pt idx="4">
                  <c:v>173.30232397089119</c:v>
                </c:pt>
              </c:numCache>
            </c:numRef>
          </c:val>
          <c:smooth val="0"/>
        </c:ser>
        <c:ser>
          <c:idx val="25"/>
          <c:order val="20"/>
          <c:tx>
            <c:strRef>
              <c:f>'Section 47 Enquiries'!$AK$60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Enquiries'!$AL$60:$AP$60</c:f>
              <c:numCache>
                <c:formatCode>0.0</c:formatCode>
                <c:ptCount val="5"/>
                <c:pt idx="0">
                  <c:v>115.91591591591592</c:v>
                </c:pt>
                <c:pt idx="1">
                  <c:v>97.305389221556894</c:v>
                </c:pt>
                <c:pt idx="2">
                  <c:v>129.67359050445106</c:v>
                </c:pt>
                <c:pt idx="3">
                  <c:v>133.71956928838952</c:v>
                </c:pt>
                <c:pt idx="4">
                  <c:v>101.88635305076851</c:v>
                </c:pt>
              </c:numCache>
            </c:numRef>
          </c:val>
          <c:smooth val="0"/>
        </c:ser>
        <c:ser>
          <c:idx val="26"/>
          <c:order val="21"/>
          <c:tx>
            <c:strRef>
              <c:f>'Section 47 Enquiries'!$AK$61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Enquiries'!$AL$61:$AP$61</c:f>
              <c:numCache>
                <c:formatCode>0.0</c:formatCode>
                <c:ptCount val="5"/>
                <c:pt idx="0">
                  <c:v>72.375690607734811</c:v>
                </c:pt>
                <c:pt idx="1">
                  <c:v>68.563685636856377</c:v>
                </c:pt>
                <c:pt idx="2">
                  <c:v>92.761394101876675</c:v>
                </c:pt>
                <c:pt idx="3">
                  <c:v>69.175938346616164</c:v>
                </c:pt>
                <c:pt idx="4">
                  <c:v>121.69913699550412</c:v>
                </c:pt>
              </c:numCache>
            </c:numRef>
          </c:val>
          <c:smooth val="0"/>
        </c:ser>
        <c:ser>
          <c:idx val="4"/>
          <c:order val="22"/>
          <c:tx>
            <c:strRef>
              <c:f>'Section 47 Enquiries'!$AK$62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Enquiries'!$AL$62:$AP$62</c:f>
              <c:numCache>
                <c:formatCode>0.0</c:formatCode>
                <c:ptCount val="5"/>
                <c:pt idx="0">
                  <c:v>122.05851176595294</c:v>
                </c:pt>
                <c:pt idx="1">
                  <c:v>150.19430732065959</c:v>
                </c:pt>
                <c:pt idx="2">
                  <c:v>159.74141077107555</c:v>
                </c:pt>
                <c:pt idx="3">
                  <c:v>159.42536518599022</c:v>
                </c:pt>
                <c:pt idx="4">
                  <c:v>166.67824154455172</c:v>
                </c:pt>
              </c:numCache>
            </c:numRef>
          </c:val>
          <c:smooth val="0"/>
        </c:ser>
        <c:ser>
          <c:idx val="14"/>
          <c:order val="23"/>
          <c:tx>
            <c:strRef>
              <c:f>'Section 47 Enquiries'!$AK$63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'Section 47 Enquiries'!$AL$63:$AP$63</c:f>
              <c:numCache>
                <c:formatCode>0.0</c:formatCode>
                <c:ptCount val="5"/>
                <c:pt idx="0">
                  <c:v>124.13210325031143</c:v>
                </c:pt>
                <c:pt idx="1">
                  <c:v>138.15920011732533</c:v>
                </c:pt>
                <c:pt idx="2">
                  <c:v>147.5350876441826</c:v>
                </c:pt>
                <c:pt idx="3">
                  <c:v>157.35735358617364</c:v>
                </c:pt>
                <c:pt idx="4">
                  <c:v>166.92569122817247</c:v>
                </c:pt>
              </c:numCache>
            </c:numRef>
          </c:val>
          <c:smooth val="0"/>
        </c:ser>
        <c:ser>
          <c:idx val="6"/>
          <c:order val="24"/>
          <c:tx>
            <c:strRef>
              <c:f>'Section 47 Enquiries'!$AK$64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'Section 47 Enquiries'!$D$8:$H$8</c:f>
              <c:numCache>
                <c:formatCode>General</c:formatCode>
                <c:ptCount val="5"/>
                <c:pt idx="0">
                  <c:v>2014</c:v>
                </c:pt>
                <c:pt idx="1">
                  <c:v>2015</c:v>
                </c:pt>
                <c:pt idx="2">
                  <c:v>2016</c:v>
                </c:pt>
                <c:pt idx="3">
                  <c:v>2017</c:v>
                </c:pt>
                <c:pt idx="4">
                  <c:v>2018</c:v>
                </c:pt>
              </c:numCache>
            </c:numRef>
          </c:cat>
          <c:val>
            <c:numRef>
              <c:f>'Section 47 Enquiries'!$AL$64:$AP$64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16841216"/>
        <c:axId val="216843392"/>
      </c:lineChart>
      <c:catAx>
        <c:axId val="216841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6843392"/>
        <c:crosses val="autoZero"/>
        <c:auto val="1"/>
        <c:lblAlgn val="ctr"/>
        <c:lblOffset val="100"/>
        <c:tickLblSkip val="1"/>
        <c:tickMarkSkip val="1"/>
        <c:noMultiLvlLbl val="0"/>
      </c:catAx>
      <c:valAx>
        <c:axId val="21684339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684121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'Section 47 Enquiries'!$Z$4</c:f>
              <c:strCache>
                <c:ptCount val="1"/>
                <c:pt idx="0">
                  <c:v>Selected LA- (none)</c:v>
                </c:pt>
              </c:strCache>
            </c:strRef>
          </c:tx>
          <c:spPr>
            <a:solidFill>
              <a:srgbClr val="66FF99"/>
            </a:solidFill>
            <a:ln>
              <a:solidFill>
                <a:schemeClr val="tx1">
                  <a:lumMod val="75000"/>
                  <a:lumOff val="25000"/>
                </a:schemeClr>
              </a:solidFill>
            </a:ln>
          </c:spPr>
          <c:invertIfNegative val="0"/>
          <c:val>
            <c:numRef>
              <c:f>'Section 47 Enquiries'!$X$70:$AB$70</c:f>
              <c:numCache>
                <c:formatCode>0.0</c:formatCode>
                <c:ptCount val="5"/>
                <c:pt idx="0">
                  <c:v>#N/A</c:v>
                </c:pt>
                <c:pt idx="1">
                  <c:v>#N/A</c:v>
                </c:pt>
                <c:pt idx="2">
                  <c:v>#N/A</c:v>
                </c:pt>
                <c:pt idx="3">
                  <c:v>#N/A</c:v>
                </c:pt>
                <c:pt idx="4">
                  <c:v>#N/A</c:v>
                </c:pt>
              </c:numCache>
            </c:numRef>
          </c:val>
        </c:ser>
        <c:ser>
          <c:idx val="4"/>
          <c:order val="1"/>
          <c:tx>
            <c:strRef>
              <c:f>'Section 47 Enquiries'!$B$31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'Section 47 Enquiries'!$K$8:$O$8</c:f>
              <c:numCache>
                <c:formatCode>General</c:formatCode>
                <c:ptCount val="5"/>
                <c:pt idx="0">
                  <c:v>2014</c:v>
                </c:pt>
                <c:pt idx="1">
                  <c:v>2015</c:v>
                </c:pt>
                <c:pt idx="2">
                  <c:v>2016</c:v>
                </c:pt>
                <c:pt idx="3">
                  <c:v>2017</c:v>
                </c:pt>
                <c:pt idx="4">
                  <c:v>2018</c:v>
                </c:pt>
              </c:numCache>
            </c:numRef>
          </c:cat>
          <c:val>
            <c:numRef>
              <c:f>'Section 47 Enquiries'!$K$31:$O$31</c:f>
              <c:numCache>
                <c:formatCode>0.0</c:formatCode>
                <c:ptCount val="5"/>
                <c:pt idx="0">
                  <c:v>122.05851176595294</c:v>
                </c:pt>
                <c:pt idx="1">
                  <c:v>150.19430732065959</c:v>
                </c:pt>
                <c:pt idx="2">
                  <c:v>159.74141077107555</c:v>
                </c:pt>
                <c:pt idx="3">
                  <c:v>159.42536518599022</c:v>
                </c:pt>
                <c:pt idx="4">
                  <c:v>166.67824154455172</c:v>
                </c:pt>
              </c:numCache>
            </c:numRef>
          </c:val>
        </c:ser>
        <c:ser>
          <c:idx val="0"/>
          <c:order val="2"/>
          <c:tx>
            <c:strRef>
              <c:f>'Section 47 Enquiries'!$B$32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'Section 47 Enquiries'!$K$32:$O$32</c:f>
              <c:numCache>
                <c:formatCode>0.0</c:formatCode>
                <c:ptCount val="5"/>
                <c:pt idx="0">
                  <c:v>124.13210325031143</c:v>
                </c:pt>
                <c:pt idx="1">
                  <c:v>138.15920011732533</c:v>
                </c:pt>
                <c:pt idx="2">
                  <c:v>147.5350876441826</c:v>
                </c:pt>
                <c:pt idx="3">
                  <c:v>157.35735358617364</c:v>
                </c:pt>
                <c:pt idx="4">
                  <c:v>166.92569122817247</c:v>
                </c:pt>
              </c:numCache>
            </c:numRef>
          </c:val>
        </c:ser>
        <c:dLbls>
          <c:showLegendKey val="0"/>
          <c:showVal val="0"/>
          <c:showCatName val="0"/>
          <c:showSerName val="0"/>
          <c:showPercent val="0"/>
          <c:showBubbleSize val="0"/>
        </c:dLbls>
        <c:gapWidth val="100"/>
        <c:axId val="217402368"/>
        <c:axId val="217404160"/>
      </c:barChart>
      <c:catAx>
        <c:axId val="217402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7404160"/>
        <c:crosses val="autoZero"/>
        <c:auto val="1"/>
        <c:lblAlgn val="ctr"/>
        <c:lblOffset val="100"/>
        <c:noMultiLvlLbl val="0"/>
      </c:catAx>
      <c:valAx>
        <c:axId val="21740416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7402368"/>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703195813098213"/>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Section 47 Enquiries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'Section 47 Enquiries'!$R$7:$T$7</c:f>
              <c:strCache>
                <c:ptCount val="1"/>
                <c:pt idx="0">
                  <c:v>Distance from Expected 2018</c:v>
                </c:pt>
              </c:strCache>
            </c:strRef>
          </c:tx>
          <c:spPr>
            <a:solidFill>
              <a:srgbClr val="FB994F"/>
            </a:solidFill>
            <a:ln w="25400">
              <a:noFill/>
            </a:ln>
          </c:spPr>
          <c:invertIfNegative val="0"/>
          <c:cat>
            <c:strRef>
              <c:f>'Section 47 Enquiries'!$X$76:$X$99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Enquiries'!$T$9:$T$32</c:f>
              <c:numCache>
                <c:formatCode>0.0</c:formatCode>
                <c:ptCount val="24"/>
                <c:pt idx="0">
                  <c:v>105.57754741302412</c:v>
                </c:pt>
                <c:pt idx="1">
                  <c:v>7.9625483259900705</c:v>
                </c:pt>
                <c:pt idx="2">
                  <c:v>88.666278130286372</c:v>
                </c:pt>
                <c:pt idx="3">
                  <c:v>-33.124739811089626</c:v>
                </c:pt>
                <c:pt idx="4">
                  <c:v>11.194688189518331</c:v>
                </c:pt>
                <c:pt idx="5">
                  <c:v>44.943076384833375</c:v>
                </c:pt>
                <c:pt idx="6">
                  <c:v>24.849826701484744</c:v>
                </c:pt>
                <c:pt idx="7">
                  <c:v>-2.5107333524232445</c:v>
                </c:pt>
                <c:pt idx="8">
                  <c:v>-90.576407050410225</c:v>
                </c:pt>
                <c:pt idx="9">
                  <c:v>1.3479195167396227</c:v>
                </c:pt>
                <c:pt idx="10">
                  <c:v>33.667486819551073</c:v>
                </c:pt>
                <c:pt idx="11">
                  <c:v>52.779472030609526</c:v>
                </c:pt>
                <c:pt idx="12">
                  <c:v>-3.9815429110953175</c:v>
                </c:pt>
                <c:pt idx="13">
                  <c:v>-4.0386696598670255</c:v>
                </c:pt>
                <c:pt idx="14">
                  <c:v>130.69435051933206</c:v>
                </c:pt>
                <c:pt idx="15">
                  <c:v>48.432664676758037</c:v>
                </c:pt>
                <c:pt idx="16">
                  <c:v>45.41816246239884</c:v>
                </c:pt>
                <c:pt idx="17">
                  <c:v>72.139033575744605</c:v>
                </c:pt>
                <c:pt idx="18">
                  <c:v>57.63580463302597</c:v>
                </c:pt>
                <c:pt idx="19">
                  <c:v>42.053101870891197</c:v>
                </c:pt>
                <c:pt idx="20">
                  <c:v>-1.6916985492315035</c:v>
                </c:pt>
                <c:pt idx="21">
                  <c:v>27.959723795504118</c:v>
                </c:pt>
                <c:pt idx="22">
                  <c:v>25.884086494541123</c:v>
                </c:pt>
                <c:pt idx="23">
                  <c:v>-7.3836329161301251</c:v>
                </c:pt>
              </c:numCache>
            </c:numRef>
          </c:val>
        </c:ser>
        <c:ser>
          <c:idx val="0"/>
          <c:order val="1"/>
          <c:tx>
            <c:strRef>
              <c:f>'Section 47 Enquiries'!$Z$4</c:f>
              <c:strCache>
                <c:ptCount val="1"/>
                <c:pt idx="0">
                  <c:v>Selected LA- (none)</c:v>
                </c:pt>
              </c:strCache>
            </c:strRef>
          </c:tx>
          <c:spPr>
            <a:solidFill>
              <a:srgbClr val="66FF99"/>
            </a:solidFill>
            <a:ln w="12700">
              <a:solidFill>
                <a:srgbClr val="000000"/>
              </a:solidFill>
              <a:prstDash val="solid"/>
            </a:ln>
          </c:spPr>
          <c:invertIfNegative val="0"/>
          <c:cat>
            <c:strRef>
              <c:f>'Section 47 Enquiries'!$X$76:$X$99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17725184"/>
        <c:axId val="217731072"/>
      </c:barChart>
      <c:catAx>
        <c:axId val="2177251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7731072"/>
        <c:crossesAt val="0"/>
        <c:auto val="1"/>
        <c:lblAlgn val="ctr"/>
        <c:lblOffset val="100"/>
        <c:noMultiLvlLbl val="0"/>
      </c:catAx>
      <c:valAx>
        <c:axId val="217731072"/>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7725184"/>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Section 47 Enquiries 2015-2018</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'Section 47 Enquiries'!$I$7</c:f>
              <c:strCache>
                <c:ptCount val="1"/>
                <c:pt idx="0">
                  <c:v>% Change 2015-18</c:v>
                </c:pt>
              </c:strCache>
            </c:strRef>
          </c:tx>
          <c:spPr>
            <a:solidFill>
              <a:srgbClr val="FB994F"/>
            </a:solidFill>
            <a:ln w="25400">
              <a:noFill/>
            </a:ln>
          </c:spPr>
          <c:invertIfNegative val="0"/>
          <c:cat>
            <c:strRef>
              <c:f>'Section 47 Enquiries'!$B$9:$B$32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Enquiries'!$I$9:$I$32</c:f>
              <c:numCache>
                <c:formatCode>0.0%</c:formatCode>
                <c:ptCount val="24"/>
                <c:pt idx="0">
                  <c:v>0.50118764845605701</c:v>
                </c:pt>
                <c:pt idx="1">
                  <c:v>-0.15317919075144509</c:v>
                </c:pt>
                <c:pt idx="2">
                  <c:v>0.4061433447098976</c:v>
                </c:pt>
                <c:pt idx="3">
                  <c:v>0.34070351758793971</c:v>
                </c:pt>
                <c:pt idx="4">
                  <c:v>-0.16850529958901148</c:v>
                </c:pt>
                <c:pt idx="5">
                  <c:v>-0.23698630136986301</c:v>
                </c:pt>
                <c:pt idx="6">
                  <c:v>0.43324937027707811</c:v>
                </c:pt>
                <c:pt idx="7">
                  <c:v>-0.21994715984147953</c:v>
                </c:pt>
                <c:pt idx="8">
                  <c:v>1.7953321364452424E-3</c:v>
                </c:pt>
                <c:pt idx="9">
                  <c:v>0.14457831325301204</c:v>
                </c:pt>
                <c:pt idx="10">
                  <c:v>-5.0046339202965709E-2</c:v>
                </c:pt>
                <c:pt idx="11">
                  <c:v>0.45077720207253885</c:v>
                </c:pt>
                <c:pt idx="12">
                  <c:v>-0.24600638977635783</c:v>
                </c:pt>
                <c:pt idx="13">
                  <c:v>-0.25085742283194512</c:v>
                </c:pt>
                <c:pt idx="14">
                  <c:v>-0.2018867924528302</c:v>
                </c:pt>
                <c:pt idx="15">
                  <c:v>0.28232758620689657</c:v>
                </c:pt>
                <c:pt idx="16">
                  <c:v>0.74526678141135971</c:v>
                </c:pt>
                <c:pt idx="17">
                  <c:v>4.3541364296081275E-3</c:v>
                </c:pt>
                <c:pt idx="18">
                  <c:v>0.25201612903225806</c:v>
                </c:pt>
                <c:pt idx="19">
                  <c:v>0.51820020222446916</c:v>
                </c:pt>
                <c:pt idx="20">
                  <c:v>7.6923076923076927E-2</c:v>
                </c:pt>
                <c:pt idx="21">
                  <c:v>0.86166007905138342</c:v>
                </c:pt>
                <c:pt idx="22">
                  <c:v>0.13286713286713286</c:v>
                </c:pt>
                <c:pt idx="23">
                  <c:v>0.23690290352794255</c:v>
                </c:pt>
              </c:numCache>
            </c:numRef>
          </c:val>
        </c:ser>
        <c:ser>
          <c:idx val="1"/>
          <c:order val="1"/>
          <c:tx>
            <c:strRef>
              <c:f>'Section 47 Enquiries'!$Z$4</c:f>
              <c:strCache>
                <c:ptCount val="1"/>
                <c:pt idx="0">
                  <c:v>Selected LA- (none)</c:v>
                </c:pt>
              </c:strCache>
            </c:strRef>
          </c:tx>
          <c:spPr>
            <a:solidFill>
              <a:srgbClr val="66FF99"/>
            </a:solidFill>
            <a:ln w="12700">
              <a:solidFill>
                <a:srgbClr val="000000"/>
              </a:solidFill>
              <a:prstDash val="solid"/>
            </a:ln>
          </c:spPr>
          <c:invertIfNegative val="0"/>
          <c:cat>
            <c:strRef>
              <c:f>'Section 47 Enquiries'!$B$9:$B$32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17764608"/>
        <c:axId val="217766144"/>
      </c:barChart>
      <c:catAx>
        <c:axId val="21776460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7766144"/>
        <c:crosses val="autoZero"/>
        <c:auto val="1"/>
        <c:lblAlgn val="ctr"/>
        <c:lblOffset val="100"/>
        <c:noMultiLvlLbl val="0"/>
      </c:catAx>
      <c:valAx>
        <c:axId val="217766144"/>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7764608"/>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 vs. IDACI</a:t>
            </a:r>
          </a:p>
        </c:rich>
      </c:tx>
      <c:layout>
        <c:manualLayout>
          <c:xMode val="edge"/>
          <c:yMode val="edge"/>
          <c:x val="0.2264459250286022"/>
          <c:y val="3.6125811358121193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'Initial CP Conferences'!$X$67</c:f>
              <c:strCache>
                <c:ptCount val="1"/>
                <c:pt idx="0">
                  <c:v>National Trend 2015</c:v>
                </c:pt>
              </c:strCache>
            </c:strRef>
          </c:tx>
          <c:spPr>
            <a:ln w="15875">
              <a:solidFill>
                <a:schemeClr val="tx1">
                  <a:lumMod val="75000"/>
                  <a:lumOff val="25000"/>
                </a:schemeClr>
              </a:solidFill>
            </a:ln>
          </c:spPr>
          <c:marker>
            <c:symbol val="none"/>
          </c:marker>
          <c:dLbls>
            <c:dLbl>
              <c:idx val="0"/>
              <c:delete val="1"/>
            </c:dLbl>
            <c:dLbl>
              <c:idx val="1"/>
              <c:layout/>
              <c:tx>
                <c:strRef>
                  <c:f>'Initial CP Conferences'!$AC$67</c:f>
                  <c:strCache>
                    <c:ptCount val="1"/>
                    <c:pt idx="0">
                      <c:v>r² = 0.197</c:v>
                    </c:pt>
                  </c:strCache>
                </c:strRef>
              </c:tx>
              <c:spPr/>
              <c:txPr>
                <a:bodyPr/>
                <a:lstStyle/>
                <a:p>
                  <a:pPr>
                    <a:defRPr sz="900"/>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xVal>
            <c:numRef>
              <c:f>'Initial CP Conferences'!$AA$67:$AA$68</c:f>
              <c:numCache>
                <c:formatCode>General</c:formatCode>
                <c:ptCount val="2"/>
                <c:pt idx="0" formatCode="#,##0.0">
                  <c:v>5</c:v>
                </c:pt>
                <c:pt idx="1">
                  <c:v>30</c:v>
                </c:pt>
              </c:numCache>
            </c:numRef>
          </c:xVal>
          <c:yVal>
            <c:numRef>
              <c:f>'Initial CP Conferences'!$AB$67:$AB$68</c:f>
              <c:numCache>
                <c:formatCode>0.0</c:formatCode>
                <c:ptCount val="2"/>
                <c:pt idx="0">
                  <c:v>43.914850902354203</c:v>
                </c:pt>
                <c:pt idx="1">
                  <c:v>87.858218371281254</c:v>
                </c:pt>
              </c:numCache>
            </c:numRef>
          </c:yVal>
          <c:smooth val="1"/>
        </c:ser>
        <c:dLbls>
          <c:showLegendKey val="0"/>
          <c:showVal val="0"/>
          <c:showCatName val="0"/>
          <c:showSerName val="0"/>
          <c:showPercent val="0"/>
          <c:showBubbleSize val="0"/>
        </c:dLbls>
        <c:axId val="217973888"/>
        <c:axId val="217976192"/>
      </c:scatterChart>
      <c:scatterChart>
        <c:scatterStyle val="lineMarker"/>
        <c:varyColors val="0"/>
        <c:ser>
          <c:idx val="0"/>
          <c:order val="0"/>
          <c:tx>
            <c:strRef>
              <c:f>'Initial CP Conferences'!$AQ$37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5634218289085547"/>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1.4749262536873156E-2"/>
                  <c:y val="0"/>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30008055176"/>
                  <c:y val="-1.9724901603847381E-2"/>
                </c:manualLayout>
              </c:layout>
              <c:tx>
                <c:rich>
                  <a:bodyPr/>
                  <a:lstStyle/>
                  <a:p>
                    <a:r>
                      <a:rPr lang="en-US"/>
                      <a:t>Buckinghamshire</a:t>
                    </a:r>
                  </a:p>
                </c:rich>
              </c:tx>
              <c:dLblPos val="r"/>
              <c:showLegendKey val="0"/>
              <c:showVal val="0"/>
              <c:showCatName val="1"/>
              <c:showSerName val="0"/>
              <c:showPercent val="0"/>
              <c:showBubbleSize val="0"/>
            </c:dLbl>
            <c:dLbl>
              <c:idx val="3"/>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dLblPos val="r"/>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dLblPos val="r"/>
              <c:showLegendKey val="0"/>
              <c:showVal val="0"/>
              <c:showCatName val="1"/>
              <c:showSerName val="0"/>
              <c:showPercent val="0"/>
              <c:showBubbleSize val="0"/>
            </c:dLbl>
            <c:dLbl>
              <c:idx val="8"/>
              <c:layout>
                <c:manualLayout>
                  <c:x val="-0.13768448191763641"/>
                  <c:y val="-5.9656958397022227E-3"/>
                </c:manualLayout>
              </c:layout>
              <c:tx>
                <c:rich>
                  <a:bodyPr/>
                  <a:lstStyle/>
                  <a:p>
                    <a:r>
                      <a:rPr lang="en-US"/>
                      <a:t>Milton Keynes</a:t>
                    </a:r>
                  </a:p>
                </c:rich>
              </c:tx>
              <c:dLblPos val="r"/>
              <c:showLegendKey val="0"/>
              <c:showVal val="0"/>
              <c:showCatName val="1"/>
              <c:showSerName val="0"/>
              <c:showPercent val="0"/>
              <c:showBubbleSize val="0"/>
            </c:dLbl>
            <c:dLbl>
              <c:idx val="9"/>
              <c:layout/>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layout/>
              <c:tx>
                <c:rich>
                  <a:bodyPr/>
                  <a:lstStyle/>
                  <a:p>
                    <a:r>
                      <a:rPr lang="en-US"/>
                      <a:t>Reading</a:t>
                    </a:r>
                  </a:p>
                </c:rich>
              </c:tx>
              <c:dLblPos val="r"/>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dLblPos val="l"/>
              <c:showLegendKey val="0"/>
              <c:showVal val="0"/>
              <c:showCatName val="1"/>
              <c:showSerName val="0"/>
              <c:showPercent val="0"/>
              <c:showBubbleSize val="0"/>
            </c:dLbl>
            <c:dLbl>
              <c:idx val="14"/>
              <c:layout/>
              <c:tx>
                <c:rich>
                  <a:bodyPr/>
                  <a:lstStyle/>
                  <a:p>
                    <a:r>
                      <a:rPr lang="en-US"/>
                      <a:t>Surrey</a:t>
                    </a:r>
                  </a:p>
                </c:rich>
              </c:tx>
              <c:dLblPos val="l"/>
              <c:showLegendKey val="0"/>
              <c:showVal val="0"/>
              <c:showCatName val="1"/>
              <c:showSerName val="0"/>
              <c:showPercent val="0"/>
              <c:showBubbleSize val="0"/>
            </c:dLbl>
            <c:dLbl>
              <c:idx val="15"/>
              <c:layout/>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800544710491783"/>
                  <c:y val="1.3242527825470671E-2"/>
                </c:manualLayout>
              </c:layout>
              <c:tx>
                <c:rich>
                  <a:bodyPr/>
                  <a:lstStyle/>
                  <a:p>
                    <a:r>
                      <a:rPr lang="en-US"/>
                      <a:t>Windsor &amp; Maidenhead</a:t>
                    </a:r>
                  </a:p>
                </c:rich>
              </c:tx>
              <c:dLblPos val="r"/>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('Initial CP Conferences'!$AQ$40:$AQ$52,'Initial CP Conferences'!$AQ$54:$AQ$55,'Initial CP Conferences'!$AQ$58:$AQ$61)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('Initial CP Conferences'!$AP$40:$AP$52,'Initial CP Conferences'!$AP$54:$AP$55,'Initial CP Conferences'!$AP$58:$AP$61)</c:f>
              <c:numCache>
                <c:formatCode>0.0</c:formatCode>
                <c:ptCount val="19"/>
                <c:pt idx="0">
                  <c:v>83.716290833956762</c:v>
                </c:pt>
                <c:pt idx="1">
                  <c:v>94.348875071104914</c:v>
                </c:pt>
                <c:pt idx="2">
                  <c:v>70.038594353036757</c:v>
                </c:pt>
                <c:pt idx="3">
                  <c:v>67.047008345513703</c:v>
                </c:pt>
                <c:pt idx="4">
                  <c:v>62.969002590765015</c:v>
                </c:pt>
                <c:pt idx="5">
                  <c:v>108.16204350429057</c:v>
                </c:pt>
                <c:pt idx="6">
                  <c:v>52.426433395816595</c:v>
                </c:pt>
                <c:pt idx="7">
                  <c:v>63.024881535117217</c:v>
                </c:pt>
                <c:pt idx="8">
                  <c:v>25.869587712684968</c:v>
                </c:pt>
                <c:pt idx="9">
                  <c:v>61.208555255012413</c:v>
                </c:pt>
                <c:pt idx="10">
                  <c:v>69.922157856625631</c:v>
                </c:pt>
                <c:pt idx="11">
                  <c:v>111.88094788774161</c:v>
                </c:pt>
                <c:pt idx="12">
                  <c:v>64.959696538643911</c:v>
                </c:pt>
                <c:pt idx="13">
                  <c:v>102.17672199582547</c:v>
                </c:pt>
                <c:pt idx="14">
                  <c:v>57.048462380668838</c:v>
                </c:pt>
                <c:pt idx="15">
                  <c:v>76.837105336686221</c:v>
                </c:pt>
                <c:pt idx="16">
                  <c:v>62.268800387809399</c:v>
                </c:pt>
                <c:pt idx="17">
                  <c:v>39.881229622729386</c:v>
                </c:pt>
                <c:pt idx="18">
                  <c:v>46.767608909100304</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layout/>
              <c:tx>
                <c:rich>
                  <a:bodyPr/>
                  <a:lstStyle/>
                  <a:p>
                    <a:r>
                      <a:rPr lang="en-GB"/>
                      <a:t>Somerset</a:t>
                    </a:r>
                  </a:p>
                </c:rich>
              </c:tx>
              <c:dLblPos val="l"/>
              <c:showLegendKey val="0"/>
              <c:showVal val="0"/>
              <c:showCatName val="0"/>
              <c:showSerName val="1"/>
              <c:showPercent val="0"/>
              <c:showBubbleSize val="0"/>
            </c:dLbl>
            <c:dLbl>
              <c:idx val="1"/>
              <c:layout/>
              <c:tx>
                <c:rich>
                  <a:bodyPr/>
                  <a:lstStyle/>
                  <a:p>
                    <a:r>
                      <a:rPr lang="en-GB"/>
                      <a:t>Swindon</a:t>
                    </a:r>
                  </a:p>
                </c:rich>
              </c:tx>
              <c:dLblPos val="l"/>
              <c:showLegendKey val="0"/>
              <c:showVal val="0"/>
              <c:showCatName val="0"/>
              <c:showSerName val="1"/>
              <c:showPercent val="0"/>
              <c:showBubbleSize val="0"/>
            </c:dLbl>
            <c:dLbl>
              <c:idx val="2"/>
              <c:layout/>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('Initial CP Conferences'!$AQ$53,'Initial CP Conferences'!$AQ$56,'Initial CP Conferences'!$AQ$57)</c:f>
              <c:numCache>
                <c:formatCode>0.0</c:formatCode>
                <c:ptCount val="3"/>
                <c:pt idx="0">
                  <c:v>14.8</c:v>
                </c:pt>
                <c:pt idx="1">
                  <c:v>17.2</c:v>
                </c:pt>
                <c:pt idx="2">
                  <c:v>24.1</c:v>
                </c:pt>
              </c:numCache>
            </c:numRef>
          </c:xVal>
          <c:yVal>
            <c:numRef>
              <c:f>('Initial CP Conferences'!$AP$53,'Initial CP Conferences'!$AP$56,'Initial CP Conferences'!$AP$57)</c:f>
              <c:numCache>
                <c:formatCode>0.0</c:formatCode>
                <c:ptCount val="3"/>
                <c:pt idx="0">
                  <c:v>53.232077322771701</c:v>
                </c:pt>
                <c:pt idx="1">
                  <c:v>114.97476163768928</c:v>
                </c:pt>
                <c:pt idx="2">
                  <c:v>142.4243616477161</c:v>
                </c:pt>
              </c:numCache>
            </c:numRef>
          </c:yVal>
          <c:smooth val="0"/>
        </c:ser>
        <c:ser>
          <c:idx val="1"/>
          <c:order val="2"/>
          <c:tx>
            <c:strRef>
              <c:f>'Initial CP Conferences'!$Z$4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'Initial CP Conferences'!$Y$40</c:f>
              <c:numCache>
                <c:formatCode>0.00</c:formatCode>
                <c:ptCount val="1"/>
                <c:pt idx="0">
                  <c:v>#N/A</c:v>
                </c:pt>
              </c:numCache>
            </c:numRef>
          </c:xVal>
          <c:yVal>
            <c:numRef>
              <c:f>'Initial CP Conferences'!$Z$40</c:f>
              <c:numCache>
                <c:formatCode>0.00</c:formatCode>
                <c:ptCount val="1"/>
                <c:pt idx="0">
                  <c:v>#N/A</c:v>
                </c:pt>
              </c:numCache>
            </c:numRef>
          </c:yVal>
          <c:smooth val="0"/>
        </c:ser>
        <c:ser>
          <c:idx val="2"/>
          <c:order val="3"/>
          <c:tx>
            <c:strRef>
              <c:f>'Initial CP Conferences'!$X$65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2.0124119999018813E-3"/>
                  <c:y val="-1.5850900820071796E-2"/>
                </c:manualLayout>
              </c:layout>
              <c:tx>
                <c:rich>
                  <a:bodyPr/>
                  <a:lstStyle/>
                  <a:p>
                    <a:r>
                      <a:rPr lang="en-US" sz="900">
                        <a:solidFill>
                          <a:srgbClr val="C00000"/>
                        </a:solidFill>
                      </a:rPr>
                      <a:t>r² = 0.1612</a:t>
                    </a:r>
                    <a:endParaRPr lang="en-US"/>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'Initial CP Conferences'!$AA$65:$AA$66</c:f>
              <c:numCache>
                <c:formatCode>General</c:formatCode>
                <c:ptCount val="2"/>
                <c:pt idx="0" formatCode="#,##0.0">
                  <c:v>5</c:v>
                </c:pt>
                <c:pt idx="1">
                  <c:v>30</c:v>
                </c:pt>
              </c:numCache>
            </c:numRef>
          </c:xVal>
          <c:yVal>
            <c:numRef>
              <c:f>'Initial CP Conferences'!$AB$65:$AB$66</c:f>
              <c:numCache>
                <c:formatCode>0.0</c:formatCode>
                <c:ptCount val="2"/>
                <c:pt idx="0">
                  <c:v>52.355499999999999</c:v>
                </c:pt>
                <c:pt idx="1">
                  <c:v>92.817999999999998</c:v>
                </c:pt>
              </c:numCache>
            </c:numRef>
          </c:yVal>
          <c:smooth val="0"/>
        </c:ser>
        <c:ser>
          <c:idx val="4"/>
          <c:order val="4"/>
          <c:tx>
            <c:strRef>
              <c:f>'Initial CP Conferences'!$B$31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'Initial CP Conferences'!$R$31</c:f>
              <c:numCache>
                <c:formatCode>0.0</c:formatCode>
                <c:ptCount val="1"/>
                <c:pt idx="0">
                  <c:v>14.45223640702325</c:v>
                </c:pt>
              </c:numCache>
            </c:numRef>
          </c:xVal>
          <c:yVal>
            <c:numRef>
              <c:f>'Initial CP Conferences'!$O$31</c:f>
              <c:numCache>
                <c:formatCode>0.0</c:formatCode>
                <c:ptCount val="1"/>
                <c:pt idx="0">
                  <c:v>62.915891792897142</c:v>
                </c:pt>
              </c:numCache>
            </c:numRef>
          </c:yVal>
          <c:smooth val="0"/>
        </c:ser>
        <c:dLbls>
          <c:showLegendKey val="0"/>
          <c:showVal val="0"/>
          <c:showCatName val="0"/>
          <c:showSerName val="0"/>
          <c:showPercent val="0"/>
          <c:showBubbleSize val="0"/>
        </c:dLbls>
        <c:axId val="217973888"/>
        <c:axId val="217976192"/>
      </c:scatterChart>
      <c:valAx>
        <c:axId val="217973888"/>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7976192"/>
        <c:crosses val="autoZero"/>
        <c:crossBetween val="midCat"/>
      </c:valAx>
      <c:valAx>
        <c:axId val="21797619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Re-referrals</a:t>
                </a:r>
                <a:r>
                  <a:rPr lang="en-GB" baseline="0"/>
                  <a:t> </a:t>
                </a:r>
                <a:r>
                  <a:rPr lang="en-GB"/>
                  <a:t>per 10,000 0-17 year olds</a:t>
                </a:r>
              </a:p>
            </c:rich>
          </c:tx>
          <c:layout>
            <c:manualLayout>
              <c:xMode val="edge"/>
              <c:yMode val="edge"/>
              <c:x val="4.1925738303691069E-2"/>
              <c:y val="0.185723854985677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797388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4050498859185963"/>
        </c:manualLayout>
      </c:layout>
      <c:lineChart>
        <c:grouping val="standard"/>
        <c:varyColors val="0"/>
        <c:ser>
          <c:idx val="0"/>
          <c:order val="0"/>
          <c:tx>
            <c:strRef>
              <c:f>'Initial CP Conferences'!$AK$40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'Initial CP Conferences'!$D$8:$H$8</c:f>
              <c:numCache>
                <c:formatCode>General</c:formatCode>
                <c:ptCount val="5"/>
                <c:pt idx="0">
                  <c:v>2014</c:v>
                </c:pt>
                <c:pt idx="1">
                  <c:v>2015</c:v>
                </c:pt>
                <c:pt idx="2">
                  <c:v>2016</c:v>
                </c:pt>
                <c:pt idx="3">
                  <c:v>2017</c:v>
                </c:pt>
                <c:pt idx="4">
                  <c:v>2018</c:v>
                </c:pt>
              </c:numCache>
            </c:numRef>
          </c:cat>
          <c:val>
            <c:numRef>
              <c:f>'Initial CP Conferences'!$AL$40:$AP$40</c:f>
              <c:numCache>
                <c:formatCode>0.0</c:formatCode>
                <c:ptCount val="5"/>
                <c:pt idx="0">
                  <c:v>51.660516605166052</c:v>
                </c:pt>
                <c:pt idx="1">
                  <c:v>58.633093525179859</c:v>
                </c:pt>
                <c:pt idx="2">
                  <c:v>56.028368794326241</c:v>
                </c:pt>
                <c:pt idx="3">
                  <c:v>92.638602967274792</c:v>
                </c:pt>
                <c:pt idx="4">
                  <c:v>83.716290833956762</c:v>
                </c:pt>
              </c:numCache>
            </c:numRef>
          </c:val>
          <c:smooth val="0"/>
        </c:ser>
        <c:ser>
          <c:idx val="1"/>
          <c:order val="1"/>
          <c:tx>
            <c:strRef>
              <c:f>'Initial CP Conferences'!$AK$41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Conferences'!$AL$41:$AP$41</c:f>
              <c:numCache>
                <c:formatCode>0.0</c:formatCode>
                <c:ptCount val="5"/>
                <c:pt idx="0">
                  <c:v>84.554455445544562</c:v>
                </c:pt>
                <c:pt idx="1">
                  <c:v>92.54901960784315</c:v>
                </c:pt>
                <c:pt idx="2">
                  <c:v>106.25000000000001</c:v>
                </c:pt>
                <c:pt idx="3">
                  <c:v>91.846882861098649</c:v>
                </c:pt>
                <c:pt idx="4">
                  <c:v>94.348875071104914</c:v>
                </c:pt>
              </c:numCache>
            </c:numRef>
          </c:val>
          <c:smooth val="0"/>
        </c:ser>
        <c:ser>
          <c:idx val="2"/>
          <c:order val="2"/>
          <c:tx>
            <c:strRef>
              <c:f>'Initial CP Conferences'!$AK$42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Conferences'!$AL$42:$AP$42</c:f>
              <c:numCache>
                <c:formatCode>0.0</c:formatCode>
                <c:ptCount val="5"/>
                <c:pt idx="0">
                  <c:v>27.891156462585034</c:v>
                </c:pt>
                <c:pt idx="1">
                  <c:v>42.97729184188394</c:v>
                </c:pt>
                <c:pt idx="2">
                  <c:v>62.106135986733001</c:v>
                </c:pt>
                <c:pt idx="3">
                  <c:v>70.864530911173844</c:v>
                </c:pt>
                <c:pt idx="4">
                  <c:v>70.038594353036757</c:v>
                </c:pt>
              </c:numCache>
            </c:numRef>
          </c:val>
          <c:smooth val="0"/>
        </c:ser>
        <c:ser>
          <c:idx val="5"/>
          <c:order val="3"/>
          <c:tx>
            <c:strRef>
              <c:f>'Initial CP Conferences'!$AK$43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Conferences'!$AL$43:$AP$43</c:f>
              <c:numCache>
                <c:formatCode>0.0</c:formatCode>
                <c:ptCount val="5"/>
                <c:pt idx="0">
                  <c:v>60.591603053435115</c:v>
                </c:pt>
                <c:pt idx="1">
                  <c:v>59.297912713472485</c:v>
                </c:pt>
                <c:pt idx="2">
                  <c:v>45.609065155807372</c:v>
                </c:pt>
                <c:pt idx="3">
                  <c:v>59.193942769747842</c:v>
                </c:pt>
                <c:pt idx="4">
                  <c:v>67.047008345513703</c:v>
                </c:pt>
              </c:numCache>
            </c:numRef>
          </c:val>
          <c:smooth val="0"/>
        </c:ser>
        <c:ser>
          <c:idx val="9"/>
          <c:order val="4"/>
          <c:tx>
            <c:strRef>
              <c:f>'Initial CP Conferences'!$AK$44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Conferences'!$AL$44:$AP$44</c:f>
              <c:numCache>
                <c:formatCode>0.0</c:formatCode>
                <c:ptCount val="5"/>
                <c:pt idx="0">
                  <c:v>54.168144732174532</c:v>
                </c:pt>
                <c:pt idx="1">
                  <c:v>75.097690941385437</c:v>
                </c:pt>
                <c:pt idx="2">
                  <c:v>67.399787158566866</c:v>
                </c:pt>
                <c:pt idx="3">
                  <c:v>66.091212238013227</c:v>
                </c:pt>
                <c:pt idx="4">
                  <c:v>62.969002590765015</c:v>
                </c:pt>
              </c:numCache>
            </c:numRef>
          </c:val>
          <c:smooth val="0"/>
        </c:ser>
        <c:ser>
          <c:idx val="10"/>
          <c:order val="5"/>
          <c:tx>
            <c:strRef>
              <c:f>'Initial CP Conferences'!$AK$45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Conferences'!$AL$45:$AP$45</c:f>
              <c:numCache>
                <c:formatCode>0.0</c:formatCode>
                <c:ptCount val="5"/>
                <c:pt idx="0">
                  <c:v>98.449612403100772</c:v>
                </c:pt>
                <c:pt idx="1">
                  <c:v>129.01960784313727</c:v>
                </c:pt>
                <c:pt idx="2">
                  <c:v>148.22134387351778</c:v>
                </c:pt>
                <c:pt idx="3">
                  <c:v>114.28571428571429</c:v>
                </c:pt>
                <c:pt idx="4">
                  <c:v>108.16204350429057</c:v>
                </c:pt>
              </c:numCache>
            </c:numRef>
          </c:val>
          <c:smooth val="0"/>
        </c:ser>
        <c:ser>
          <c:idx val="11"/>
          <c:order val="6"/>
          <c:tx>
            <c:strRef>
              <c:f>'Initial CP Conferences'!$AK$46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Conferences'!$AL$46:$AP$46</c:f>
              <c:numCache>
                <c:formatCode>0.0</c:formatCode>
                <c:ptCount val="5"/>
                <c:pt idx="0">
                  <c:v>48.157248157248155</c:v>
                </c:pt>
                <c:pt idx="1">
                  <c:v>54.766981419433442</c:v>
                </c:pt>
                <c:pt idx="2">
                  <c:v>46.882566585956418</c:v>
                </c:pt>
                <c:pt idx="3">
                  <c:v>44.858802864477774</c:v>
                </c:pt>
                <c:pt idx="4">
                  <c:v>52.426433395816595</c:v>
                </c:pt>
              </c:numCache>
            </c:numRef>
          </c:val>
          <c:smooth val="0"/>
        </c:ser>
        <c:ser>
          <c:idx val="12"/>
          <c:order val="7"/>
          <c:tx>
            <c:strRef>
              <c:f>'Initial CP Conferences'!$AK$47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Conferences'!$AL$47:$AP$47</c:f>
              <c:numCache>
                <c:formatCode>0.0</c:formatCode>
                <c:ptCount val="5"/>
                <c:pt idx="0">
                  <c:v>69.967532467532465</c:v>
                </c:pt>
                <c:pt idx="1">
                  <c:v>96.96</c:v>
                </c:pt>
                <c:pt idx="2">
                  <c:v>96.044303797468359</c:v>
                </c:pt>
                <c:pt idx="3">
                  <c:v>55.104636011115126</c:v>
                </c:pt>
                <c:pt idx="4">
                  <c:v>63.024881535117217</c:v>
                </c:pt>
              </c:numCache>
            </c:numRef>
          </c:val>
          <c:smooth val="0"/>
        </c:ser>
        <c:ser>
          <c:idx val="13"/>
          <c:order val="8"/>
          <c:tx>
            <c:strRef>
              <c:f>'Initial CP Conferences'!$AK$48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Conferences'!$AL$48:$AP$48</c:f>
              <c:numCache>
                <c:formatCode>0.0</c:formatCode>
                <c:ptCount val="5"/>
                <c:pt idx="0">
                  <c:v>11.40625</c:v>
                </c:pt>
                <c:pt idx="1">
                  <c:v>18.098159509202453</c:v>
                </c:pt>
                <c:pt idx="2">
                  <c:v>18.154311649016641</c:v>
                </c:pt>
                <c:pt idx="3">
                  <c:v>21.892592261638818</c:v>
                </c:pt>
                <c:pt idx="4">
                  <c:v>25.869587712684968</c:v>
                </c:pt>
              </c:numCache>
            </c:numRef>
          </c:val>
          <c:smooth val="0"/>
        </c:ser>
        <c:ser>
          <c:idx val="15"/>
          <c:order val="9"/>
          <c:tx>
            <c:strRef>
              <c:f>'Initial CP Conferences'!$AK$49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Conferences'!$AL$49:$AP$49</c:f>
              <c:numCache>
                <c:formatCode>0.0</c:formatCode>
                <c:ptCount val="5"/>
                <c:pt idx="0">
                  <c:v>43.977191732002851</c:v>
                </c:pt>
                <c:pt idx="1">
                  <c:v>51.062322946175634</c:v>
                </c:pt>
                <c:pt idx="2">
                  <c:v>54.866008462623412</c:v>
                </c:pt>
                <c:pt idx="3">
                  <c:v>64.382037411562166</c:v>
                </c:pt>
                <c:pt idx="4">
                  <c:v>61.208555255012413</c:v>
                </c:pt>
              </c:numCache>
            </c:numRef>
          </c:val>
          <c:smooth val="0"/>
        </c:ser>
        <c:ser>
          <c:idx val="16"/>
          <c:order val="10"/>
          <c:tx>
            <c:strRef>
              <c:f>'Initial CP Conferences'!$AK$50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Conferences'!$AL$50:$AP$50</c:f>
              <c:numCache>
                <c:formatCode>0.0</c:formatCode>
                <c:ptCount val="5"/>
                <c:pt idx="0">
                  <c:v>60.798122065727696</c:v>
                </c:pt>
                <c:pt idx="1">
                  <c:v>66.129032258064512</c:v>
                </c:pt>
                <c:pt idx="2">
                  <c:v>76.712328767123282</c:v>
                </c:pt>
                <c:pt idx="3">
                  <c:v>67.954545454545453</c:v>
                </c:pt>
                <c:pt idx="4">
                  <c:v>69.922157856625631</c:v>
                </c:pt>
              </c:numCache>
            </c:numRef>
          </c:val>
          <c:smooth val="0"/>
        </c:ser>
        <c:ser>
          <c:idx val="17"/>
          <c:order val="11"/>
          <c:tx>
            <c:strRef>
              <c:f>'Initial CP Conferences'!$AK$51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Conferences'!$AL$51:$AP$51</c:f>
              <c:numCache>
                <c:formatCode>0.0</c:formatCode>
                <c:ptCount val="5"/>
                <c:pt idx="0">
                  <c:v>65.994236311239192</c:v>
                </c:pt>
                <c:pt idx="1">
                  <c:v>83.844011142061291</c:v>
                </c:pt>
                <c:pt idx="2">
                  <c:v>118.13186813186813</c:v>
                </c:pt>
                <c:pt idx="3">
                  <c:v>144.10087060942658</c:v>
                </c:pt>
                <c:pt idx="4">
                  <c:v>111.88094788774161</c:v>
                </c:pt>
              </c:numCache>
            </c:numRef>
          </c:val>
          <c:smooth val="0"/>
        </c:ser>
        <c:ser>
          <c:idx val="19"/>
          <c:order val="12"/>
          <c:tx>
            <c:strRef>
              <c:f>'Initial CP Conferences'!$AK$52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Conferences'!$AL$52:$AP$52</c:f>
              <c:numCache>
                <c:formatCode>0.0</c:formatCode>
                <c:ptCount val="5"/>
                <c:pt idx="0">
                  <c:v>102.05655526992288</c:v>
                </c:pt>
                <c:pt idx="1">
                  <c:v>95.739348370927317</c:v>
                </c:pt>
                <c:pt idx="2">
                  <c:v>86.453201970443359</c:v>
                </c:pt>
                <c:pt idx="3">
                  <c:v>81.630681543737623</c:v>
                </c:pt>
                <c:pt idx="4">
                  <c:v>64.959696538643911</c:v>
                </c:pt>
              </c:numCache>
            </c:numRef>
          </c:val>
          <c:smooth val="0"/>
        </c:ser>
        <c:ser>
          <c:idx val="3"/>
          <c:order val="13"/>
          <c:tx>
            <c:strRef>
              <c:f>'Initial CP Conferences'!$AK$53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Conferences'!$AL$53:$AP$53</c:f>
              <c:numCache>
                <c:formatCode>0.0</c:formatCode>
                <c:ptCount val="5"/>
                <c:pt idx="0">
                  <c:v>52.849264705882355</c:v>
                </c:pt>
                <c:pt idx="1">
                  <c:v>64.921946740128561</c:v>
                </c:pt>
                <c:pt idx="2">
                  <c:v>43.772893772893774</c:v>
                </c:pt>
                <c:pt idx="3">
                  <c:v>60.278869566010378</c:v>
                </c:pt>
                <c:pt idx="4">
                  <c:v>53.232077322771701</c:v>
                </c:pt>
              </c:numCache>
            </c:numRef>
          </c:val>
          <c:smooth val="0"/>
        </c:ser>
        <c:ser>
          <c:idx val="20"/>
          <c:order val="14"/>
          <c:tx>
            <c:strRef>
              <c:f>'Initial CP Conferences'!$AK$54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Conferences'!$AL$54:$AP$54</c:f>
              <c:numCache>
                <c:formatCode>0.0</c:formatCode>
                <c:ptCount val="5"/>
                <c:pt idx="0">
                  <c:v>97.679324894514778</c:v>
                </c:pt>
                <c:pt idx="1">
                  <c:v>101.85185185185186</c:v>
                </c:pt>
                <c:pt idx="2">
                  <c:v>112.80487804878048</c:v>
                </c:pt>
                <c:pt idx="3">
                  <c:v>92.783711749263531</c:v>
                </c:pt>
                <c:pt idx="4">
                  <c:v>102.17672199582547</c:v>
                </c:pt>
              </c:numCache>
            </c:numRef>
          </c:val>
          <c:smooth val="0"/>
        </c:ser>
        <c:ser>
          <c:idx val="22"/>
          <c:order val="15"/>
          <c:tx>
            <c:strRef>
              <c:f>'Initial CP Conferences'!$AK$55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Conferences'!$AL$55:$AP$55</c:f>
              <c:numCache>
                <c:formatCode>0.0</c:formatCode>
                <c:ptCount val="5"/>
                <c:pt idx="0">
                  <c:v>44.563492063492063</c:v>
                </c:pt>
                <c:pt idx="1">
                  <c:v>47.996857816182249</c:v>
                </c:pt>
                <c:pt idx="2">
                  <c:v>47.581903276131051</c:v>
                </c:pt>
                <c:pt idx="3">
                  <c:v>52.200973748933393</c:v>
                </c:pt>
                <c:pt idx="4">
                  <c:v>57.048462380668838</c:v>
                </c:pt>
              </c:numCache>
            </c:numRef>
          </c:val>
          <c:smooth val="0"/>
        </c:ser>
        <c:ser>
          <c:idx val="7"/>
          <c:order val="16"/>
          <c:tx>
            <c:strRef>
              <c:f>'Initial CP Conferences'!$AK$56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'Initial CP Conferences'!$AL$56:$AP$56</c:f>
              <c:numCache>
                <c:formatCode>0.0</c:formatCode>
                <c:ptCount val="5"/>
                <c:pt idx="0">
                  <c:v>64.091858037578291</c:v>
                </c:pt>
                <c:pt idx="1">
                  <c:v>63.580246913580247</c:v>
                </c:pt>
                <c:pt idx="2">
                  <c:v>70.612244897959187</c:v>
                </c:pt>
                <c:pt idx="3">
                  <c:v>78.241882657393546</c:v>
                </c:pt>
                <c:pt idx="4">
                  <c:v>114.97476163768928</c:v>
                </c:pt>
              </c:numCache>
            </c:numRef>
          </c:val>
          <c:smooth val="0"/>
        </c:ser>
        <c:ser>
          <c:idx val="8"/>
          <c:order val="17"/>
          <c:tx>
            <c:strRef>
              <c:f>'Initial CP Conferences'!$AK$57</c:f>
              <c:strCache>
                <c:ptCount val="1"/>
                <c:pt idx="0">
                  <c:v>Torbay</c:v>
                </c:pt>
              </c:strCache>
            </c:strRef>
          </c:tx>
          <c:spPr>
            <a:ln w="15875"/>
          </c:spPr>
          <c:marker>
            <c:symbol val="circle"/>
            <c:size val="5"/>
            <c:spPr>
              <a:solidFill>
                <a:schemeClr val="accent3">
                  <a:lumMod val="20000"/>
                  <a:lumOff val="80000"/>
                </a:schemeClr>
              </a:solidFill>
            </c:spPr>
          </c:marker>
          <c:val>
            <c:numRef>
              <c:f>'Initial CP Conferences'!$AL$57:$AP$57</c:f>
              <c:numCache>
                <c:formatCode>0.0</c:formatCode>
                <c:ptCount val="5"/>
                <c:pt idx="0">
                  <c:v>110.88709677419355</c:v>
                </c:pt>
                <c:pt idx="1">
                  <c:v>119.12350597609561</c:v>
                </c:pt>
                <c:pt idx="2">
                  <c:v>128.96825396825395</c:v>
                </c:pt>
                <c:pt idx="3">
                  <c:v>142.67134355417176</c:v>
                </c:pt>
                <c:pt idx="4">
                  <c:v>142.4243616477161</c:v>
                </c:pt>
              </c:numCache>
            </c:numRef>
          </c:val>
          <c:smooth val="0"/>
        </c:ser>
        <c:ser>
          <c:idx val="23"/>
          <c:order val="18"/>
          <c:tx>
            <c:strRef>
              <c:f>'Initial CP Conferences'!$AK$58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Conferences'!$AL$58:$AP$58</c:f>
              <c:numCache>
                <c:formatCode>0.0</c:formatCode>
                <c:ptCount val="5"/>
                <c:pt idx="0">
                  <c:v>44.257703081232492</c:v>
                </c:pt>
                <c:pt idx="1">
                  <c:v>58.146067415730336</c:v>
                </c:pt>
                <c:pt idx="2">
                  <c:v>67.226890756302524</c:v>
                </c:pt>
                <c:pt idx="3">
                  <c:v>69.021179482897779</c:v>
                </c:pt>
                <c:pt idx="4">
                  <c:v>76.837105336686221</c:v>
                </c:pt>
              </c:numCache>
            </c:numRef>
          </c:val>
          <c:smooth val="0"/>
        </c:ser>
        <c:ser>
          <c:idx val="24"/>
          <c:order val="19"/>
          <c:tx>
            <c:strRef>
              <c:f>'Initial CP Conferences'!$AK$59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Conferences'!$AL$59:$AP$59</c:f>
              <c:numCache>
                <c:formatCode>0.0</c:formatCode>
                <c:ptCount val="5"/>
                <c:pt idx="0">
                  <c:v>41.616766467065872</c:v>
                </c:pt>
                <c:pt idx="1">
                  <c:v>51.481042654028435</c:v>
                </c:pt>
                <c:pt idx="2">
                  <c:v>39.377934272300465</c:v>
                </c:pt>
                <c:pt idx="3">
                  <c:v>39.589895261438855</c:v>
                </c:pt>
                <c:pt idx="4">
                  <c:v>62.268800387809399</c:v>
                </c:pt>
              </c:numCache>
            </c:numRef>
          </c:val>
          <c:smooth val="0"/>
        </c:ser>
        <c:ser>
          <c:idx val="25"/>
          <c:order val="20"/>
          <c:tx>
            <c:strRef>
              <c:f>'Initial CP Conferences'!$AK$60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Conferences'!$AL$60:$AP$60</c:f>
              <c:numCache>
                <c:formatCode>0.0</c:formatCode>
                <c:ptCount val="5"/>
                <c:pt idx="0">
                  <c:v>31.231231231231231</c:v>
                </c:pt>
                <c:pt idx="1">
                  <c:v>27.844311377245511</c:v>
                </c:pt>
                <c:pt idx="2">
                  <c:v>59.347181008902076</c:v>
                </c:pt>
                <c:pt idx="3">
                  <c:v>56.764981273408239</c:v>
                </c:pt>
                <c:pt idx="4">
                  <c:v>39.881229622729386</c:v>
                </c:pt>
              </c:numCache>
            </c:numRef>
          </c:val>
          <c:smooth val="0"/>
        </c:ser>
        <c:ser>
          <c:idx val="26"/>
          <c:order val="21"/>
          <c:tx>
            <c:strRef>
              <c:f>'Initial CP Conferences'!$AK$61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Conferences'!$AL$61:$AP$61</c:f>
              <c:numCache>
                <c:formatCode>0.0</c:formatCode>
                <c:ptCount val="5"/>
                <c:pt idx="0">
                  <c:v>33.701657458563538</c:v>
                </c:pt>
                <c:pt idx="1">
                  <c:v>18.699186991869919</c:v>
                </c:pt>
                <c:pt idx="2">
                  <c:v>38.873994638069703</c:v>
                </c:pt>
                <c:pt idx="3">
                  <c:v>23.409347957600147</c:v>
                </c:pt>
                <c:pt idx="4">
                  <c:v>46.767608909100304</c:v>
                </c:pt>
              </c:numCache>
            </c:numRef>
          </c:val>
          <c:smooth val="0"/>
        </c:ser>
        <c:ser>
          <c:idx val="4"/>
          <c:order val="22"/>
          <c:tx>
            <c:strRef>
              <c:f>'Initial CP Conferences'!$AK$62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Conferences'!$AL$62:$AP$62</c:f>
              <c:numCache>
                <c:formatCode>0.0</c:formatCode>
                <c:ptCount val="5"/>
                <c:pt idx="0">
                  <c:v>50.614797540809839</c:v>
                </c:pt>
                <c:pt idx="1">
                  <c:v>59.76262997584287</c:v>
                </c:pt>
                <c:pt idx="2">
                  <c:v>59.485949637662273</c:v>
                </c:pt>
                <c:pt idx="3">
                  <c:v>59.435348669274099</c:v>
                </c:pt>
                <c:pt idx="4">
                  <c:v>62.915891792897142</c:v>
                </c:pt>
              </c:numCache>
            </c:numRef>
          </c:val>
          <c:smooth val="0"/>
        </c:ser>
        <c:ser>
          <c:idx val="14"/>
          <c:order val="23"/>
          <c:tx>
            <c:strRef>
              <c:f>'Initial CP Conferences'!$AK$63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'Initial CP Conferences'!$AL$63:$AP$63</c:f>
              <c:numCache>
                <c:formatCode>0.0</c:formatCode>
                <c:ptCount val="5"/>
                <c:pt idx="0">
                  <c:v>56.791155946998408</c:v>
                </c:pt>
                <c:pt idx="1">
                  <c:v>61.604423854999702</c:v>
                </c:pt>
                <c:pt idx="2">
                  <c:v>62.554055095522315</c:v>
                </c:pt>
                <c:pt idx="3">
                  <c:v>65.276361344752445</c:v>
                </c:pt>
                <c:pt idx="4">
                  <c:v>66.967462678090087</c:v>
                </c:pt>
              </c:numCache>
            </c:numRef>
          </c:val>
          <c:smooth val="0"/>
        </c:ser>
        <c:ser>
          <c:idx val="6"/>
          <c:order val="24"/>
          <c:tx>
            <c:strRef>
              <c:f>'Initial CP Conferences'!$AK$64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'Initial CP Conferences'!$D$8:$H$8</c:f>
              <c:numCache>
                <c:formatCode>General</c:formatCode>
                <c:ptCount val="5"/>
                <c:pt idx="0">
                  <c:v>2014</c:v>
                </c:pt>
                <c:pt idx="1">
                  <c:v>2015</c:v>
                </c:pt>
                <c:pt idx="2">
                  <c:v>2016</c:v>
                </c:pt>
                <c:pt idx="3">
                  <c:v>2017</c:v>
                </c:pt>
                <c:pt idx="4">
                  <c:v>2018</c:v>
                </c:pt>
              </c:numCache>
            </c:numRef>
          </c:cat>
          <c:val>
            <c:numRef>
              <c:f>'Initial CP Conferences'!$AL$64:$AP$64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17889408"/>
        <c:axId val="217903872"/>
      </c:lineChart>
      <c:catAx>
        <c:axId val="21788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7903872"/>
        <c:crosses val="autoZero"/>
        <c:auto val="1"/>
        <c:lblAlgn val="ctr"/>
        <c:lblOffset val="100"/>
        <c:tickLblSkip val="1"/>
        <c:tickMarkSkip val="1"/>
        <c:noMultiLvlLbl val="0"/>
      </c:catAx>
      <c:valAx>
        <c:axId val="21790387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788940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 (Selected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'Initial CP Conferences'!$Z$4</c:f>
              <c:strCache>
                <c:ptCount val="1"/>
                <c:pt idx="0">
                  <c:v>Selected LA- (none)</c:v>
                </c:pt>
              </c:strCache>
            </c:strRef>
          </c:tx>
          <c:spPr>
            <a:solidFill>
              <a:srgbClr val="66FF99"/>
            </a:solidFill>
            <a:ln>
              <a:solidFill>
                <a:schemeClr val="tx1">
                  <a:lumMod val="75000"/>
                  <a:lumOff val="25000"/>
                </a:schemeClr>
              </a:solidFill>
            </a:ln>
          </c:spPr>
          <c:invertIfNegative val="0"/>
          <c:val>
            <c:numRef>
              <c:f>'Initial CP Conferences'!$X$70:$AB$70</c:f>
              <c:numCache>
                <c:formatCode>0.0</c:formatCode>
                <c:ptCount val="5"/>
                <c:pt idx="0">
                  <c:v>#N/A</c:v>
                </c:pt>
                <c:pt idx="1">
                  <c:v>#N/A</c:v>
                </c:pt>
                <c:pt idx="2">
                  <c:v>#N/A</c:v>
                </c:pt>
                <c:pt idx="3">
                  <c:v>#N/A</c:v>
                </c:pt>
                <c:pt idx="4">
                  <c:v>#N/A</c:v>
                </c:pt>
              </c:numCache>
            </c:numRef>
          </c:val>
        </c:ser>
        <c:ser>
          <c:idx val="4"/>
          <c:order val="1"/>
          <c:tx>
            <c:strRef>
              <c:f>'Initial CP Conferences'!$B$31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'Initial CP Conferences'!$K$8:$O$8</c:f>
              <c:numCache>
                <c:formatCode>General</c:formatCode>
                <c:ptCount val="5"/>
                <c:pt idx="0">
                  <c:v>2014</c:v>
                </c:pt>
                <c:pt idx="1">
                  <c:v>2015</c:v>
                </c:pt>
                <c:pt idx="2">
                  <c:v>2016</c:v>
                </c:pt>
                <c:pt idx="3">
                  <c:v>2017</c:v>
                </c:pt>
                <c:pt idx="4">
                  <c:v>2018</c:v>
                </c:pt>
              </c:numCache>
            </c:numRef>
          </c:cat>
          <c:val>
            <c:numRef>
              <c:f>'Initial CP Conferences'!$K$31:$O$31</c:f>
              <c:numCache>
                <c:formatCode>0.0</c:formatCode>
                <c:ptCount val="5"/>
                <c:pt idx="0">
                  <c:v>50.614797540809839</c:v>
                </c:pt>
                <c:pt idx="1">
                  <c:v>59.76262997584287</c:v>
                </c:pt>
                <c:pt idx="2">
                  <c:v>59.485949637662273</c:v>
                </c:pt>
                <c:pt idx="3">
                  <c:v>59.435348669274099</c:v>
                </c:pt>
                <c:pt idx="4">
                  <c:v>62.915891792897142</c:v>
                </c:pt>
              </c:numCache>
            </c:numRef>
          </c:val>
        </c:ser>
        <c:ser>
          <c:idx val="0"/>
          <c:order val="2"/>
          <c:tx>
            <c:strRef>
              <c:f>'Initial CP Conferences'!$B$32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'Initial CP Conferences'!$K$32:$O$32</c:f>
              <c:numCache>
                <c:formatCode>0.0</c:formatCode>
                <c:ptCount val="5"/>
                <c:pt idx="0">
                  <c:v>56.791155946998408</c:v>
                </c:pt>
                <c:pt idx="1">
                  <c:v>61.604423854999702</c:v>
                </c:pt>
                <c:pt idx="2">
                  <c:v>62.554055095522315</c:v>
                </c:pt>
                <c:pt idx="3">
                  <c:v>65.276361344752445</c:v>
                </c:pt>
                <c:pt idx="4">
                  <c:v>66.967462678090087</c:v>
                </c:pt>
              </c:numCache>
            </c:numRef>
          </c:val>
        </c:ser>
        <c:dLbls>
          <c:showLegendKey val="0"/>
          <c:showVal val="0"/>
          <c:showCatName val="0"/>
          <c:showSerName val="0"/>
          <c:showPercent val="0"/>
          <c:showBubbleSize val="0"/>
        </c:dLbls>
        <c:gapWidth val="100"/>
        <c:axId val="217942272"/>
        <c:axId val="217944064"/>
      </c:barChart>
      <c:catAx>
        <c:axId val="217942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7944064"/>
        <c:crosses val="autoZero"/>
        <c:auto val="1"/>
        <c:lblAlgn val="ctr"/>
        <c:lblOffset val="100"/>
        <c:noMultiLvlLbl val="0"/>
      </c:catAx>
      <c:valAx>
        <c:axId val="21794406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7942272"/>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ICPC held within 15 Days of S47 </a:t>
            </a:r>
          </a:p>
          <a:p>
            <a:pPr>
              <a:defRPr sz="1000" b="1" i="0" u="none" strike="noStrike" baseline="0">
                <a:solidFill>
                  <a:srgbClr val="000000"/>
                </a:solidFill>
                <a:latin typeface="Arial"/>
                <a:ea typeface="Arial"/>
                <a:cs typeface="Arial"/>
              </a:defRPr>
            </a:pPr>
            <a:r>
              <a:rPr lang="en-GB"/>
              <a:t>(Selected LA</a:t>
            </a:r>
            <a:r>
              <a:rPr lang="en-GB" baseline="0"/>
              <a:t> vs. SE &amp; National)</a:t>
            </a:r>
            <a:r>
              <a:rPr lang="en-GB"/>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'Initial CP Conferences'!$Z$4</c:f>
              <c:strCache>
                <c:ptCount val="1"/>
                <c:pt idx="0">
                  <c:v>Selected LA- (none)</c:v>
                </c:pt>
              </c:strCache>
            </c:strRef>
          </c:tx>
          <c:spPr>
            <a:solidFill>
              <a:srgbClr val="66FF99"/>
            </a:solidFill>
            <a:ln>
              <a:solidFill>
                <a:schemeClr val="tx1">
                  <a:lumMod val="75000"/>
                  <a:lumOff val="25000"/>
                </a:schemeClr>
              </a:solidFill>
            </a:ln>
          </c:spPr>
          <c:invertIfNegative val="0"/>
          <c:cat>
            <c:numRef>
              <c:f>'Initial CP Conferences'!$K$8:$O$8</c:f>
              <c:numCache>
                <c:formatCode>General</c:formatCode>
                <c:ptCount val="5"/>
                <c:pt idx="0">
                  <c:v>2014</c:v>
                </c:pt>
                <c:pt idx="1">
                  <c:v>2015</c:v>
                </c:pt>
                <c:pt idx="2">
                  <c:v>2016</c:v>
                </c:pt>
                <c:pt idx="3">
                  <c:v>2017</c:v>
                </c:pt>
                <c:pt idx="4">
                  <c:v>2018</c:v>
                </c:pt>
              </c:numCache>
            </c:numRef>
          </c:cat>
          <c:val>
            <c:numRef>
              <c:f>'Initial CP Conferences'!$AW$64:$BA$64</c:f>
              <c:numCache>
                <c:formatCode>0%</c:formatCode>
                <c:ptCount val="5"/>
                <c:pt idx="0">
                  <c:v>#N/A</c:v>
                </c:pt>
                <c:pt idx="1">
                  <c:v>#N/A</c:v>
                </c:pt>
                <c:pt idx="2">
                  <c:v>#N/A</c:v>
                </c:pt>
                <c:pt idx="3">
                  <c:v>#N/A</c:v>
                </c:pt>
                <c:pt idx="4">
                  <c:v>#N/A</c:v>
                </c:pt>
              </c:numCache>
            </c:numRef>
          </c:val>
        </c:ser>
        <c:ser>
          <c:idx val="4"/>
          <c:order val="1"/>
          <c:tx>
            <c:strRef>
              <c:f>'Initial CP Conferences'!$B$167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'Initial CP Conferences'!$K$8:$O$8</c:f>
              <c:numCache>
                <c:formatCode>General</c:formatCode>
                <c:ptCount val="5"/>
                <c:pt idx="0">
                  <c:v>2014</c:v>
                </c:pt>
                <c:pt idx="1">
                  <c:v>2015</c:v>
                </c:pt>
                <c:pt idx="2">
                  <c:v>2016</c:v>
                </c:pt>
                <c:pt idx="3">
                  <c:v>2017</c:v>
                </c:pt>
                <c:pt idx="4">
                  <c:v>2018</c:v>
                </c:pt>
              </c:numCache>
            </c:numRef>
          </c:cat>
          <c:val>
            <c:numRef>
              <c:f>'Initial CP Conferences'!$D$167:$H$167</c:f>
              <c:numCache>
                <c:formatCode>0%</c:formatCode>
                <c:ptCount val="5"/>
                <c:pt idx="0">
                  <c:v>0.65445026178010468</c:v>
                </c:pt>
                <c:pt idx="1">
                  <c:v>0.67574692442882245</c:v>
                </c:pt>
                <c:pt idx="2">
                  <c:v>0.72217353198948286</c:v>
                </c:pt>
                <c:pt idx="3">
                  <c:v>0.75021758050478682</c:v>
                </c:pt>
                <c:pt idx="4">
                  <c:v>0.74979558462796403</c:v>
                </c:pt>
              </c:numCache>
            </c:numRef>
          </c:val>
        </c:ser>
        <c:ser>
          <c:idx val="0"/>
          <c:order val="2"/>
          <c:tx>
            <c:strRef>
              <c:f>'Initial CP Conferences'!$B$168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'Initial CP Conferences'!$D$168:$H$168</c:f>
              <c:numCache>
                <c:formatCode>0%</c:formatCode>
                <c:ptCount val="5"/>
                <c:pt idx="0">
                  <c:v>0.6928976836938181</c:v>
                </c:pt>
                <c:pt idx="1">
                  <c:v>0.74737431732250381</c:v>
                </c:pt>
                <c:pt idx="2">
                  <c:v>0.76659822039698833</c:v>
                </c:pt>
                <c:pt idx="3">
                  <c:v>0.77226049655531004</c:v>
                </c:pt>
                <c:pt idx="4">
                  <c:v>0.76947275701522588</c:v>
                </c:pt>
              </c:numCache>
            </c:numRef>
          </c:val>
        </c:ser>
        <c:dLbls>
          <c:showLegendKey val="0"/>
          <c:showVal val="0"/>
          <c:showCatName val="0"/>
          <c:showSerName val="0"/>
          <c:showPercent val="0"/>
          <c:showBubbleSize val="0"/>
        </c:dLbls>
        <c:gapWidth val="100"/>
        <c:axId val="228500608"/>
        <c:axId val="228502144"/>
      </c:barChart>
      <c:catAx>
        <c:axId val="228500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502144"/>
        <c:crosses val="autoZero"/>
        <c:auto val="1"/>
        <c:lblAlgn val="ctr"/>
        <c:lblOffset val="100"/>
        <c:noMultiLvlLbl val="0"/>
      </c:catAx>
      <c:valAx>
        <c:axId val="22850214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50060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Initial CP Conferences held within 15 days of the Section 47 Enquiry which led to the Conference</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'Initial CP Conferences'!$AK$40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'Initial CP Conferences'!$AW$39:$BA$39</c:f>
              <c:numCache>
                <c:formatCode>General</c:formatCode>
                <c:ptCount val="5"/>
                <c:pt idx="0">
                  <c:v>2014</c:v>
                </c:pt>
                <c:pt idx="1">
                  <c:v>2015</c:v>
                </c:pt>
                <c:pt idx="2">
                  <c:v>2016</c:v>
                </c:pt>
                <c:pt idx="3">
                  <c:v>2017</c:v>
                </c:pt>
                <c:pt idx="4">
                  <c:v>2018</c:v>
                </c:pt>
              </c:numCache>
            </c:numRef>
          </c:cat>
          <c:val>
            <c:numRef>
              <c:f>'Initial CP Conferences'!$AW$40:$BA$40</c:f>
              <c:numCache>
                <c:formatCode>0.0%</c:formatCode>
                <c:ptCount val="5"/>
                <c:pt idx="0">
                  <c:v>0.51428571428571423</c:v>
                </c:pt>
                <c:pt idx="1">
                  <c:v>0.56441717791411039</c:v>
                </c:pt>
                <c:pt idx="2">
                  <c:v>0.66455696202531644</c:v>
                </c:pt>
                <c:pt idx="3">
                  <c:v>0.73946360153256707</c:v>
                </c:pt>
                <c:pt idx="4">
                  <c:v>0.82553191489361699</c:v>
                </c:pt>
              </c:numCache>
            </c:numRef>
          </c:val>
          <c:smooth val="0"/>
        </c:ser>
        <c:ser>
          <c:idx val="1"/>
          <c:order val="1"/>
          <c:tx>
            <c:strRef>
              <c:f>'Initial CP Conferences'!$AK$41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Conferences'!$AW$41:$BA$41</c:f>
              <c:numCache>
                <c:formatCode>0.0%</c:formatCode>
                <c:ptCount val="5"/>
                <c:pt idx="0">
                  <c:v>0.76580796252927397</c:v>
                </c:pt>
                <c:pt idx="1">
                  <c:v>0.59957627118644063</c:v>
                </c:pt>
                <c:pt idx="2">
                  <c:v>0.63602941176470584</c:v>
                </c:pt>
                <c:pt idx="3">
                  <c:v>0.66029723991507427</c:v>
                </c:pt>
                <c:pt idx="4">
                  <c:v>0.87318087318087323</c:v>
                </c:pt>
              </c:numCache>
            </c:numRef>
          </c:val>
          <c:smooth val="0"/>
        </c:ser>
        <c:ser>
          <c:idx val="2"/>
          <c:order val="2"/>
          <c:tx>
            <c:strRef>
              <c:f>'Initial CP Conferences'!$AK$42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Conferences'!$AW$42:$BA$42</c:f>
              <c:numCache>
                <c:formatCode>0.0%</c:formatCode>
                <c:ptCount val="5"/>
                <c:pt idx="0">
                  <c:v>0.38414634146341464</c:v>
                </c:pt>
                <c:pt idx="1">
                  <c:v>0.43248532289628178</c:v>
                </c:pt>
                <c:pt idx="2">
                  <c:v>0.68891855807743663</c:v>
                </c:pt>
                <c:pt idx="3">
                  <c:v>0.69630484988452657</c:v>
                </c:pt>
                <c:pt idx="4">
                  <c:v>0.73201856148491884</c:v>
                </c:pt>
              </c:numCache>
            </c:numRef>
          </c:val>
          <c:smooth val="0"/>
        </c:ser>
        <c:ser>
          <c:idx val="5"/>
          <c:order val="3"/>
          <c:tx>
            <c:strRef>
              <c:f>'Initial CP Conferences'!$AK$43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Conferences'!$AW$43:$BA$43</c:f>
              <c:numCache>
                <c:formatCode>0.0%</c:formatCode>
                <c:ptCount val="5"/>
                <c:pt idx="0">
                  <c:v>0.55748031496062989</c:v>
                </c:pt>
                <c:pt idx="1">
                  <c:v>0.68</c:v>
                </c:pt>
                <c:pt idx="2">
                  <c:v>0.6045548654244306</c:v>
                </c:pt>
                <c:pt idx="3">
                  <c:v>0.59808612440191389</c:v>
                </c:pt>
                <c:pt idx="4">
                  <c:v>0.57665260196905765</c:v>
                </c:pt>
              </c:numCache>
            </c:numRef>
          </c:val>
          <c:smooth val="0"/>
        </c:ser>
        <c:ser>
          <c:idx val="9"/>
          <c:order val="4"/>
          <c:tx>
            <c:strRef>
              <c:f>'Initial CP Conferences'!$AK$44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Conferences'!$AW$44:$BA$44</c:f>
              <c:numCache>
                <c:formatCode>0.0%</c:formatCode>
                <c:ptCount val="5"/>
                <c:pt idx="0">
                  <c:v>0.6902423051735429</c:v>
                </c:pt>
                <c:pt idx="1">
                  <c:v>0.6887417218543046</c:v>
                </c:pt>
                <c:pt idx="2">
                  <c:v>0.70842105263157895</c:v>
                </c:pt>
                <c:pt idx="3">
                  <c:v>0.76779026217228463</c:v>
                </c:pt>
                <c:pt idx="4">
                  <c:v>0.77073991031390132</c:v>
                </c:pt>
              </c:numCache>
            </c:numRef>
          </c:val>
          <c:smooth val="0"/>
        </c:ser>
        <c:ser>
          <c:idx val="10"/>
          <c:order val="5"/>
          <c:tx>
            <c:strRef>
              <c:f>'Initial CP Conferences'!$AK$45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Conferences'!$AW$45:$BA$45</c:f>
              <c:numCache>
                <c:formatCode>0.0%</c:formatCode>
                <c:ptCount val="5"/>
                <c:pt idx="0">
                  <c:v>0.24803149606299213</c:v>
                </c:pt>
                <c:pt idx="1">
                  <c:v>0.64437689969604861</c:v>
                </c:pt>
                <c:pt idx="2">
                  <c:v>0.57066666666666666</c:v>
                </c:pt>
                <c:pt idx="3">
                  <c:v>0.75694444444444442</c:v>
                </c:pt>
                <c:pt idx="4">
                  <c:v>0.8487084870848709</c:v>
                </c:pt>
              </c:numCache>
            </c:numRef>
          </c:val>
          <c:smooth val="0"/>
        </c:ser>
        <c:ser>
          <c:idx val="11"/>
          <c:order val="6"/>
          <c:tx>
            <c:strRef>
              <c:f>'Initial CP Conferences'!$AK$46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Conferences'!$AW$46:$BA$46</c:f>
              <c:numCache>
                <c:formatCode>0.0%</c:formatCode>
                <c:ptCount val="5"/>
                <c:pt idx="0">
                  <c:v>0.61415816326530615</c:v>
                </c:pt>
                <c:pt idx="1">
                  <c:v>0.78420467185761955</c:v>
                </c:pt>
                <c:pt idx="2">
                  <c:v>0.82956746287927696</c:v>
                </c:pt>
                <c:pt idx="3">
                  <c:v>0.84337349397590367</c:v>
                </c:pt>
                <c:pt idx="4">
                  <c:v>0.74914869466515321</c:v>
                </c:pt>
              </c:numCache>
            </c:numRef>
          </c:val>
          <c:smooth val="0"/>
        </c:ser>
        <c:ser>
          <c:idx val="12"/>
          <c:order val="7"/>
          <c:tx>
            <c:strRef>
              <c:f>'Initial CP Conferences'!$AK$47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Conferences'!$AW$47:$BA$47</c:f>
              <c:numCache>
                <c:formatCode>0.0%</c:formatCode>
                <c:ptCount val="5"/>
                <c:pt idx="0">
                  <c:v>0.54756380510440839</c:v>
                </c:pt>
                <c:pt idx="1">
                  <c:v>0.5907590759075908</c:v>
                </c:pt>
                <c:pt idx="2">
                  <c:v>0.88797364085667219</c:v>
                </c:pt>
                <c:pt idx="3">
                  <c:v>0.88319088319088324</c:v>
                </c:pt>
                <c:pt idx="4">
                  <c:v>0.87593052109181146</c:v>
                </c:pt>
              </c:numCache>
            </c:numRef>
          </c:val>
          <c:smooth val="0"/>
        </c:ser>
        <c:ser>
          <c:idx val="13"/>
          <c:order val="8"/>
          <c:tx>
            <c:strRef>
              <c:f>'Initial CP Conferences'!$AK$48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Conferences'!$AW$48:$BA$48</c:f>
              <c:numCache>
                <c:formatCode>0.0%</c:formatCode>
                <c:ptCount val="5"/>
                <c:pt idx="0">
                  <c:v>0.87671232876712324</c:v>
                </c:pt>
                <c:pt idx="1">
                  <c:v>0.97457627118644063</c:v>
                </c:pt>
                <c:pt idx="2">
                  <c:v>0.93333333333333335</c:v>
                </c:pt>
                <c:pt idx="3">
                  <c:v>0.87074829931972786</c:v>
                </c:pt>
                <c:pt idx="4">
                  <c:v>0.94857142857142862</c:v>
                </c:pt>
              </c:numCache>
            </c:numRef>
          </c:val>
          <c:smooth val="0"/>
        </c:ser>
        <c:ser>
          <c:idx val="15"/>
          <c:order val="9"/>
          <c:tx>
            <c:strRef>
              <c:f>'Initial CP Conferences'!$AK$49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Conferences'!$AW$49:$BA$49</c:f>
              <c:numCache>
                <c:formatCode>0.0%</c:formatCode>
                <c:ptCount val="5"/>
                <c:pt idx="0">
                  <c:v>0.84927066450567257</c:v>
                </c:pt>
                <c:pt idx="1">
                  <c:v>0.74757281553398058</c:v>
                </c:pt>
                <c:pt idx="2">
                  <c:v>0.81876606683804631</c:v>
                </c:pt>
                <c:pt idx="3">
                  <c:v>0.89347826086956517</c:v>
                </c:pt>
                <c:pt idx="4">
                  <c:v>0.88952164009111623</c:v>
                </c:pt>
              </c:numCache>
            </c:numRef>
          </c:val>
          <c:smooth val="0"/>
        </c:ser>
        <c:ser>
          <c:idx val="16"/>
          <c:order val="10"/>
          <c:tx>
            <c:strRef>
              <c:f>'Initial CP Conferences'!$AK$50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Conferences'!$AW$50:$BA$50</c:f>
              <c:numCache>
                <c:formatCode>0.0%</c:formatCode>
                <c:ptCount val="5"/>
                <c:pt idx="0">
                  <c:v>0.68725868725868722</c:v>
                </c:pt>
                <c:pt idx="1">
                  <c:v>0.6759581881533101</c:v>
                </c:pt>
                <c:pt idx="2">
                  <c:v>0.67261904761904767</c:v>
                </c:pt>
                <c:pt idx="3">
                  <c:v>0.77591973244147161</c:v>
                </c:pt>
                <c:pt idx="4">
                  <c:v>0.71844660194174759</c:v>
                </c:pt>
              </c:numCache>
            </c:numRef>
          </c:val>
          <c:smooth val="0"/>
        </c:ser>
        <c:ser>
          <c:idx val="17"/>
          <c:order val="11"/>
          <c:tx>
            <c:strRef>
              <c:f>'Initial CP Conferences'!$AK$51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Conferences'!$AW$51:$BA$51</c:f>
              <c:numCache>
                <c:formatCode>0.0%</c:formatCode>
                <c:ptCount val="5"/>
                <c:pt idx="0">
                  <c:v>0.83842794759825323</c:v>
                </c:pt>
                <c:pt idx="1">
                  <c:v>0.85382059800664456</c:v>
                </c:pt>
                <c:pt idx="2">
                  <c:v>0.67441860465116277</c:v>
                </c:pt>
                <c:pt idx="3">
                  <c:v>0.84659090909090906</c:v>
                </c:pt>
                <c:pt idx="4">
                  <c:v>0.75421686746987948</c:v>
                </c:pt>
              </c:numCache>
            </c:numRef>
          </c:val>
          <c:smooth val="0"/>
        </c:ser>
        <c:ser>
          <c:idx val="19"/>
          <c:order val="12"/>
          <c:tx>
            <c:strRef>
              <c:f>'Initial CP Conferences'!$AK$52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Conferences'!$AW$52:$BA$52</c:f>
              <c:numCache>
                <c:formatCode>0.0%</c:formatCode>
                <c:ptCount val="5"/>
                <c:pt idx="0">
                  <c:v>0.74307304785894202</c:v>
                </c:pt>
                <c:pt idx="1">
                  <c:v>0.79842931937172779</c:v>
                </c:pt>
                <c:pt idx="2">
                  <c:v>0.81481481481481477</c:v>
                </c:pt>
                <c:pt idx="3">
                  <c:v>0.81656804733727806</c:v>
                </c:pt>
                <c:pt idx="4">
                  <c:v>0.75547445255474455</c:v>
                </c:pt>
              </c:numCache>
            </c:numRef>
          </c:val>
          <c:smooth val="0"/>
        </c:ser>
        <c:ser>
          <c:idx val="3"/>
          <c:order val="13"/>
          <c:tx>
            <c:strRef>
              <c:f>'Initial CP Conferences'!$AK$53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Conferences'!$AW$53:$BA$53</c:f>
              <c:numCache>
                <c:formatCode>0.0%</c:formatCode>
                <c:ptCount val="5"/>
                <c:pt idx="0">
                  <c:v>0.96347826086956523</c:v>
                </c:pt>
                <c:pt idx="1">
                  <c:v>0.90099009900990101</c:v>
                </c:pt>
                <c:pt idx="2">
                  <c:v>0.96443514644351469</c:v>
                </c:pt>
                <c:pt idx="3">
                  <c:v>0.94099848714069589</c:v>
                </c:pt>
                <c:pt idx="4">
                  <c:v>0.93344709897610922</c:v>
                </c:pt>
              </c:numCache>
            </c:numRef>
          </c:val>
          <c:smooth val="0"/>
        </c:ser>
        <c:ser>
          <c:idx val="20"/>
          <c:order val="14"/>
          <c:tx>
            <c:strRef>
              <c:f>'Initial CP Conferences'!$AK$54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Conferences'!$AW$54:$BA$54</c:f>
              <c:numCache>
                <c:formatCode>0.0%</c:formatCode>
                <c:ptCount val="5"/>
                <c:pt idx="0">
                  <c:v>0.82505399568034554</c:v>
                </c:pt>
                <c:pt idx="1">
                  <c:v>0.70909090909090911</c:v>
                </c:pt>
                <c:pt idx="2">
                  <c:v>0.61801801801801803</c:v>
                </c:pt>
                <c:pt idx="3">
                  <c:v>0.68034557235421167</c:v>
                </c:pt>
                <c:pt idx="4">
                  <c:v>0.73929961089494167</c:v>
                </c:pt>
              </c:numCache>
            </c:numRef>
          </c:val>
          <c:smooth val="0"/>
        </c:ser>
        <c:ser>
          <c:idx val="22"/>
          <c:order val="15"/>
          <c:tx>
            <c:strRef>
              <c:f>'Initial CP Conferences'!$AK$55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Conferences'!$AW$55:$BA$55</c:f>
              <c:numCache>
                <c:formatCode>0.0%</c:formatCode>
                <c:ptCount val="5"/>
                <c:pt idx="0">
                  <c:v>0.71772039180765801</c:v>
                </c:pt>
                <c:pt idx="1">
                  <c:v>0.53436988543371522</c:v>
                </c:pt>
                <c:pt idx="2">
                  <c:v>0.66393442622950816</c:v>
                </c:pt>
                <c:pt idx="3">
                  <c:v>0.68417159763313606</c:v>
                </c:pt>
                <c:pt idx="4">
                  <c:v>0.51447811447811442</c:v>
                </c:pt>
              </c:numCache>
            </c:numRef>
          </c:val>
          <c:smooth val="0"/>
        </c:ser>
        <c:ser>
          <c:idx val="7"/>
          <c:order val="16"/>
          <c:tx>
            <c:strRef>
              <c:f>'Initial CP Conferences'!$AK$56</c:f>
              <c:strCache>
                <c:ptCount val="1"/>
                <c:pt idx="0">
                  <c:v>Swindon</c:v>
                </c:pt>
              </c:strCache>
            </c:strRef>
          </c:tx>
          <c:spPr>
            <a:ln w="15875"/>
          </c:spPr>
          <c:marker>
            <c:symbol val="triangle"/>
            <c:size val="5"/>
            <c:spPr>
              <a:solidFill>
                <a:schemeClr val="accent2">
                  <a:lumMod val="20000"/>
                  <a:lumOff val="80000"/>
                </a:schemeClr>
              </a:solidFill>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Conferences'!$AW$56:$BA$56</c:f>
              <c:numCache>
                <c:formatCode>0.0%</c:formatCode>
                <c:ptCount val="5"/>
                <c:pt idx="0">
                  <c:v>0.7719869706840391</c:v>
                </c:pt>
                <c:pt idx="1">
                  <c:v>0.69579288025889963</c:v>
                </c:pt>
                <c:pt idx="2">
                  <c:v>0.78034682080924855</c:v>
                </c:pt>
                <c:pt idx="3">
                  <c:v>0.65374677002583981</c:v>
                </c:pt>
                <c:pt idx="4">
                  <c:v>0.84668989547038331</c:v>
                </c:pt>
              </c:numCache>
            </c:numRef>
          </c:val>
          <c:smooth val="0"/>
        </c:ser>
        <c:ser>
          <c:idx val="8"/>
          <c:order val="17"/>
          <c:tx>
            <c:strRef>
              <c:f>'Initial CP Conferences'!$AK$57</c:f>
              <c:strCache>
                <c:ptCount val="1"/>
                <c:pt idx="0">
                  <c:v>Torbay</c:v>
                </c:pt>
              </c:strCache>
            </c:strRef>
          </c:tx>
          <c:spPr>
            <a:ln w="15875"/>
          </c:spPr>
          <c:marker>
            <c:symbol val="circle"/>
            <c:size val="5"/>
            <c:spPr>
              <a:solidFill>
                <a:schemeClr val="accent3">
                  <a:lumMod val="20000"/>
                  <a:lumOff val="80000"/>
                </a:schemeClr>
              </a:solidFill>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Conferences'!$AW$57:$BA$57</c:f>
              <c:numCache>
                <c:formatCode>0.0%</c:formatCode>
                <c:ptCount val="5"/>
                <c:pt idx="0">
                  <c:v>0.50545454545454549</c:v>
                </c:pt>
                <c:pt idx="1">
                  <c:v>0.45819397993311034</c:v>
                </c:pt>
                <c:pt idx="2">
                  <c:v>0.80615384615384611</c:v>
                </c:pt>
                <c:pt idx="3">
                  <c:v>0.90055248618784534</c:v>
                </c:pt>
                <c:pt idx="4">
                  <c:v>0.66850828729281764</c:v>
                </c:pt>
              </c:numCache>
            </c:numRef>
          </c:val>
          <c:smooth val="0"/>
        </c:ser>
        <c:ser>
          <c:idx val="23"/>
          <c:order val="18"/>
          <c:tx>
            <c:strRef>
              <c:f>'Initial CP Conferences'!$AK$58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Conferences'!$AW$58:$BA$58</c:f>
              <c:numCache>
                <c:formatCode>0.0%</c:formatCode>
                <c:ptCount val="5"/>
                <c:pt idx="0">
                  <c:v>0.65189873417721522</c:v>
                </c:pt>
                <c:pt idx="1">
                  <c:v>0.85990338164251212</c:v>
                </c:pt>
                <c:pt idx="2">
                  <c:v>0.94166666666666665</c:v>
                </c:pt>
                <c:pt idx="3">
                  <c:v>0.967741935483871</c:v>
                </c:pt>
                <c:pt idx="4">
                  <c:v>0.96363636363636362</c:v>
                </c:pt>
              </c:numCache>
            </c:numRef>
          </c:val>
          <c:smooth val="0"/>
        </c:ser>
        <c:ser>
          <c:idx val="24"/>
          <c:order val="19"/>
          <c:tx>
            <c:strRef>
              <c:f>'Initial CP Conferences'!$AK$59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Conferences'!$AW$59:$BA$59</c:f>
              <c:numCache>
                <c:formatCode>0.0%</c:formatCode>
                <c:ptCount val="5"/>
                <c:pt idx="0">
                  <c:v>0.46330935251798561</c:v>
                </c:pt>
                <c:pt idx="1">
                  <c:v>0.58688147295742232</c:v>
                </c:pt>
                <c:pt idx="2">
                  <c:v>0.52906110283159469</c:v>
                </c:pt>
                <c:pt idx="3">
                  <c:v>0.42794117647058821</c:v>
                </c:pt>
                <c:pt idx="4">
                  <c:v>0.85078776645041709</c:v>
                </c:pt>
              </c:numCache>
            </c:numRef>
          </c:val>
          <c:smooth val="0"/>
        </c:ser>
        <c:ser>
          <c:idx val="25"/>
          <c:order val="20"/>
          <c:tx>
            <c:strRef>
              <c:f>'Initial CP Conferences'!$AK$60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Conferences'!$AW$60:$BA$60</c:f>
              <c:numCache>
                <c:formatCode>0.0%</c:formatCode>
                <c:ptCount val="5"/>
                <c:pt idx="0">
                  <c:v>0.79807692307692313</c:v>
                </c:pt>
                <c:pt idx="1">
                  <c:v>0.78494623655913975</c:v>
                </c:pt>
                <c:pt idx="2">
                  <c:v>0.86</c:v>
                </c:pt>
                <c:pt idx="3">
                  <c:v>0.82989690721649489</c:v>
                </c:pt>
                <c:pt idx="4">
                  <c:v>0.53284671532846717</c:v>
                </c:pt>
              </c:numCache>
            </c:numRef>
          </c:val>
          <c:smooth val="0"/>
        </c:ser>
        <c:ser>
          <c:idx val="26"/>
          <c:order val="21"/>
          <c:tx>
            <c:strRef>
              <c:f>'Initial CP Conferences'!$AK$61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Conferences'!$AW$61:$BA$61</c:f>
              <c:numCache>
                <c:formatCode>0.0%</c:formatCode>
                <c:ptCount val="5"/>
                <c:pt idx="0">
                  <c:v>0.86885245901639341</c:v>
                </c:pt>
                <c:pt idx="1">
                  <c:v>0.91304347826086951</c:v>
                </c:pt>
                <c:pt idx="2">
                  <c:v>0.96551724137931039</c:v>
                </c:pt>
                <c:pt idx="3">
                  <c:v>0.797752808988764</c:v>
                </c:pt>
                <c:pt idx="4">
                  <c:v>0.82320441988950277</c:v>
                </c:pt>
              </c:numCache>
            </c:numRef>
          </c:val>
          <c:smooth val="0"/>
        </c:ser>
        <c:ser>
          <c:idx val="4"/>
          <c:order val="22"/>
          <c:tx>
            <c:strRef>
              <c:f>'Initial CP Conferences'!$AK$62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Conferences'!$AW$62:$BA$62</c:f>
              <c:numCache>
                <c:formatCode>0.0%</c:formatCode>
                <c:ptCount val="5"/>
                <c:pt idx="0">
                  <c:v>0.65445026178010468</c:v>
                </c:pt>
                <c:pt idx="1">
                  <c:v>0.67574692442882245</c:v>
                </c:pt>
                <c:pt idx="2">
                  <c:v>0.72217353198948286</c:v>
                </c:pt>
                <c:pt idx="3">
                  <c:v>0.75021758050478682</c:v>
                </c:pt>
                <c:pt idx="4">
                  <c:v>0.74979558462796403</c:v>
                </c:pt>
              </c:numCache>
            </c:numRef>
          </c:val>
          <c:smooth val="0"/>
        </c:ser>
        <c:ser>
          <c:idx val="14"/>
          <c:order val="23"/>
          <c:tx>
            <c:strRef>
              <c:f>'Initial CP Conferences'!$AK$63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Conferences'!$AW$63:$BA$63</c:f>
              <c:numCache>
                <c:formatCode>0.0%</c:formatCode>
                <c:ptCount val="5"/>
                <c:pt idx="0">
                  <c:v>0.6928976836938181</c:v>
                </c:pt>
                <c:pt idx="1">
                  <c:v>0.74737431732250381</c:v>
                </c:pt>
                <c:pt idx="2">
                  <c:v>0.76659822039698833</c:v>
                </c:pt>
                <c:pt idx="3">
                  <c:v>0.77226049655531004</c:v>
                </c:pt>
                <c:pt idx="4">
                  <c:v>0.76947275701522588</c:v>
                </c:pt>
              </c:numCache>
            </c:numRef>
          </c:val>
          <c:smooth val="0"/>
        </c:ser>
        <c:ser>
          <c:idx val="6"/>
          <c:order val="24"/>
          <c:tx>
            <c:strRef>
              <c:f>'Initial CP Conferences'!$AK$64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'Initial CP Conferences'!$AW$39:$BA$39</c:f>
              <c:numCache>
                <c:formatCode>General</c:formatCode>
                <c:ptCount val="5"/>
                <c:pt idx="0">
                  <c:v>2014</c:v>
                </c:pt>
                <c:pt idx="1">
                  <c:v>2015</c:v>
                </c:pt>
                <c:pt idx="2">
                  <c:v>2016</c:v>
                </c:pt>
                <c:pt idx="3">
                  <c:v>2017</c:v>
                </c:pt>
                <c:pt idx="4">
                  <c:v>2018</c:v>
                </c:pt>
              </c:numCache>
            </c:numRef>
          </c:cat>
          <c:val>
            <c:numRef>
              <c:f>'Initial CP Conferences'!$AW$64:$BA$64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8312960"/>
        <c:axId val="228314496"/>
      </c:lineChart>
      <c:catAx>
        <c:axId val="228312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314496"/>
        <c:crosses val="autoZero"/>
        <c:auto val="1"/>
        <c:lblAlgn val="ctr"/>
        <c:lblOffset val="100"/>
        <c:tickLblSkip val="1"/>
        <c:tickMarkSkip val="1"/>
        <c:noMultiLvlLbl val="0"/>
      </c:catAx>
      <c:valAx>
        <c:axId val="228314496"/>
        <c:scaling>
          <c:orientation val="minMax"/>
          <c:max val="1"/>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31296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Referrals!$Z$4</c:f>
              <c:strCache>
                <c:ptCount val="1"/>
                <c:pt idx="0">
                  <c:v>Selected LA- (none)</c:v>
                </c:pt>
              </c:strCache>
            </c:strRef>
          </c:tx>
          <c:spPr>
            <a:solidFill>
              <a:srgbClr val="66FF99"/>
            </a:solidFill>
            <a:ln>
              <a:solidFill>
                <a:schemeClr val="tx1">
                  <a:lumMod val="75000"/>
                  <a:lumOff val="25000"/>
                </a:schemeClr>
              </a:solidFill>
            </a:ln>
          </c:spPr>
          <c:invertIfNegative val="0"/>
          <c:val>
            <c:numRef>
              <c:f>Referrals!$X$70:$AB$70</c:f>
              <c:numCache>
                <c:formatCode>0.0</c:formatCode>
                <c:ptCount val="5"/>
                <c:pt idx="0">
                  <c:v>#N/A</c:v>
                </c:pt>
                <c:pt idx="1">
                  <c:v>#N/A</c:v>
                </c:pt>
                <c:pt idx="2">
                  <c:v>#N/A</c:v>
                </c:pt>
                <c:pt idx="3">
                  <c:v>#N/A</c:v>
                </c:pt>
                <c:pt idx="4">
                  <c:v>#N/A</c:v>
                </c:pt>
              </c:numCache>
            </c:numRef>
          </c:val>
        </c:ser>
        <c:ser>
          <c:idx val="4"/>
          <c:order val="1"/>
          <c:tx>
            <c:strRef>
              <c:f>Referrals!$B$31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Referrals!$K$8:$O$8</c:f>
              <c:numCache>
                <c:formatCode>General</c:formatCode>
                <c:ptCount val="5"/>
                <c:pt idx="0">
                  <c:v>2014</c:v>
                </c:pt>
                <c:pt idx="1">
                  <c:v>2015</c:v>
                </c:pt>
                <c:pt idx="2">
                  <c:v>2016</c:v>
                </c:pt>
                <c:pt idx="3">
                  <c:v>2017</c:v>
                </c:pt>
                <c:pt idx="4">
                  <c:v>2018</c:v>
                </c:pt>
              </c:numCache>
            </c:numRef>
          </c:cat>
          <c:val>
            <c:numRef>
              <c:f>Referrals!$K$31:$O$31</c:f>
              <c:numCache>
                <c:formatCode>0.0</c:formatCode>
                <c:ptCount val="5"/>
                <c:pt idx="0">
                  <c:v>543.87852448590206</c:v>
                </c:pt>
                <c:pt idx="1">
                  <c:v>508.87511815985715</c:v>
                </c:pt>
                <c:pt idx="2">
                  <c:v>509.67102862207395</c:v>
                </c:pt>
                <c:pt idx="3">
                  <c:v>554.10918620127427</c:v>
                </c:pt>
                <c:pt idx="4">
                  <c:v>548.34054834054837</c:v>
                </c:pt>
              </c:numCache>
            </c:numRef>
          </c:val>
        </c:ser>
        <c:ser>
          <c:idx val="0"/>
          <c:order val="2"/>
          <c:tx>
            <c:strRef>
              <c:f>Referrals!$B$32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Referrals!$K$32:$O$32</c:f>
              <c:numCache>
                <c:formatCode>0.0</c:formatCode>
                <c:ptCount val="5"/>
                <c:pt idx="0">
                  <c:v>573.05142478808943</c:v>
                </c:pt>
                <c:pt idx="1">
                  <c:v>548.32336930734925</c:v>
                </c:pt>
                <c:pt idx="2">
                  <c:v>532.17616180991445</c:v>
                </c:pt>
                <c:pt idx="3">
                  <c:v>548.24337179346742</c:v>
                </c:pt>
                <c:pt idx="4">
                  <c:v>552.48367378427349</c:v>
                </c:pt>
              </c:numCache>
            </c:numRef>
          </c:val>
        </c:ser>
        <c:dLbls>
          <c:showLegendKey val="0"/>
          <c:showVal val="0"/>
          <c:showCatName val="0"/>
          <c:showSerName val="0"/>
          <c:showPercent val="0"/>
          <c:showBubbleSize val="0"/>
        </c:dLbls>
        <c:gapWidth val="100"/>
        <c:axId val="117320320"/>
        <c:axId val="117322112"/>
      </c:barChart>
      <c:catAx>
        <c:axId val="117320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17322112"/>
        <c:crosses val="autoZero"/>
        <c:auto val="1"/>
        <c:lblAlgn val="ctr"/>
        <c:lblOffset val="100"/>
        <c:noMultiLvlLbl val="0"/>
      </c:catAx>
      <c:valAx>
        <c:axId val="11732211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17320320"/>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Initial CP Conferences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'Initial CP Conferences'!$R$7:$T$7</c:f>
              <c:strCache>
                <c:ptCount val="1"/>
                <c:pt idx="0">
                  <c:v>Distance from Expected 2018</c:v>
                </c:pt>
              </c:strCache>
            </c:strRef>
          </c:tx>
          <c:spPr>
            <a:solidFill>
              <a:srgbClr val="FB994F"/>
            </a:solidFill>
            <a:ln w="25400">
              <a:noFill/>
            </a:ln>
          </c:spPr>
          <c:invertIfNegative val="0"/>
          <c:cat>
            <c:strRef>
              <c:f>'Initial CP Conferences'!$X$76:$X$99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Conferences'!$T$9:$T$32</c:f>
              <c:numCache>
                <c:formatCode>0.0</c:formatCode>
                <c:ptCount val="24"/>
                <c:pt idx="0">
                  <c:v>29.255031739060065</c:v>
                </c:pt>
                <c:pt idx="1">
                  <c:v>27.05615267528151</c:v>
                </c:pt>
                <c:pt idx="2">
                  <c:v>17.686616896648559</c:v>
                </c:pt>
                <c:pt idx="3">
                  <c:v>1.3362471785716821</c:v>
                </c:pt>
                <c:pt idx="4">
                  <c:v>7.1015557368626503</c:v>
                </c:pt>
                <c:pt idx="5">
                  <c:v>37.178078241077301</c:v>
                </c:pt>
                <c:pt idx="6">
                  <c:v>-13.987421650628256</c:v>
                </c:pt>
                <c:pt idx="7">
                  <c:v>-10.771459246107383</c:v>
                </c:pt>
                <c:pt idx="8">
                  <c:v>-43.883963261398343</c:v>
                </c:pt>
                <c:pt idx="9">
                  <c:v>5.3411084011100485</c:v>
                </c:pt>
                <c:pt idx="10">
                  <c:v>-7.0381053823617208</c:v>
                </c:pt>
                <c:pt idx="11">
                  <c:v>41.951623443782594</c:v>
                </c:pt>
                <c:pt idx="12">
                  <c:v>-4.4423074956879844</c:v>
                </c:pt>
                <c:pt idx="13">
                  <c:v>-7.9085736274019069</c:v>
                </c:pt>
                <c:pt idx="14">
                  <c:v>23.107177118329631</c:v>
                </c:pt>
                <c:pt idx="15">
                  <c:v>4.8722583941563471</c:v>
                </c:pt>
                <c:pt idx="16">
                  <c:v>49.615547410498678</c:v>
                </c:pt>
                <c:pt idx="17">
                  <c:v>64.936777999101622</c:v>
                </c:pt>
                <c:pt idx="18">
                  <c:v>23.430487061043777</c:v>
                </c:pt>
                <c:pt idx="19">
                  <c:v>4.4678453652742505</c:v>
                </c:pt>
                <c:pt idx="20">
                  <c:v>-10.009919255398898</c:v>
                </c:pt>
                <c:pt idx="21">
                  <c:v>-0.31116445101665136</c:v>
                </c:pt>
                <c:pt idx="22">
                  <c:v>2.3865169770632022</c:v>
                </c:pt>
                <c:pt idx="23">
                  <c:v>-3.142225714752314</c:v>
                </c:pt>
              </c:numCache>
            </c:numRef>
          </c:val>
        </c:ser>
        <c:ser>
          <c:idx val="0"/>
          <c:order val="1"/>
          <c:tx>
            <c:strRef>
              <c:f>'Initial CP Conferences'!$Z$4</c:f>
              <c:strCache>
                <c:ptCount val="1"/>
                <c:pt idx="0">
                  <c:v>Selected LA- (none)</c:v>
                </c:pt>
              </c:strCache>
            </c:strRef>
          </c:tx>
          <c:spPr>
            <a:solidFill>
              <a:srgbClr val="66FF99"/>
            </a:solidFill>
            <a:ln w="12700">
              <a:solidFill>
                <a:srgbClr val="000000"/>
              </a:solidFill>
              <a:prstDash val="solid"/>
            </a:ln>
          </c:spPr>
          <c:invertIfNegative val="0"/>
          <c:cat>
            <c:strRef>
              <c:f>'Initial CP Conferences'!$X$76:$X$99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28373632"/>
        <c:axId val="228375168"/>
      </c:barChart>
      <c:catAx>
        <c:axId val="22837363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375168"/>
        <c:crossesAt val="0"/>
        <c:auto val="1"/>
        <c:lblAlgn val="ctr"/>
        <c:lblOffset val="100"/>
        <c:noMultiLvlLbl val="0"/>
      </c:catAx>
      <c:valAx>
        <c:axId val="22837516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373632"/>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Initial CP Conferences 2015-2018</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'Initial CP Conferences'!$I$7</c:f>
              <c:strCache>
                <c:ptCount val="1"/>
                <c:pt idx="0">
                  <c:v>% Change 2015-18</c:v>
                </c:pt>
              </c:strCache>
            </c:strRef>
          </c:tx>
          <c:spPr>
            <a:solidFill>
              <a:srgbClr val="FB994F"/>
            </a:solidFill>
            <a:ln w="25400">
              <a:noFill/>
            </a:ln>
          </c:spPr>
          <c:invertIfNegative val="0"/>
          <c:cat>
            <c:strRef>
              <c:f>'Initial CP Conferences'!$B$9:$B$32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Conferences'!$I$9:$I$32</c:f>
              <c:numCache>
                <c:formatCode>0.0%</c:formatCode>
                <c:ptCount val="24"/>
                <c:pt idx="0">
                  <c:v>0.44171779141104295</c:v>
                </c:pt>
                <c:pt idx="1">
                  <c:v>1.9067796610169493E-2</c:v>
                </c:pt>
                <c:pt idx="2">
                  <c:v>0.6868884540117417</c:v>
                </c:pt>
                <c:pt idx="3">
                  <c:v>0.1376</c:v>
                </c:pt>
                <c:pt idx="4">
                  <c:v>-0.15610217596972564</c:v>
                </c:pt>
                <c:pt idx="5">
                  <c:v>-0.17629179331306991</c:v>
                </c:pt>
                <c:pt idx="6">
                  <c:v>-2.0022246941045607E-2</c:v>
                </c:pt>
                <c:pt idx="7">
                  <c:v>-0.33498349834983498</c:v>
                </c:pt>
                <c:pt idx="8">
                  <c:v>0.48305084745762711</c:v>
                </c:pt>
                <c:pt idx="9">
                  <c:v>0.21775312066574201</c:v>
                </c:pt>
                <c:pt idx="10">
                  <c:v>7.6655052264808357E-2</c:v>
                </c:pt>
                <c:pt idx="11">
                  <c:v>0.37873754152823919</c:v>
                </c:pt>
                <c:pt idx="12">
                  <c:v>-0.28272251308900526</c:v>
                </c:pt>
                <c:pt idx="13">
                  <c:v>-0.17114568599717114</c:v>
                </c:pt>
                <c:pt idx="14">
                  <c:v>3.8383838383838381E-2</c:v>
                </c:pt>
                <c:pt idx="15">
                  <c:v>0.21522094926350246</c:v>
                </c:pt>
                <c:pt idx="16">
                  <c:v>0.85760517799352753</c:v>
                </c:pt>
                <c:pt idx="17">
                  <c:v>0.21070234113712374</c:v>
                </c:pt>
                <c:pt idx="18">
                  <c:v>0.32850241545893721</c:v>
                </c:pt>
                <c:pt idx="19">
                  <c:v>0.24165707710011508</c:v>
                </c:pt>
                <c:pt idx="20">
                  <c:v>0.4731182795698925</c:v>
                </c:pt>
                <c:pt idx="21">
                  <c:v>1.6231884057971016</c:v>
                </c:pt>
                <c:pt idx="22">
                  <c:v>7.4692442882249563E-2</c:v>
                </c:pt>
                <c:pt idx="23">
                  <c:v>0.11286934602996779</c:v>
                </c:pt>
              </c:numCache>
            </c:numRef>
          </c:val>
        </c:ser>
        <c:ser>
          <c:idx val="1"/>
          <c:order val="1"/>
          <c:tx>
            <c:strRef>
              <c:f>'Initial CP Conferences'!$Z$4</c:f>
              <c:strCache>
                <c:ptCount val="1"/>
                <c:pt idx="0">
                  <c:v>Selected LA- (none)</c:v>
                </c:pt>
              </c:strCache>
            </c:strRef>
          </c:tx>
          <c:spPr>
            <a:solidFill>
              <a:srgbClr val="66FF99"/>
            </a:solidFill>
            <a:ln w="12700">
              <a:solidFill>
                <a:srgbClr val="000000"/>
              </a:solidFill>
              <a:prstDash val="solid"/>
            </a:ln>
          </c:spPr>
          <c:invertIfNegative val="0"/>
          <c:cat>
            <c:strRef>
              <c:f>'Initial CP Conferences'!$B$9:$B$32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28409344"/>
        <c:axId val="228410880"/>
      </c:barChart>
      <c:catAx>
        <c:axId val="22840934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410880"/>
        <c:crosses val="autoZero"/>
        <c:auto val="1"/>
        <c:lblAlgn val="ctr"/>
        <c:lblOffset val="100"/>
        <c:noMultiLvlLbl val="0"/>
      </c:catAx>
      <c:valAx>
        <c:axId val="22841088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40934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ICPC as % of S47 (Selected LA</a:t>
            </a:r>
            <a:r>
              <a:rPr lang="en-GB" baseline="0"/>
              <a:t> vs. SE &amp; National)</a:t>
            </a:r>
            <a:r>
              <a:rPr lang="en-GB"/>
              <a:t> </a:t>
            </a:r>
          </a:p>
        </c:rich>
      </c:tx>
      <c:layout>
        <c:manualLayout>
          <c:xMode val="edge"/>
          <c:yMode val="edge"/>
          <c:x val="0.17770940170940172"/>
          <c:y val="3.8613355148788219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'Initial CP Conferences'!$Z$4</c:f>
              <c:strCache>
                <c:ptCount val="1"/>
                <c:pt idx="0">
                  <c:v>Selected LA- (none)</c:v>
                </c:pt>
              </c:strCache>
            </c:strRef>
          </c:tx>
          <c:spPr>
            <a:solidFill>
              <a:srgbClr val="66FF99"/>
            </a:solidFill>
            <a:ln>
              <a:solidFill>
                <a:schemeClr val="tx1">
                  <a:lumMod val="75000"/>
                  <a:lumOff val="25000"/>
                </a:schemeClr>
              </a:solidFill>
            </a:ln>
          </c:spPr>
          <c:invertIfNegative val="0"/>
          <c:cat>
            <c:numRef>
              <c:f>'Initial CP Conferences'!$K$8:$O$8</c:f>
              <c:numCache>
                <c:formatCode>General</c:formatCode>
                <c:ptCount val="5"/>
                <c:pt idx="0">
                  <c:v>2014</c:v>
                </c:pt>
                <c:pt idx="1">
                  <c:v>2015</c:v>
                </c:pt>
                <c:pt idx="2">
                  <c:v>2016</c:v>
                </c:pt>
                <c:pt idx="3">
                  <c:v>2017</c:v>
                </c:pt>
                <c:pt idx="4">
                  <c:v>2018</c:v>
                </c:pt>
              </c:numCache>
            </c:numRef>
          </c:cat>
          <c:val>
            <c:numRef>
              <c:f>'Initial CP Conferences'!$AR$64:$AV$64</c:f>
              <c:numCache>
                <c:formatCode>0%</c:formatCode>
                <c:ptCount val="5"/>
                <c:pt idx="0">
                  <c:v>#N/A</c:v>
                </c:pt>
                <c:pt idx="1">
                  <c:v>#N/A</c:v>
                </c:pt>
                <c:pt idx="2">
                  <c:v>#N/A</c:v>
                </c:pt>
                <c:pt idx="3">
                  <c:v>#N/A</c:v>
                </c:pt>
                <c:pt idx="4">
                  <c:v>#N/A</c:v>
                </c:pt>
              </c:numCache>
            </c:numRef>
          </c:val>
        </c:ser>
        <c:ser>
          <c:idx val="4"/>
          <c:order val="1"/>
          <c:tx>
            <c:strRef>
              <c:f>'Initial CP Conferences'!$B$167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'Initial CP Conferences'!$K$8:$O$8</c:f>
              <c:numCache>
                <c:formatCode>General</c:formatCode>
                <c:ptCount val="5"/>
                <c:pt idx="0">
                  <c:v>2014</c:v>
                </c:pt>
                <c:pt idx="1">
                  <c:v>2015</c:v>
                </c:pt>
                <c:pt idx="2">
                  <c:v>2016</c:v>
                </c:pt>
                <c:pt idx="3">
                  <c:v>2017</c:v>
                </c:pt>
                <c:pt idx="4">
                  <c:v>2018</c:v>
                </c:pt>
              </c:numCache>
            </c:numRef>
          </c:cat>
          <c:val>
            <c:numRef>
              <c:f>'Initial CP Conferences'!$D$132:$H$132</c:f>
              <c:numCache>
                <c:formatCode>0%</c:formatCode>
                <c:ptCount val="5"/>
                <c:pt idx="0">
                  <c:v>0.41467650890143293</c:v>
                </c:pt>
                <c:pt idx="1">
                  <c:v>0.39790209790209791</c:v>
                </c:pt>
                <c:pt idx="2">
                  <c:v>0.37238903394255873</c:v>
                </c:pt>
                <c:pt idx="3">
                  <c:v>0.37280986372485397</c:v>
                </c:pt>
                <c:pt idx="4">
                  <c:v>0.37746913580246916</c:v>
                </c:pt>
              </c:numCache>
            </c:numRef>
          </c:val>
        </c:ser>
        <c:ser>
          <c:idx val="0"/>
          <c:order val="2"/>
          <c:tx>
            <c:strRef>
              <c:f>'Initial CP Conferences'!$B$168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'Initial CP Conferences'!$D$133:$H$133</c:f>
              <c:numCache>
                <c:formatCode>0%</c:formatCode>
                <c:ptCount val="5"/>
                <c:pt idx="0">
                  <c:v>0.45750578987999158</c:v>
                </c:pt>
                <c:pt idx="1">
                  <c:v>0.44589447393068998</c:v>
                </c:pt>
                <c:pt idx="2">
                  <c:v>0.42399442799930348</c:v>
                </c:pt>
                <c:pt idx="3">
                  <c:v>0.41482879482340251</c:v>
                </c:pt>
                <c:pt idx="4">
                  <c:v>0.40118128123580193</c:v>
                </c:pt>
              </c:numCache>
            </c:numRef>
          </c:val>
        </c:ser>
        <c:dLbls>
          <c:showLegendKey val="0"/>
          <c:showVal val="0"/>
          <c:showCatName val="0"/>
          <c:showSerName val="0"/>
          <c:showPercent val="0"/>
          <c:showBubbleSize val="0"/>
        </c:dLbls>
        <c:gapWidth val="100"/>
        <c:axId val="228456704"/>
        <c:axId val="228589568"/>
      </c:barChart>
      <c:catAx>
        <c:axId val="228456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589568"/>
        <c:crosses val="autoZero"/>
        <c:auto val="1"/>
        <c:lblAlgn val="ctr"/>
        <c:lblOffset val="100"/>
        <c:noMultiLvlLbl val="0"/>
      </c:catAx>
      <c:valAx>
        <c:axId val="22858956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45670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Number of Initial CP Conferences as a percentage of Section 47 Enquiries in year ending 31st March</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'Initial CP Conferences'!$AK$40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'Initial CP Conferences'!$AR$39:$AV$39</c:f>
              <c:numCache>
                <c:formatCode>General</c:formatCode>
                <c:ptCount val="5"/>
                <c:pt idx="0">
                  <c:v>2014</c:v>
                </c:pt>
                <c:pt idx="1">
                  <c:v>2015</c:v>
                </c:pt>
                <c:pt idx="2">
                  <c:v>2016</c:v>
                </c:pt>
                <c:pt idx="3">
                  <c:v>2017</c:v>
                </c:pt>
                <c:pt idx="4">
                  <c:v>2018</c:v>
                </c:pt>
              </c:numCache>
            </c:numRef>
          </c:cat>
          <c:val>
            <c:numRef>
              <c:f>'Initial CP Conferences'!$AR$40:$AV$40</c:f>
              <c:numCache>
                <c:formatCode>0.0%</c:formatCode>
                <c:ptCount val="5"/>
                <c:pt idx="0">
                  <c:v>0.41176470588235292</c:v>
                </c:pt>
                <c:pt idx="1">
                  <c:v>0.38717339667458434</c:v>
                </c:pt>
                <c:pt idx="2">
                  <c:v>0.40101522842639592</c:v>
                </c:pt>
                <c:pt idx="3">
                  <c:v>0.46607142857142858</c:v>
                </c:pt>
                <c:pt idx="4">
                  <c:v>0.37183544303797467</c:v>
                </c:pt>
              </c:numCache>
            </c:numRef>
          </c:val>
          <c:smooth val="0"/>
        </c:ser>
        <c:ser>
          <c:idx val="1"/>
          <c:order val="1"/>
          <c:tx>
            <c:strRef>
              <c:f>'Initial CP Conferences'!$AK$41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Conferences'!$AR$41:$AV$41</c:f>
              <c:numCache>
                <c:formatCode>0.0%</c:formatCode>
                <c:ptCount val="5"/>
                <c:pt idx="0">
                  <c:v>0.50353773584905659</c:v>
                </c:pt>
                <c:pt idx="1">
                  <c:v>0.45472061657032753</c:v>
                </c:pt>
                <c:pt idx="2">
                  <c:v>0.4759405074365704</c:v>
                </c:pt>
                <c:pt idx="3">
                  <c:v>0.54577056778679023</c:v>
                </c:pt>
                <c:pt idx="4">
                  <c:v>0.54721274175199086</c:v>
                </c:pt>
              </c:numCache>
            </c:numRef>
          </c:val>
          <c:smooth val="0"/>
        </c:ser>
        <c:ser>
          <c:idx val="2"/>
          <c:order val="2"/>
          <c:tx>
            <c:strRef>
              <c:f>'Initial CP Conferences'!$AK$42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Conferences'!$AR$42:$AV$42</c:f>
              <c:numCache>
                <c:formatCode>0.0%</c:formatCode>
                <c:ptCount val="5"/>
                <c:pt idx="0">
                  <c:v>0.36978579481397972</c:v>
                </c:pt>
                <c:pt idx="1">
                  <c:v>0.29067121729237771</c:v>
                </c:pt>
                <c:pt idx="2">
                  <c:v>0.3892931392931393</c:v>
                </c:pt>
                <c:pt idx="3">
                  <c:v>0.33618012422360249</c:v>
                </c:pt>
                <c:pt idx="4">
                  <c:v>0.34870550161812297</c:v>
                </c:pt>
              </c:numCache>
            </c:numRef>
          </c:val>
          <c:smooth val="0"/>
        </c:ser>
        <c:ser>
          <c:idx val="5"/>
          <c:order val="3"/>
          <c:tx>
            <c:strRef>
              <c:f>'Initial CP Conferences'!$AK$43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Conferences'!$AR$43:$AV$43</c:f>
              <c:numCache>
                <c:formatCode>0.0%</c:formatCode>
                <c:ptCount val="5"/>
                <c:pt idx="0">
                  <c:v>0.46554252199413487</c:v>
                </c:pt>
                <c:pt idx="1">
                  <c:v>0.62814070351758799</c:v>
                </c:pt>
                <c:pt idx="2">
                  <c:v>0.55645161290322576</c:v>
                </c:pt>
                <c:pt idx="3">
                  <c:v>0.55634427684117127</c:v>
                </c:pt>
                <c:pt idx="4">
                  <c:v>0.53298350824587704</c:v>
                </c:pt>
              </c:numCache>
            </c:numRef>
          </c:val>
          <c:smooth val="0"/>
        </c:ser>
        <c:ser>
          <c:idx val="9"/>
          <c:order val="4"/>
          <c:tx>
            <c:strRef>
              <c:f>'Initial CP Conferences'!$AK$44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Conferences'!$AR$44:$AV$44</c:f>
              <c:numCache>
                <c:formatCode>0.0%</c:formatCode>
                <c:ptCount val="5"/>
                <c:pt idx="0">
                  <c:v>0.55426497277676956</c:v>
                </c:pt>
                <c:pt idx="1">
                  <c:v>0.45727882327492969</c:v>
                </c:pt>
                <c:pt idx="2">
                  <c:v>0.45432807269249165</c:v>
                </c:pt>
                <c:pt idx="3">
                  <c:v>0.44383756827356924</c:v>
                </c:pt>
                <c:pt idx="4">
                  <c:v>0.46409989594172735</c:v>
                </c:pt>
              </c:numCache>
            </c:numRef>
          </c:val>
          <c:smooth val="0"/>
        </c:ser>
        <c:ser>
          <c:idx val="10"/>
          <c:order val="5"/>
          <c:tx>
            <c:strRef>
              <c:f>'Initial CP Conferences'!$AK$45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Conferences'!$AR$45:$AV$45</c:f>
              <c:numCache>
                <c:formatCode>0.0%</c:formatCode>
                <c:ptCount val="5"/>
                <c:pt idx="0">
                  <c:v>0.50297029702970297</c:v>
                </c:pt>
                <c:pt idx="1">
                  <c:v>0.4506849315068493</c:v>
                </c:pt>
                <c:pt idx="2">
                  <c:v>0.55473372781065089</c:v>
                </c:pt>
                <c:pt idx="3">
                  <c:v>0.52459016393442626</c:v>
                </c:pt>
                <c:pt idx="4">
                  <c:v>0.48653500897666069</c:v>
                </c:pt>
              </c:numCache>
            </c:numRef>
          </c:val>
          <c:smooth val="0"/>
        </c:ser>
        <c:ser>
          <c:idx val="11"/>
          <c:order val="6"/>
          <c:tx>
            <c:strRef>
              <c:f>'Initial CP Conferences'!$AK$46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Conferences'!$AR$46:$AV$46</c:f>
              <c:numCache>
                <c:formatCode>0.0%</c:formatCode>
                <c:ptCount val="5"/>
                <c:pt idx="0">
                  <c:v>0.38975888640318168</c:v>
                </c:pt>
                <c:pt idx="1">
                  <c:v>0.4117242958552782</c:v>
                </c:pt>
                <c:pt idx="2">
                  <c:v>0.3254201680672269</c:v>
                </c:pt>
                <c:pt idx="3">
                  <c:v>0.30533415082771304</c:v>
                </c:pt>
                <c:pt idx="4">
                  <c:v>0.28151461894871388</c:v>
                </c:pt>
              </c:numCache>
            </c:numRef>
          </c:val>
          <c:smooth val="0"/>
        </c:ser>
        <c:ser>
          <c:idx val="12"/>
          <c:order val="7"/>
          <c:tx>
            <c:strRef>
              <c:f>'Initial CP Conferences'!$AK$47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Conferences'!$AR$47:$AV$47</c:f>
              <c:numCache>
                <c:formatCode>0.0%</c:formatCode>
                <c:ptCount val="5"/>
                <c:pt idx="0">
                  <c:v>0.49597238204833144</c:v>
                </c:pt>
                <c:pt idx="1">
                  <c:v>0.40026420079260239</c:v>
                </c:pt>
                <c:pt idx="2">
                  <c:v>0.37216431637032493</c:v>
                </c:pt>
                <c:pt idx="3">
                  <c:v>0.32742537313432835</c:v>
                </c:pt>
                <c:pt idx="4">
                  <c:v>0.34123624047417445</c:v>
                </c:pt>
              </c:numCache>
            </c:numRef>
          </c:val>
          <c:smooth val="0"/>
        </c:ser>
        <c:ser>
          <c:idx val="13"/>
          <c:order val="8"/>
          <c:tx>
            <c:strRef>
              <c:f>'Initial CP Conferences'!$AK$48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Conferences'!$AR$48:$AV$48</c:f>
              <c:numCache>
                <c:formatCode>0.0%</c:formatCode>
                <c:ptCount val="5"/>
                <c:pt idx="0">
                  <c:v>0.13721804511278196</c:v>
                </c:pt>
                <c:pt idx="1">
                  <c:v>0.2118491921005386</c:v>
                </c:pt>
                <c:pt idx="2">
                  <c:v>0.210896309314587</c:v>
                </c:pt>
                <c:pt idx="3">
                  <c:v>0.18943298969072164</c:v>
                </c:pt>
                <c:pt idx="4">
                  <c:v>0.31362007168458783</c:v>
                </c:pt>
              </c:numCache>
            </c:numRef>
          </c:val>
          <c:smooth val="0"/>
        </c:ser>
        <c:ser>
          <c:idx val="15"/>
          <c:order val="9"/>
          <c:tx>
            <c:strRef>
              <c:f>'Initial CP Conferences'!$AK$49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Conferences'!$AR$49:$AV$49</c:f>
              <c:numCache>
                <c:formatCode>0.0%</c:formatCode>
                <c:ptCount val="5"/>
                <c:pt idx="0">
                  <c:v>0.39001264222503162</c:v>
                </c:pt>
                <c:pt idx="1">
                  <c:v>0.45719720989220036</c:v>
                </c:pt>
                <c:pt idx="2">
                  <c:v>0.41738197424892703</c:v>
                </c:pt>
                <c:pt idx="3">
                  <c:v>0.47767393561786087</c:v>
                </c:pt>
                <c:pt idx="4">
                  <c:v>0.48642659279778394</c:v>
                </c:pt>
              </c:numCache>
            </c:numRef>
          </c:val>
          <c:smooth val="0"/>
        </c:ser>
        <c:ser>
          <c:idx val="16"/>
          <c:order val="10"/>
          <c:tx>
            <c:strRef>
              <c:f>'Initial CP Conferences'!$AK$50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Conferences'!$AR$50:$AV$50</c:f>
              <c:numCache>
                <c:formatCode>0.0%</c:formatCode>
                <c:ptCount val="5"/>
                <c:pt idx="0">
                  <c:v>0.26509723643807576</c:v>
                </c:pt>
                <c:pt idx="1">
                  <c:v>0.26598702502316962</c:v>
                </c:pt>
                <c:pt idx="2">
                  <c:v>0.29268292682926828</c:v>
                </c:pt>
                <c:pt idx="3">
                  <c:v>0.24112903225806451</c:v>
                </c:pt>
                <c:pt idx="4">
                  <c:v>0.30146341463414633</c:v>
                </c:pt>
              </c:numCache>
            </c:numRef>
          </c:val>
          <c:smooth val="0"/>
        </c:ser>
        <c:ser>
          <c:idx val="17"/>
          <c:order val="11"/>
          <c:tx>
            <c:strRef>
              <c:f>'Initial CP Conferences'!$AK$51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Conferences'!$AR$51:$AV$51</c:f>
              <c:numCache>
                <c:formatCode>0.0%</c:formatCode>
                <c:ptCount val="5"/>
                <c:pt idx="0">
                  <c:v>0.4111310592459605</c:v>
                </c:pt>
                <c:pt idx="1">
                  <c:v>0.51986183074265979</c:v>
                </c:pt>
                <c:pt idx="2">
                  <c:v>0.44193216855087358</c:v>
                </c:pt>
                <c:pt idx="3">
                  <c:v>0.48440366972477067</c:v>
                </c:pt>
                <c:pt idx="4">
                  <c:v>0.49404761904761907</c:v>
                </c:pt>
              </c:numCache>
            </c:numRef>
          </c:val>
          <c:smooth val="0"/>
        </c:ser>
        <c:ser>
          <c:idx val="19"/>
          <c:order val="12"/>
          <c:tx>
            <c:strRef>
              <c:f>'Initial CP Conferences'!$AK$52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Conferences'!$AR$52:$AV$52</c:f>
              <c:numCache>
                <c:formatCode>0.0%</c:formatCode>
                <c:ptCount val="5"/>
                <c:pt idx="0">
                  <c:v>0.43722466960352424</c:v>
                </c:pt>
                <c:pt idx="1">
                  <c:v>0.4068157614483493</c:v>
                </c:pt>
                <c:pt idx="2">
                  <c:v>0.39</c:v>
                </c:pt>
                <c:pt idx="3">
                  <c:v>0.38584474885844749</c:v>
                </c:pt>
                <c:pt idx="4">
                  <c:v>0.38700564971751411</c:v>
                </c:pt>
              </c:numCache>
            </c:numRef>
          </c:val>
          <c:smooth val="0"/>
        </c:ser>
        <c:ser>
          <c:idx val="3"/>
          <c:order val="13"/>
          <c:tx>
            <c:strRef>
              <c:f>'Initial CP Conferences'!$AK$53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Conferences'!$AR$53:$AV$53</c:f>
              <c:numCache>
                <c:formatCode>0.0%</c:formatCode>
                <c:ptCount val="5"/>
                <c:pt idx="0">
                  <c:v>0.35493827160493829</c:v>
                </c:pt>
                <c:pt idx="1">
                  <c:v>0.34639882410583045</c:v>
                </c:pt>
                <c:pt idx="2">
                  <c:v>0.36854279105628374</c:v>
                </c:pt>
                <c:pt idx="3">
                  <c:v>0.41915028535193405</c:v>
                </c:pt>
                <c:pt idx="4">
                  <c:v>0.3832570307390451</c:v>
                </c:pt>
              </c:numCache>
            </c:numRef>
          </c:val>
          <c:smooth val="0"/>
        </c:ser>
        <c:ser>
          <c:idx val="20"/>
          <c:order val="14"/>
          <c:tx>
            <c:strRef>
              <c:f>'Initial CP Conferences'!$AK$54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Conferences'!$AR$54:$AV$54</c:f>
              <c:numCache>
                <c:formatCode>0.0%</c:formatCode>
                <c:ptCount val="5"/>
                <c:pt idx="0">
                  <c:v>0.2977491961414791</c:v>
                </c:pt>
                <c:pt idx="1">
                  <c:v>0.23349056603773585</c:v>
                </c:pt>
                <c:pt idx="2">
                  <c:v>0.29396186440677968</c:v>
                </c:pt>
                <c:pt idx="3">
                  <c:v>0.34245562130177515</c:v>
                </c:pt>
                <c:pt idx="4">
                  <c:v>0.30378250591016548</c:v>
                </c:pt>
              </c:numCache>
            </c:numRef>
          </c:val>
          <c:smooth val="0"/>
        </c:ser>
        <c:ser>
          <c:idx val="22"/>
          <c:order val="15"/>
          <c:tx>
            <c:strRef>
              <c:f>'Initial CP Conferences'!$AK$55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Conferences'!$AR$55:$AV$55</c:f>
              <c:numCache>
                <c:formatCode>0.0%</c:formatCode>
                <c:ptCount val="5"/>
                <c:pt idx="0">
                  <c:v>0.42928134556574926</c:v>
                </c:pt>
                <c:pt idx="1">
                  <c:v>0.37623152709359609</c:v>
                </c:pt>
                <c:pt idx="2">
                  <c:v>0.27177545110269546</c:v>
                </c:pt>
                <c:pt idx="3">
                  <c:v>0.316776007497657</c:v>
                </c:pt>
                <c:pt idx="4">
                  <c:v>0.35654261704681872</c:v>
                </c:pt>
              </c:numCache>
            </c:numRef>
          </c:val>
          <c:smooth val="0"/>
        </c:ser>
        <c:ser>
          <c:idx val="7"/>
          <c:order val="16"/>
          <c:tx>
            <c:strRef>
              <c:f>'Initial CP Conferences'!$AK$56</c:f>
              <c:strCache>
                <c:ptCount val="1"/>
                <c:pt idx="0">
                  <c:v>Swindon</c:v>
                </c:pt>
              </c:strCache>
            </c:strRef>
          </c:tx>
          <c:spPr>
            <a:ln w="15875"/>
          </c:spPr>
          <c:marker>
            <c:symbol val="triangle"/>
            <c:size val="5"/>
            <c:spPr>
              <a:solidFill>
                <a:schemeClr val="accent2">
                  <a:lumMod val="20000"/>
                  <a:lumOff val="80000"/>
                </a:schemeClr>
              </a:solidFill>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Conferences'!$AR$56:$AV$56</c:f>
              <c:numCache>
                <c:formatCode>0.0%</c:formatCode>
                <c:ptCount val="5"/>
                <c:pt idx="0">
                  <c:v>0.59152215799614638</c:v>
                </c:pt>
                <c:pt idx="1">
                  <c:v>0.53184165232358005</c:v>
                </c:pt>
                <c:pt idx="2">
                  <c:v>0.4516971279373368</c:v>
                </c:pt>
                <c:pt idx="3">
                  <c:v>0.42156862745098039</c:v>
                </c:pt>
                <c:pt idx="4">
                  <c:v>0.56607495069033531</c:v>
                </c:pt>
              </c:numCache>
            </c:numRef>
          </c:val>
          <c:smooth val="0"/>
        </c:ser>
        <c:ser>
          <c:idx val="8"/>
          <c:order val="17"/>
          <c:tx>
            <c:strRef>
              <c:f>'Initial CP Conferences'!$AK$57</c:f>
              <c:strCache>
                <c:ptCount val="1"/>
                <c:pt idx="0">
                  <c:v>Torbay</c:v>
                </c:pt>
              </c:strCache>
            </c:strRef>
          </c:tx>
          <c:spPr>
            <a:ln w="15875"/>
          </c:spPr>
          <c:marker>
            <c:symbol val="circle"/>
            <c:size val="5"/>
            <c:spPr>
              <a:solidFill>
                <a:schemeClr val="accent3">
                  <a:lumMod val="20000"/>
                  <a:lumOff val="80000"/>
                </a:schemeClr>
              </a:solidFill>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Conferences'!$AR$57:$AV$57</c:f>
              <c:numCache>
                <c:formatCode>0.0%</c:formatCode>
                <c:ptCount val="5"/>
                <c:pt idx="0">
                  <c:v>0.40204678362573099</c:v>
                </c:pt>
                <c:pt idx="1">
                  <c:v>0.43396226415094341</c:v>
                </c:pt>
                <c:pt idx="2">
                  <c:v>0.41191381495564006</c:v>
                </c:pt>
                <c:pt idx="3">
                  <c:v>0.47631578947368419</c:v>
                </c:pt>
                <c:pt idx="4">
                  <c:v>0.52312138728323698</c:v>
                </c:pt>
              </c:numCache>
            </c:numRef>
          </c:val>
          <c:smooth val="0"/>
        </c:ser>
        <c:ser>
          <c:idx val="23"/>
          <c:order val="18"/>
          <c:tx>
            <c:strRef>
              <c:f>'Initial CP Conferences'!$AK$58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Conferences'!$AR$58:$AV$58</c:f>
              <c:numCache>
                <c:formatCode>0.0%</c:formatCode>
                <c:ptCount val="5"/>
                <c:pt idx="0">
                  <c:v>0.40306122448979592</c:v>
                </c:pt>
                <c:pt idx="1">
                  <c:v>0.41733870967741937</c:v>
                </c:pt>
                <c:pt idx="2">
                  <c:v>0.37267080745341613</c:v>
                </c:pt>
                <c:pt idx="3">
                  <c:v>0.44846292947558769</c:v>
                </c:pt>
                <c:pt idx="4">
                  <c:v>0.44283413848631242</c:v>
                </c:pt>
              </c:numCache>
            </c:numRef>
          </c:val>
          <c:smooth val="0"/>
        </c:ser>
        <c:ser>
          <c:idx val="24"/>
          <c:order val="19"/>
          <c:tx>
            <c:strRef>
              <c:f>'Initial CP Conferences'!$AK$59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Conferences'!$AR$59:$AV$59</c:f>
              <c:numCache>
                <c:formatCode>0.0%</c:formatCode>
                <c:ptCount val="5"/>
                <c:pt idx="0">
                  <c:v>0.41566985645933013</c:v>
                </c:pt>
                <c:pt idx="1">
                  <c:v>0.43933265925176945</c:v>
                </c:pt>
                <c:pt idx="2">
                  <c:v>0.37174515235457062</c:v>
                </c:pt>
                <c:pt idx="3">
                  <c:v>0.31350852927616413</c:v>
                </c:pt>
                <c:pt idx="4">
                  <c:v>0.3593073593073593</c:v>
                </c:pt>
              </c:numCache>
            </c:numRef>
          </c:val>
          <c:smooth val="0"/>
        </c:ser>
        <c:ser>
          <c:idx val="25"/>
          <c:order val="20"/>
          <c:tx>
            <c:strRef>
              <c:f>'Initial CP Conferences'!$AK$60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Conferences'!$AR$60:$AV$60</c:f>
              <c:numCache>
                <c:formatCode>0.0%</c:formatCode>
                <c:ptCount val="5"/>
                <c:pt idx="0">
                  <c:v>0.26943005181347152</c:v>
                </c:pt>
                <c:pt idx="1">
                  <c:v>0.28615384615384615</c:v>
                </c:pt>
                <c:pt idx="2">
                  <c:v>0.45766590389016021</c:v>
                </c:pt>
                <c:pt idx="3">
                  <c:v>0.42450765864332601</c:v>
                </c:pt>
                <c:pt idx="4">
                  <c:v>0.3914285714285714</c:v>
                </c:pt>
              </c:numCache>
            </c:numRef>
          </c:val>
          <c:smooth val="0"/>
        </c:ser>
        <c:ser>
          <c:idx val="26"/>
          <c:order val="21"/>
          <c:tx>
            <c:strRef>
              <c:f>'Initial CP Conferences'!$AK$61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Conferences'!$AR$61:$AV$61</c:f>
              <c:numCache>
                <c:formatCode>0.0%</c:formatCode>
                <c:ptCount val="5"/>
                <c:pt idx="0">
                  <c:v>0.46564885496183206</c:v>
                </c:pt>
                <c:pt idx="1">
                  <c:v>0.27272727272727271</c:v>
                </c:pt>
                <c:pt idx="2">
                  <c:v>0.41907514450867051</c:v>
                </c:pt>
                <c:pt idx="3">
                  <c:v>0.33840304182509506</c:v>
                </c:pt>
                <c:pt idx="4">
                  <c:v>0.38428874734607221</c:v>
                </c:pt>
              </c:numCache>
            </c:numRef>
          </c:val>
          <c:smooth val="0"/>
        </c:ser>
        <c:ser>
          <c:idx val="4"/>
          <c:order val="22"/>
          <c:tx>
            <c:strRef>
              <c:f>'Initial CP Conferences'!$AK$62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Conferences'!$AR$62:$AV$62</c:f>
              <c:numCache>
                <c:formatCode>0.0%</c:formatCode>
                <c:ptCount val="5"/>
                <c:pt idx="0">
                  <c:v>0.41467650890143293</c:v>
                </c:pt>
                <c:pt idx="1">
                  <c:v>0.39790209790209791</c:v>
                </c:pt>
                <c:pt idx="2">
                  <c:v>0.37238903394255873</c:v>
                </c:pt>
                <c:pt idx="3">
                  <c:v>0.37280986372485397</c:v>
                </c:pt>
                <c:pt idx="4">
                  <c:v>0.37746913580246916</c:v>
                </c:pt>
              </c:numCache>
            </c:numRef>
          </c:val>
          <c:smooth val="0"/>
        </c:ser>
        <c:ser>
          <c:idx val="14"/>
          <c:order val="23"/>
          <c:tx>
            <c:strRef>
              <c:f>'Initial CP Conferences'!$AK$63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Conferences'!$AR$63:$AV$63</c:f>
              <c:numCache>
                <c:formatCode>0.0%</c:formatCode>
                <c:ptCount val="5"/>
                <c:pt idx="0">
                  <c:v>0.45750578987999158</c:v>
                </c:pt>
                <c:pt idx="1">
                  <c:v>0.44589447393068998</c:v>
                </c:pt>
                <c:pt idx="2">
                  <c:v>0.42399442799930348</c:v>
                </c:pt>
                <c:pt idx="3">
                  <c:v>0.41482879482340251</c:v>
                </c:pt>
                <c:pt idx="4">
                  <c:v>0.40118128123580193</c:v>
                </c:pt>
              </c:numCache>
            </c:numRef>
          </c:val>
          <c:smooth val="0"/>
        </c:ser>
        <c:ser>
          <c:idx val="6"/>
          <c:order val="24"/>
          <c:tx>
            <c:strRef>
              <c:f>'Initial CP Conferences'!$AK$64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'Initial CP Conferences'!$AR$39:$AV$39</c:f>
              <c:numCache>
                <c:formatCode>General</c:formatCode>
                <c:ptCount val="5"/>
                <c:pt idx="0">
                  <c:v>2014</c:v>
                </c:pt>
                <c:pt idx="1">
                  <c:v>2015</c:v>
                </c:pt>
                <c:pt idx="2">
                  <c:v>2016</c:v>
                </c:pt>
                <c:pt idx="3">
                  <c:v>2017</c:v>
                </c:pt>
                <c:pt idx="4">
                  <c:v>2018</c:v>
                </c:pt>
              </c:numCache>
            </c:numRef>
          </c:cat>
          <c:val>
            <c:numRef>
              <c:f>'Initial CP Conferences'!$AR$64:$AV$64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8727424"/>
        <c:axId val="228737792"/>
      </c:lineChart>
      <c:catAx>
        <c:axId val="228727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737792"/>
        <c:crosses val="autoZero"/>
        <c:auto val="1"/>
        <c:lblAlgn val="ctr"/>
        <c:lblOffset val="100"/>
        <c:tickLblSkip val="1"/>
        <c:tickMarkSkip val="1"/>
        <c:noMultiLvlLbl val="0"/>
      </c:catAx>
      <c:valAx>
        <c:axId val="22873779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727424"/>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 Protection Plans </a:t>
            </a:r>
            <a:r>
              <a:rPr lang="en-GB"/>
              <a:t>vs. IDACI</a:t>
            </a:r>
          </a:p>
        </c:rich>
      </c:tx>
      <c:layout>
        <c:manualLayout>
          <c:xMode val="edge"/>
          <c:yMode val="edge"/>
          <c:x val="0.2264459250286022"/>
          <c:y val="3.6125811358121193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'Child Protection Plans'!$X$67</c:f>
              <c:strCache>
                <c:ptCount val="1"/>
                <c:pt idx="0">
                  <c:v>National Trend 2016</c:v>
                </c:pt>
              </c:strCache>
            </c:strRef>
          </c:tx>
          <c:spPr>
            <a:ln w="15875">
              <a:solidFill>
                <a:schemeClr val="tx1">
                  <a:lumMod val="75000"/>
                  <a:lumOff val="25000"/>
                </a:schemeClr>
              </a:solidFill>
            </a:ln>
          </c:spPr>
          <c:marker>
            <c:symbol val="none"/>
          </c:marker>
          <c:dLbls>
            <c:dLbl>
              <c:idx val="0"/>
              <c:delete val="1"/>
            </c:dLbl>
            <c:dLbl>
              <c:idx val="1"/>
              <c:layout>
                <c:manualLayout>
                  <c:x val="6.2305295950155761E-3"/>
                  <c:y val="1.1931391679404445E-2"/>
                </c:manualLayout>
              </c:layout>
              <c:tx>
                <c:strRef>
                  <c:f>'Child Protection Plans'!$AC$67</c:f>
                  <c:strCache>
                    <c:ptCount val="1"/>
                    <c:pt idx="0">
                      <c:v>r² = 0.191</c:v>
                    </c:pt>
                  </c:strCache>
                </c:strRef>
              </c:tx>
              <c:spPr/>
              <c:txPr>
                <a:bodyPr/>
                <a:lstStyle/>
                <a:p>
                  <a:pPr>
                    <a:defRPr sz="900"/>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xVal>
            <c:numRef>
              <c:f>'Child Protection Plans'!$AA$67:$AA$68</c:f>
              <c:numCache>
                <c:formatCode>General</c:formatCode>
                <c:ptCount val="2"/>
                <c:pt idx="0" formatCode="#,##0.0">
                  <c:v>5</c:v>
                </c:pt>
                <c:pt idx="1">
                  <c:v>30</c:v>
                </c:pt>
              </c:numCache>
            </c:numRef>
          </c:xVal>
          <c:yVal>
            <c:numRef>
              <c:f>'Child Protection Plans'!$AB$67:$AB$68</c:f>
              <c:numCache>
                <c:formatCode>0.0</c:formatCode>
                <c:ptCount val="2"/>
                <c:pt idx="0">
                  <c:v>29.413792187644628</c:v>
                </c:pt>
                <c:pt idx="1">
                  <c:v>59.198839751460781</c:v>
                </c:pt>
              </c:numCache>
            </c:numRef>
          </c:yVal>
          <c:smooth val="1"/>
        </c:ser>
        <c:dLbls>
          <c:showLegendKey val="0"/>
          <c:showVal val="0"/>
          <c:showCatName val="0"/>
          <c:showSerName val="0"/>
          <c:showPercent val="0"/>
          <c:showBubbleSize val="0"/>
        </c:dLbls>
        <c:axId val="228034048"/>
        <c:axId val="228035968"/>
      </c:scatterChart>
      <c:scatterChart>
        <c:scatterStyle val="lineMarker"/>
        <c:varyColors val="0"/>
        <c:ser>
          <c:idx val="0"/>
          <c:order val="0"/>
          <c:tx>
            <c:strRef>
              <c:f>'Child Protection Plans'!$AQ$37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1.0266199242577195E-2"/>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0.17325746869053957"/>
                  <c:y val="-2.3486991494890641E-7"/>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22681080948"/>
                  <c:y val="-7.7934535178346125E-3"/>
                </c:manualLayout>
              </c:layout>
              <c:tx>
                <c:rich>
                  <a:bodyPr/>
                  <a:lstStyle/>
                  <a:p>
                    <a:r>
                      <a:rPr lang="en-US"/>
                      <a:t>Buckinghamshire</a:t>
                    </a:r>
                  </a:p>
                </c:rich>
              </c:tx>
              <c:dLblPos val="r"/>
              <c:showLegendKey val="0"/>
              <c:showVal val="0"/>
              <c:showCatName val="1"/>
              <c:showSerName val="0"/>
              <c:showPercent val="0"/>
              <c:showBubbleSize val="0"/>
            </c:dLbl>
            <c:dLbl>
              <c:idx val="3"/>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dLblPos val="r"/>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dLblPos val="r"/>
              <c:showLegendKey val="0"/>
              <c:showVal val="0"/>
              <c:showCatName val="1"/>
              <c:showSerName val="0"/>
              <c:showPercent val="0"/>
              <c:showBubbleSize val="0"/>
            </c:dLbl>
            <c:dLbl>
              <c:idx val="8"/>
              <c:layout>
                <c:manualLayout>
                  <c:x val="-0.15322455322455322"/>
                  <c:y val="0"/>
                </c:manualLayout>
              </c:layout>
              <c:tx>
                <c:rich>
                  <a:bodyPr/>
                  <a:lstStyle/>
                  <a:p>
                    <a:r>
                      <a:rPr lang="en-US"/>
                      <a:t>Milton Keynes</a:t>
                    </a:r>
                  </a:p>
                </c:rich>
              </c:tx>
              <c:dLblPos val="r"/>
              <c:showLegendKey val="0"/>
              <c:showVal val="0"/>
              <c:showCatName val="1"/>
              <c:showSerName val="0"/>
              <c:showPercent val="0"/>
              <c:showBubbleSize val="0"/>
            </c:dLbl>
            <c:dLbl>
              <c:idx val="9"/>
              <c:layout/>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layout>
                <c:manualLayout>
                  <c:x val="-0.10878010878010884"/>
                  <c:y val="0"/>
                </c:manualLayout>
              </c:layout>
              <c:tx>
                <c:rich>
                  <a:bodyPr/>
                  <a:lstStyle/>
                  <a:p>
                    <a:r>
                      <a:rPr lang="en-US"/>
                      <a:t>Reading</a:t>
                    </a:r>
                  </a:p>
                </c:rich>
              </c:tx>
              <c:dLblPos val="r"/>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manualLayout>
                  <c:x val="-5.2057828435781188E-3"/>
                  <c:y val="8.9485437595533332E-3"/>
                </c:manualLayout>
              </c:layout>
              <c:tx>
                <c:rich>
                  <a:bodyPr/>
                  <a:lstStyle/>
                  <a:p>
                    <a:r>
                      <a:rPr lang="en-US"/>
                      <a:t>Southampton</a:t>
                    </a:r>
                  </a:p>
                </c:rich>
              </c:tx>
              <c:dLblPos val="r"/>
              <c:showLegendKey val="0"/>
              <c:showVal val="0"/>
              <c:showCatName val="1"/>
              <c:showSerName val="0"/>
              <c:showPercent val="0"/>
              <c:showBubbleSize val="0"/>
            </c:dLbl>
            <c:dLbl>
              <c:idx val="14"/>
              <c:layout/>
              <c:tx>
                <c:rich>
                  <a:bodyPr/>
                  <a:lstStyle/>
                  <a:p>
                    <a:r>
                      <a:rPr lang="en-US"/>
                      <a:t>Surrey</a:t>
                    </a:r>
                  </a:p>
                </c:rich>
              </c:tx>
              <c:dLblPos val="l"/>
              <c:showLegendKey val="0"/>
              <c:showVal val="0"/>
              <c:showCatName val="1"/>
              <c:showSerName val="0"/>
              <c:showPercent val="0"/>
              <c:showBubbleSize val="0"/>
            </c:dLbl>
            <c:dLbl>
              <c:idx val="15"/>
              <c:layout/>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178936549015288"/>
                  <c:y val="-2.2551974363479044E-2"/>
                </c:manualLayout>
              </c:layout>
              <c:tx>
                <c:rich>
                  <a:bodyPr/>
                  <a:lstStyle/>
                  <a:p>
                    <a:r>
                      <a:rPr lang="en-US"/>
                      <a:t>Windsor &amp; Maidenhead</a:t>
                    </a:r>
                  </a:p>
                </c:rich>
              </c:tx>
              <c:dLblPos val="r"/>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('Child Protection Plans'!$AQ$40:$AQ$52,'Child Protection Plans'!$AQ$54:$AQ$55,'Child Protection Plans'!$AQ$58:$AQ$61)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('Child Protection Plans'!$AP$40:$AP$52,'Child Protection Plans'!$AP$54:$AP$55,'Child Protection Plans'!$AP$58:$AP$61)</c:f>
              <c:numCache>
                <c:formatCode>0.0</c:formatCode>
                <c:ptCount val="19"/>
                <c:pt idx="0">
                  <c:v>37.4051512236828</c:v>
                </c:pt>
                <c:pt idx="1">
                  <c:v>77.479845432612152</c:v>
                </c:pt>
                <c:pt idx="2">
                  <c:v>51.838309973593333</c:v>
                </c:pt>
                <c:pt idx="3">
                  <c:v>52.807770286199251</c:v>
                </c:pt>
                <c:pt idx="4">
                  <c:v>45.673704793974181</c:v>
                </c:pt>
                <c:pt idx="5">
                  <c:v>77.030532827778885</c:v>
                </c:pt>
                <c:pt idx="6">
                  <c:v>43.500252908447145</c:v>
                </c:pt>
                <c:pt idx="7">
                  <c:v>53.797913766948689</c:v>
                </c:pt>
                <c:pt idx="8">
                  <c:v>15.373926412109924</c:v>
                </c:pt>
                <c:pt idx="9">
                  <c:v>47.893254510470989</c:v>
                </c:pt>
                <c:pt idx="10">
                  <c:v>64.717595944967414</c:v>
                </c:pt>
                <c:pt idx="11">
                  <c:v>78.181867198662829</c:v>
                </c:pt>
                <c:pt idx="12">
                  <c:v>38.169748696064481</c:v>
                </c:pt>
                <c:pt idx="13">
                  <c:v>64.407116588808265</c:v>
                </c:pt>
                <c:pt idx="14">
                  <c:v>38.262807091680912</c:v>
                </c:pt>
                <c:pt idx="15">
                  <c:v>46.940486169321034</c:v>
                </c:pt>
                <c:pt idx="16">
                  <c:v>44.725041983829733</c:v>
                </c:pt>
                <c:pt idx="17">
                  <c:v>21.541686073591059</c:v>
                </c:pt>
                <c:pt idx="18">
                  <c:v>32.55645703064441</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layout/>
              <c:tx>
                <c:rich>
                  <a:bodyPr/>
                  <a:lstStyle/>
                  <a:p>
                    <a:r>
                      <a:rPr lang="en-GB"/>
                      <a:t>Somerset</a:t>
                    </a:r>
                  </a:p>
                </c:rich>
              </c:tx>
              <c:showLegendKey val="0"/>
              <c:showVal val="0"/>
              <c:showCatName val="0"/>
              <c:showSerName val="1"/>
              <c:showPercent val="0"/>
              <c:showBubbleSize val="0"/>
            </c:dLbl>
            <c:dLbl>
              <c:idx val="1"/>
              <c:layout/>
              <c:tx>
                <c:rich>
                  <a:bodyPr/>
                  <a:lstStyle/>
                  <a:p>
                    <a:r>
                      <a:rPr lang="en-GB"/>
                      <a:t>Swindon</a:t>
                    </a:r>
                  </a:p>
                </c:rich>
              </c:tx>
              <c:dLblPos val="l"/>
              <c:showLegendKey val="0"/>
              <c:showVal val="0"/>
              <c:showCatName val="0"/>
              <c:showSerName val="1"/>
              <c:showPercent val="0"/>
              <c:showBubbleSize val="0"/>
            </c:dLbl>
            <c:dLbl>
              <c:idx val="2"/>
              <c:layout/>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('Child Protection Plans'!$AQ$53,'Child Protection Plans'!$AQ$56,'Child Protection Plans'!$AQ$57)</c:f>
              <c:numCache>
                <c:formatCode>0.0</c:formatCode>
                <c:ptCount val="3"/>
                <c:pt idx="0">
                  <c:v>14.8</c:v>
                </c:pt>
                <c:pt idx="1">
                  <c:v>17.2</c:v>
                </c:pt>
                <c:pt idx="2">
                  <c:v>24.1</c:v>
                </c:pt>
              </c:numCache>
            </c:numRef>
          </c:xVal>
          <c:yVal>
            <c:numRef>
              <c:f>('Child Protection Plans'!$AP$53,'Child Protection Plans'!$AP$56,'Child Protection Plans'!$AP$57)</c:f>
              <c:numCache>
                <c:formatCode>0.0</c:formatCode>
                <c:ptCount val="3"/>
                <c:pt idx="0">
                  <c:v>38.879401184549977</c:v>
                </c:pt>
                <c:pt idx="1">
                  <c:v>72.510215527601957</c:v>
                </c:pt>
                <c:pt idx="2">
                  <c:v>55.474682299248535</c:v>
                </c:pt>
              </c:numCache>
            </c:numRef>
          </c:yVal>
          <c:smooth val="0"/>
        </c:ser>
        <c:ser>
          <c:idx val="1"/>
          <c:order val="2"/>
          <c:tx>
            <c:strRef>
              <c:f>'Child Protection Plans'!$Z$4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 Protection Plans'!$Y$40</c:f>
              <c:numCache>
                <c:formatCode>0.00</c:formatCode>
                <c:ptCount val="1"/>
                <c:pt idx="0">
                  <c:v>#N/A</c:v>
                </c:pt>
              </c:numCache>
            </c:numRef>
          </c:xVal>
          <c:yVal>
            <c:numRef>
              <c:f>'Child Protection Plans'!$Z$40</c:f>
              <c:numCache>
                <c:formatCode>0.00</c:formatCode>
                <c:ptCount val="1"/>
                <c:pt idx="0">
                  <c:v>#N/A</c:v>
                </c:pt>
              </c:numCache>
            </c:numRef>
          </c:yVal>
          <c:smooth val="0"/>
        </c:ser>
        <c:ser>
          <c:idx val="2"/>
          <c:order val="3"/>
          <c:tx>
            <c:strRef>
              <c:f>'Child Protection Plans'!$X$65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4.3706919812593519E-3"/>
                  <c:y val="-2.7782292499476242E-2"/>
                </c:manualLayout>
              </c:layout>
              <c:tx>
                <c:rich>
                  <a:bodyPr/>
                  <a:lstStyle/>
                  <a:p>
                    <a:r>
                      <a:rPr lang="en-US" sz="900">
                        <a:solidFill>
                          <a:srgbClr val="C00000"/>
                        </a:solidFill>
                      </a:rPr>
                      <a:t>r² = 0.2771</a:t>
                    </a:r>
                    <a:endParaRPr lang="en-US"/>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'Child Protection Plans'!$AA$65:$AA$66</c:f>
              <c:numCache>
                <c:formatCode>General</c:formatCode>
                <c:ptCount val="2"/>
                <c:pt idx="0" formatCode="#,##0.0">
                  <c:v>5</c:v>
                </c:pt>
                <c:pt idx="1">
                  <c:v>30</c:v>
                </c:pt>
              </c:numCache>
            </c:numRef>
          </c:xVal>
          <c:yVal>
            <c:numRef>
              <c:f>'Child Protection Plans'!$AB$65:$AB$66</c:f>
              <c:numCache>
                <c:formatCode>0.0</c:formatCode>
                <c:ptCount val="2"/>
                <c:pt idx="0">
                  <c:v>31.593499999999999</c:v>
                </c:pt>
                <c:pt idx="1">
                  <c:v>72.831000000000003</c:v>
                </c:pt>
              </c:numCache>
            </c:numRef>
          </c:yVal>
          <c:smooth val="0"/>
        </c:ser>
        <c:ser>
          <c:idx val="4"/>
          <c:order val="4"/>
          <c:tx>
            <c:strRef>
              <c:f>'Child Protection Plans'!$B$31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'Child Protection Plans'!$R$31</c:f>
              <c:numCache>
                <c:formatCode>0.0</c:formatCode>
                <c:ptCount val="1"/>
                <c:pt idx="0">
                  <c:v>14.45223640702325</c:v>
                </c:pt>
              </c:numCache>
            </c:numRef>
          </c:xVal>
          <c:yVal>
            <c:numRef>
              <c:f>'Child Protection Plans'!$O$31</c:f>
              <c:numCache>
                <c:formatCode>0.0</c:formatCode>
                <c:ptCount val="1"/>
                <c:pt idx="0">
                  <c:v>46.196623736730693</c:v>
                </c:pt>
              </c:numCache>
            </c:numRef>
          </c:yVal>
          <c:smooth val="0"/>
        </c:ser>
        <c:dLbls>
          <c:showLegendKey val="0"/>
          <c:showVal val="0"/>
          <c:showCatName val="0"/>
          <c:showSerName val="0"/>
          <c:showPercent val="0"/>
          <c:showBubbleSize val="0"/>
        </c:dLbls>
        <c:axId val="228034048"/>
        <c:axId val="228035968"/>
      </c:scatterChart>
      <c:valAx>
        <c:axId val="228034048"/>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035968"/>
        <c:crosses val="autoZero"/>
        <c:crossBetween val="midCat"/>
      </c:valAx>
      <c:valAx>
        <c:axId val="22803596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t>
                </a:r>
                <a:r>
                  <a:rPr lang="en-GB" sz="800" b="1" i="0" u="none" strike="noStrike" baseline="0">
                    <a:effectLst/>
                  </a:rPr>
                  <a:t>Child Protection Plans</a:t>
                </a:r>
                <a:r>
                  <a:rPr lang="en-GB" baseline="0"/>
                  <a:t> </a:t>
                </a:r>
                <a:r>
                  <a:rPr lang="en-GB"/>
                  <a:t>per 10,000 0-17 year olds</a:t>
                </a:r>
              </a:p>
            </c:rich>
          </c:tx>
          <c:layout>
            <c:manualLayout>
              <c:xMode val="edge"/>
              <c:yMode val="edge"/>
              <c:x val="4.1925738303691069E-2"/>
              <c:y val="0.185723854985677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03404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 Protection</a:t>
            </a:r>
            <a:r>
              <a:rPr lang="en-GB" baseline="0"/>
              <a:t> Plans</a:t>
            </a:r>
            <a:r>
              <a:rPr lang="en-GB"/>
              <a:t>,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4050498859185963"/>
        </c:manualLayout>
      </c:layout>
      <c:lineChart>
        <c:grouping val="standard"/>
        <c:varyColors val="0"/>
        <c:ser>
          <c:idx val="0"/>
          <c:order val="0"/>
          <c:tx>
            <c:strRef>
              <c:f>'Child Protection Plans'!$AK$40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Plans'!$D$8:$H$8</c:f>
              <c:numCache>
                <c:formatCode>General</c:formatCode>
                <c:ptCount val="5"/>
                <c:pt idx="0">
                  <c:v>2014</c:v>
                </c:pt>
                <c:pt idx="1">
                  <c:v>2015</c:v>
                </c:pt>
                <c:pt idx="2">
                  <c:v>2016</c:v>
                </c:pt>
                <c:pt idx="3">
                  <c:v>2017</c:v>
                </c:pt>
                <c:pt idx="4">
                  <c:v>2018</c:v>
                </c:pt>
              </c:numCache>
            </c:numRef>
          </c:cat>
          <c:val>
            <c:numRef>
              <c:f>'Child Protection Plans'!$AL$40:$AP$40</c:f>
              <c:numCache>
                <c:formatCode>0.0</c:formatCode>
                <c:ptCount val="5"/>
                <c:pt idx="0">
                  <c:v>39.852398523985237</c:v>
                </c:pt>
                <c:pt idx="1">
                  <c:v>43.884892086330929</c:v>
                </c:pt>
                <c:pt idx="2">
                  <c:v>40.780141843971627</c:v>
                </c:pt>
                <c:pt idx="3">
                  <c:v>62.468942997089513</c:v>
                </c:pt>
                <c:pt idx="4">
                  <c:v>37.4051512236828</c:v>
                </c:pt>
              </c:numCache>
            </c:numRef>
          </c:val>
          <c:smooth val="0"/>
        </c:ser>
        <c:ser>
          <c:idx val="1"/>
          <c:order val="1"/>
          <c:tx>
            <c:strRef>
              <c:f>'Child Protection Plans'!$AK$41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Plans'!$AL$41:$AP$41</c:f>
              <c:numCache>
                <c:formatCode>0.0</c:formatCode>
                <c:ptCount val="5"/>
                <c:pt idx="0">
                  <c:v>57.029702970297031</c:v>
                </c:pt>
                <c:pt idx="1">
                  <c:v>60.588235294117652</c:v>
                </c:pt>
                <c:pt idx="2">
                  <c:v>76.5625</c:v>
                </c:pt>
                <c:pt idx="3">
                  <c:v>71.566467112575808</c:v>
                </c:pt>
                <c:pt idx="4">
                  <c:v>77.479845432612152</c:v>
                </c:pt>
              </c:numCache>
            </c:numRef>
          </c:val>
          <c:smooth val="0"/>
        </c:ser>
        <c:ser>
          <c:idx val="2"/>
          <c:order val="2"/>
          <c:tx>
            <c:strRef>
              <c:f>'Child Protection Plans'!$AK$42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Plans'!$AL$42:$AP$42</c:f>
              <c:numCache>
                <c:formatCode>0.0</c:formatCode>
                <c:ptCount val="5"/>
                <c:pt idx="0">
                  <c:v>20.578231292517007</c:v>
                </c:pt>
                <c:pt idx="1">
                  <c:v>27.922624053826748</c:v>
                </c:pt>
                <c:pt idx="2">
                  <c:v>37.645107794361529</c:v>
                </c:pt>
                <c:pt idx="3">
                  <c:v>45.251830939814248</c:v>
                </c:pt>
                <c:pt idx="4">
                  <c:v>51.838309973593333</c:v>
                </c:pt>
              </c:numCache>
            </c:numRef>
          </c:val>
          <c:smooth val="0"/>
        </c:ser>
        <c:ser>
          <c:idx val="5"/>
          <c:order val="3"/>
          <c:tx>
            <c:strRef>
              <c:f>'Child Protection Plans'!$AK$43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Plans'!$AL$43:$AP$43</c:f>
              <c:numCache>
                <c:formatCode>0.0</c:formatCode>
                <c:ptCount val="5"/>
                <c:pt idx="0">
                  <c:v>58.492366412213741</c:v>
                </c:pt>
                <c:pt idx="1">
                  <c:v>44.497153700189756</c:v>
                </c:pt>
                <c:pt idx="2">
                  <c:v>43.059490084985839</c:v>
                </c:pt>
                <c:pt idx="3">
                  <c:v>44.843896037687756</c:v>
                </c:pt>
                <c:pt idx="4">
                  <c:v>52.807770286199251</c:v>
                </c:pt>
              </c:numCache>
            </c:numRef>
          </c:val>
          <c:smooth val="0"/>
        </c:ser>
        <c:ser>
          <c:idx val="9"/>
          <c:order val="4"/>
          <c:tx>
            <c:strRef>
              <c:f>'Child Protection Plans'!$AK$44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Plans'!$AL$44:$AP$44</c:f>
              <c:numCache>
                <c:formatCode>0.0</c:formatCode>
                <c:ptCount val="5"/>
                <c:pt idx="0">
                  <c:v>39.411138701667255</c:v>
                </c:pt>
                <c:pt idx="1">
                  <c:v>48.099467140319717</c:v>
                </c:pt>
                <c:pt idx="2">
                  <c:v>51.117417523944667</c:v>
                </c:pt>
                <c:pt idx="3">
                  <c:v>44.661958831787437</c:v>
                </c:pt>
                <c:pt idx="4">
                  <c:v>45.673704793974181</c:v>
                </c:pt>
              </c:numCache>
            </c:numRef>
          </c:val>
          <c:smooth val="0"/>
        </c:ser>
        <c:ser>
          <c:idx val="10"/>
          <c:order val="5"/>
          <c:tx>
            <c:strRef>
              <c:f>'Child Protection Plans'!$AK$45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Plans'!$AL$45:$AP$45</c:f>
              <c:numCache>
                <c:formatCode>0.0</c:formatCode>
                <c:ptCount val="5"/>
                <c:pt idx="0">
                  <c:v>63.565891472868216</c:v>
                </c:pt>
                <c:pt idx="1">
                  <c:v>99.607843137254903</c:v>
                </c:pt>
                <c:pt idx="2">
                  <c:v>84.584980237154156</c:v>
                </c:pt>
                <c:pt idx="3">
                  <c:v>78.968253968253975</c:v>
                </c:pt>
                <c:pt idx="4">
                  <c:v>77.030532827778885</c:v>
                </c:pt>
              </c:numCache>
            </c:numRef>
          </c:val>
          <c:smooth val="0"/>
        </c:ser>
        <c:ser>
          <c:idx val="11"/>
          <c:order val="6"/>
          <c:tx>
            <c:strRef>
              <c:f>'Child Protection Plans'!$AK$46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Plans'!$AL$46:$AP$46</c:f>
              <c:numCache>
                <c:formatCode>0.0</c:formatCode>
                <c:ptCount val="5"/>
                <c:pt idx="0">
                  <c:v>36.578624078624081</c:v>
                </c:pt>
                <c:pt idx="1">
                  <c:v>37.831251903746576</c:v>
                </c:pt>
                <c:pt idx="2">
                  <c:v>31.74939467312349</c:v>
                </c:pt>
                <c:pt idx="3">
                  <c:v>35.58077737242715</c:v>
                </c:pt>
                <c:pt idx="4">
                  <c:v>43.500252908447145</c:v>
                </c:pt>
              </c:numCache>
            </c:numRef>
          </c:val>
          <c:smooth val="0"/>
        </c:ser>
        <c:ser>
          <c:idx val="12"/>
          <c:order val="7"/>
          <c:tx>
            <c:strRef>
              <c:f>'Child Protection Plans'!$AK$47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Plans'!$AL$47:$AP$47</c:f>
              <c:numCache>
                <c:formatCode>0.0</c:formatCode>
                <c:ptCount val="5"/>
                <c:pt idx="0">
                  <c:v>58.116883116883123</c:v>
                </c:pt>
                <c:pt idx="1">
                  <c:v>76</c:v>
                </c:pt>
                <c:pt idx="2">
                  <c:v>85.284810126582272</c:v>
                </c:pt>
                <c:pt idx="3">
                  <c:v>49.138891941535711</c:v>
                </c:pt>
                <c:pt idx="4">
                  <c:v>53.797913766948689</c:v>
                </c:pt>
              </c:numCache>
            </c:numRef>
          </c:val>
          <c:smooth val="0"/>
        </c:ser>
        <c:ser>
          <c:idx val="13"/>
          <c:order val="8"/>
          <c:tx>
            <c:strRef>
              <c:f>'Child Protection Plans'!$AK$48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Plans'!$AL$48:$AP$48</c:f>
              <c:numCache>
                <c:formatCode>0.0</c:formatCode>
                <c:ptCount val="5"/>
                <c:pt idx="0">
                  <c:v>5.15625</c:v>
                </c:pt>
                <c:pt idx="1">
                  <c:v>8.7423312883435589</c:v>
                </c:pt>
                <c:pt idx="2">
                  <c:v>13.918305597579424</c:v>
                </c:pt>
                <c:pt idx="3">
                  <c:v>13.403627915289071</c:v>
                </c:pt>
                <c:pt idx="4">
                  <c:v>15.373926412109924</c:v>
                </c:pt>
              </c:numCache>
            </c:numRef>
          </c:val>
          <c:smooth val="0"/>
        </c:ser>
        <c:ser>
          <c:idx val="15"/>
          <c:order val="9"/>
          <c:tx>
            <c:strRef>
              <c:f>'Child Protection Plans'!$AK$49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Plans'!$AL$49:$AP$49</c:f>
              <c:numCache>
                <c:formatCode>0.0</c:formatCode>
                <c:ptCount val="5"/>
                <c:pt idx="0">
                  <c:v>35.923022095509623</c:v>
                </c:pt>
                <c:pt idx="1">
                  <c:v>40.297450424929174</c:v>
                </c:pt>
                <c:pt idx="2">
                  <c:v>40.267983074753175</c:v>
                </c:pt>
                <c:pt idx="3">
                  <c:v>42.618109547436269</c:v>
                </c:pt>
                <c:pt idx="4">
                  <c:v>47.893254510470989</c:v>
                </c:pt>
              </c:numCache>
            </c:numRef>
          </c:val>
          <c:smooth val="0"/>
        </c:ser>
        <c:ser>
          <c:idx val="16"/>
          <c:order val="10"/>
          <c:tx>
            <c:strRef>
              <c:f>'Child Protection Plans'!$AK$50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Plans'!$AL$50:$AP$50</c:f>
              <c:numCache>
                <c:formatCode>0.0</c:formatCode>
                <c:ptCount val="5"/>
                <c:pt idx="0">
                  <c:v>54.929577464788736</c:v>
                </c:pt>
                <c:pt idx="1">
                  <c:v>53.456221198156683</c:v>
                </c:pt>
                <c:pt idx="2">
                  <c:v>62.785388127853878</c:v>
                </c:pt>
                <c:pt idx="3">
                  <c:v>55</c:v>
                </c:pt>
                <c:pt idx="4">
                  <c:v>64.717595944967414</c:v>
                </c:pt>
              </c:numCache>
            </c:numRef>
          </c:val>
          <c:smooth val="0"/>
        </c:ser>
        <c:ser>
          <c:idx val="17"/>
          <c:order val="11"/>
          <c:tx>
            <c:strRef>
              <c:f>'Child Protection Plans'!$AK$51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Plans'!$AL$51:$AP$51</c:f>
              <c:numCache>
                <c:formatCode>0.0</c:formatCode>
                <c:ptCount val="5"/>
                <c:pt idx="0">
                  <c:v>44.380403458213252</c:v>
                </c:pt>
                <c:pt idx="1">
                  <c:v>56.824512534818943</c:v>
                </c:pt>
                <c:pt idx="2">
                  <c:v>69.230769230769226</c:v>
                </c:pt>
                <c:pt idx="3">
                  <c:v>95.248492126306601</c:v>
                </c:pt>
                <c:pt idx="4">
                  <c:v>78.181867198662829</c:v>
                </c:pt>
              </c:numCache>
            </c:numRef>
          </c:val>
          <c:smooth val="0"/>
        </c:ser>
        <c:ser>
          <c:idx val="19"/>
          <c:order val="12"/>
          <c:tx>
            <c:strRef>
              <c:f>'Child Protection Plans'!$AK$52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Plans'!$AL$52:$AP$52</c:f>
              <c:numCache>
                <c:formatCode>0.0</c:formatCode>
                <c:ptCount val="5"/>
                <c:pt idx="0">
                  <c:v>65.552699228791781</c:v>
                </c:pt>
                <c:pt idx="1">
                  <c:v>28.07017543859649</c:v>
                </c:pt>
                <c:pt idx="2">
                  <c:v>56.650246305418719</c:v>
                </c:pt>
                <c:pt idx="3">
                  <c:v>36.951166497609044</c:v>
                </c:pt>
                <c:pt idx="4">
                  <c:v>38.169748696064481</c:v>
                </c:pt>
              </c:numCache>
            </c:numRef>
          </c:val>
          <c:smooth val="0"/>
        </c:ser>
        <c:ser>
          <c:idx val="3"/>
          <c:order val="13"/>
          <c:tx>
            <c:strRef>
              <c:f>'Child Protection Plans'!$AK$53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Plans'!$AL$53:$AP$53</c:f>
              <c:numCache>
                <c:formatCode>0.0</c:formatCode>
                <c:ptCount val="5"/>
                <c:pt idx="0">
                  <c:v>37.867647058823529</c:v>
                </c:pt>
                <c:pt idx="1">
                  <c:v>47.933884297520663</c:v>
                </c:pt>
                <c:pt idx="2">
                  <c:v>25.641025641025642</c:v>
                </c:pt>
                <c:pt idx="3">
                  <c:v>37.66289429767366</c:v>
                </c:pt>
                <c:pt idx="4">
                  <c:v>38.879401184549977</c:v>
                </c:pt>
              </c:numCache>
            </c:numRef>
          </c:val>
          <c:smooth val="0"/>
        </c:ser>
        <c:ser>
          <c:idx val="20"/>
          <c:order val="14"/>
          <c:tx>
            <c:strRef>
              <c:f>'Child Protection Plans'!$AK$54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Plans'!$AL$54:$AP$54</c:f>
              <c:numCache>
                <c:formatCode>0.0</c:formatCode>
                <c:ptCount val="5"/>
                <c:pt idx="0">
                  <c:v>49.789029535864984</c:v>
                </c:pt>
                <c:pt idx="1">
                  <c:v>66.666666666666671</c:v>
                </c:pt>
                <c:pt idx="2">
                  <c:v>67.682926829268297</c:v>
                </c:pt>
                <c:pt idx="3">
                  <c:v>55.309512835414118</c:v>
                </c:pt>
                <c:pt idx="4">
                  <c:v>64.407116588808265</c:v>
                </c:pt>
              </c:numCache>
            </c:numRef>
          </c:val>
          <c:smooth val="0"/>
        </c:ser>
        <c:ser>
          <c:idx val="22"/>
          <c:order val="15"/>
          <c:tx>
            <c:strRef>
              <c:f>'Child Protection Plans'!$AK$55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Plans'!$AL$55:$AP$55</c:f>
              <c:numCache>
                <c:formatCode>0.0</c:formatCode>
                <c:ptCount val="5"/>
                <c:pt idx="0">
                  <c:v>36.706349206349209</c:v>
                </c:pt>
                <c:pt idx="1">
                  <c:v>39.080911233307155</c:v>
                </c:pt>
                <c:pt idx="2">
                  <c:v>34.360374414976597</c:v>
                </c:pt>
                <c:pt idx="3">
                  <c:v>32.548388217715129</c:v>
                </c:pt>
                <c:pt idx="4">
                  <c:v>38.262807091680912</c:v>
                </c:pt>
              </c:numCache>
            </c:numRef>
          </c:val>
          <c:smooth val="0"/>
        </c:ser>
        <c:ser>
          <c:idx val="7"/>
          <c:order val="16"/>
          <c:tx>
            <c:strRef>
              <c:f>'Child Protection Plans'!$AK$56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'Child Protection Plans'!$AL$56:$AP$56</c:f>
              <c:numCache>
                <c:formatCode>0.0</c:formatCode>
                <c:ptCount val="5"/>
                <c:pt idx="0">
                  <c:v>44.676409185803763</c:v>
                </c:pt>
                <c:pt idx="1">
                  <c:v>43.827160493827158</c:v>
                </c:pt>
                <c:pt idx="2">
                  <c:v>48.571428571428569</c:v>
                </c:pt>
                <c:pt idx="3">
                  <c:v>49.330799401560796</c:v>
                </c:pt>
                <c:pt idx="4">
                  <c:v>72.510215527601957</c:v>
                </c:pt>
              </c:numCache>
            </c:numRef>
          </c:val>
          <c:smooth val="0"/>
        </c:ser>
        <c:ser>
          <c:idx val="8"/>
          <c:order val="17"/>
          <c:tx>
            <c:strRef>
              <c:f>'Child Protection Plans'!$AK$57</c:f>
              <c:strCache>
                <c:ptCount val="1"/>
                <c:pt idx="0">
                  <c:v>Torbay</c:v>
                </c:pt>
              </c:strCache>
            </c:strRef>
          </c:tx>
          <c:spPr>
            <a:ln w="15875"/>
          </c:spPr>
          <c:marker>
            <c:symbol val="circle"/>
            <c:size val="5"/>
            <c:spPr>
              <a:solidFill>
                <a:schemeClr val="accent3">
                  <a:lumMod val="20000"/>
                  <a:lumOff val="80000"/>
                </a:schemeClr>
              </a:solidFill>
            </c:spPr>
          </c:marker>
          <c:val>
            <c:numRef>
              <c:f>'Child Protection Plans'!$AL$57:$AP$57</c:f>
              <c:numCache>
                <c:formatCode>0.0</c:formatCode>
                <c:ptCount val="5"/>
                <c:pt idx="0">
                  <c:v>66.935483870967744</c:v>
                </c:pt>
                <c:pt idx="1">
                  <c:v>60.159362549800797</c:v>
                </c:pt>
                <c:pt idx="2">
                  <c:v>51.587301587301589</c:v>
                </c:pt>
                <c:pt idx="3">
                  <c:v>83.553383517912735</c:v>
                </c:pt>
                <c:pt idx="4">
                  <c:v>55.474682299248535</c:v>
                </c:pt>
              </c:numCache>
            </c:numRef>
          </c:val>
          <c:smooth val="0"/>
        </c:ser>
        <c:ser>
          <c:idx val="23"/>
          <c:order val="18"/>
          <c:tx>
            <c:strRef>
              <c:f>'Child Protection Plans'!$AK$58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Plans'!$AL$58:$AP$58</c:f>
              <c:numCache>
                <c:formatCode>0.0</c:formatCode>
                <c:ptCount val="5"/>
                <c:pt idx="0">
                  <c:v>29.971988795518207</c:v>
                </c:pt>
                <c:pt idx="1">
                  <c:v>35.393258426966291</c:v>
                </c:pt>
                <c:pt idx="2">
                  <c:v>40.616246498599445</c:v>
                </c:pt>
                <c:pt idx="3">
                  <c:v>43.13823717681111</c:v>
                </c:pt>
                <c:pt idx="4">
                  <c:v>46.940486169321034</c:v>
                </c:pt>
              </c:numCache>
            </c:numRef>
          </c:val>
          <c:smooth val="0"/>
        </c:ser>
        <c:ser>
          <c:idx val="24"/>
          <c:order val="19"/>
          <c:tx>
            <c:strRef>
              <c:f>'Child Protection Plans'!$AK$59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Plans'!$AL$59:$AP$59</c:f>
              <c:numCache>
                <c:formatCode>0.0</c:formatCode>
                <c:ptCount val="5"/>
                <c:pt idx="0">
                  <c:v>29.281437125748504</c:v>
                </c:pt>
                <c:pt idx="1">
                  <c:v>29.739336492890995</c:v>
                </c:pt>
                <c:pt idx="2">
                  <c:v>24.471830985915492</c:v>
                </c:pt>
                <c:pt idx="3">
                  <c:v>31.96301838019108</c:v>
                </c:pt>
                <c:pt idx="4">
                  <c:v>44.725041983829733</c:v>
                </c:pt>
              </c:numCache>
            </c:numRef>
          </c:val>
          <c:smooth val="0"/>
        </c:ser>
        <c:ser>
          <c:idx val="25"/>
          <c:order val="20"/>
          <c:tx>
            <c:strRef>
              <c:f>'Child Protection Plans'!$AK$60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Plans'!$AL$60:$AP$60</c:f>
              <c:numCache>
                <c:formatCode>0.0</c:formatCode>
                <c:ptCount val="5"/>
                <c:pt idx="0">
                  <c:v>26.726726726726728</c:v>
                </c:pt>
                <c:pt idx="1">
                  <c:v>19.161676646706585</c:v>
                </c:pt>
                <c:pt idx="2">
                  <c:v>43.026706231454007</c:v>
                </c:pt>
                <c:pt idx="3">
                  <c:v>41.257022471910112</c:v>
                </c:pt>
                <c:pt idx="4">
                  <c:v>21.541686073591059</c:v>
                </c:pt>
              </c:numCache>
            </c:numRef>
          </c:val>
          <c:smooth val="0"/>
        </c:ser>
        <c:ser>
          <c:idx val="26"/>
          <c:order val="21"/>
          <c:tx>
            <c:strRef>
              <c:f>'Child Protection Plans'!$AK$61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Plans'!$AL$61:$AP$61</c:f>
              <c:numCache>
                <c:formatCode>0.0</c:formatCode>
                <c:ptCount val="5"/>
                <c:pt idx="0">
                  <c:v>26.243093922651934</c:v>
                </c:pt>
                <c:pt idx="1">
                  <c:v>13.008130081300813</c:v>
                </c:pt>
                <c:pt idx="2">
                  <c:v>17.426273458445039</c:v>
                </c:pt>
                <c:pt idx="3">
                  <c:v>12.099213551119178</c:v>
                </c:pt>
                <c:pt idx="4">
                  <c:v>32.55645703064441</c:v>
                </c:pt>
              </c:numCache>
            </c:numRef>
          </c:val>
          <c:smooth val="0"/>
        </c:ser>
        <c:ser>
          <c:idx val="4"/>
          <c:order val="22"/>
          <c:tx>
            <c:strRef>
              <c:f>'Child Protection Plans'!$AK$62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Plans'!$AL$62:$AP$62</c:f>
              <c:numCache>
                <c:formatCode>0.0</c:formatCode>
                <c:ptCount val="5"/>
                <c:pt idx="0">
                  <c:v>38.138647445410221</c:v>
                </c:pt>
                <c:pt idx="1">
                  <c:v>40.962083814725347</c:v>
                </c:pt>
                <c:pt idx="2">
                  <c:v>42.072884625410566</c:v>
                </c:pt>
                <c:pt idx="3">
                  <c:v>41.278858344717776</c:v>
                </c:pt>
                <c:pt idx="4">
                  <c:v>46.196623736730693</c:v>
                </c:pt>
              </c:numCache>
            </c:numRef>
          </c:val>
          <c:smooth val="0"/>
        </c:ser>
        <c:ser>
          <c:idx val="14"/>
          <c:order val="23"/>
          <c:tx>
            <c:strRef>
              <c:f>'Child Protection Plans'!$AK$63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'Child Protection Plans'!$AL$63:$AP$63</c:f>
              <c:numCache>
                <c:formatCode>0.0</c:formatCode>
                <c:ptCount val="5"/>
                <c:pt idx="0">
                  <c:v>42.077202519405169</c:v>
                </c:pt>
                <c:pt idx="1">
                  <c:v>42.875505749803743</c:v>
                </c:pt>
                <c:pt idx="2">
                  <c:v>43.081375932316604</c:v>
                </c:pt>
                <c:pt idx="3">
                  <c:v>43.342214188092477</c:v>
                </c:pt>
                <c:pt idx="4">
                  <c:v>45.327542688492088</c:v>
                </c:pt>
              </c:numCache>
            </c:numRef>
          </c:val>
          <c:smooth val="0"/>
        </c:ser>
        <c:ser>
          <c:idx val="6"/>
          <c:order val="24"/>
          <c:tx>
            <c:strRef>
              <c:f>'Child Protection Plans'!$AK$64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'Child Protection Plans'!$D$8:$H$8</c:f>
              <c:numCache>
                <c:formatCode>General</c:formatCode>
                <c:ptCount val="5"/>
                <c:pt idx="0">
                  <c:v>2014</c:v>
                </c:pt>
                <c:pt idx="1">
                  <c:v>2015</c:v>
                </c:pt>
                <c:pt idx="2">
                  <c:v>2016</c:v>
                </c:pt>
                <c:pt idx="3">
                  <c:v>2017</c:v>
                </c:pt>
                <c:pt idx="4">
                  <c:v>2018</c:v>
                </c:pt>
              </c:numCache>
            </c:numRef>
          </c:cat>
          <c:val>
            <c:numRef>
              <c:f>'Child Protection Plans'!$AL$64:$AP$64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7916416"/>
        <c:axId val="238813568"/>
      </c:lineChart>
      <c:catAx>
        <c:axId val="2279164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8813568"/>
        <c:crosses val="autoZero"/>
        <c:auto val="1"/>
        <c:lblAlgn val="ctr"/>
        <c:lblOffset val="100"/>
        <c:tickLblSkip val="1"/>
        <c:tickMarkSkip val="1"/>
        <c:noMultiLvlLbl val="0"/>
      </c:catAx>
      <c:valAx>
        <c:axId val="2388135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791641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 Protection Plans </a:t>
            </a:r>
            <a:r>
              <a:rPr lang="en-GB"/>
              <a:t>(Selected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'Child Protection Plans'!$Z$4</c:f>
              <c:strCache>
                <c:ptCount val="1"/>
                <c:pt idx="0">
                  <c:v>Selected LA- (none)</c:v>
                </c:pt>
              </c:strCache>
            </c:strRef>
          </c:tx>
          <c:spPr>
            <a:solidFill>
              <a:srgbClr val="66FF99"/>
            </a:solidFill>
            <a:ln>
              <a:solidFill>
                <a:schemeClr val="tx1">
                  <a:lumMod val="75000"/>
                  <a:lumOff val="25000"/>
                </a:schemeClr>
              </a:solidFill>
            </a:ln>
          </c:spPr>
          <c:invertIfNegative val="0"/>
          <c:val>
            <c:numRef>
              <c:f>'Child Protection Plans'!$X$70:$AB$70</c:f>
              <c:numCache>
                <c:formatCode>0.0</c:formatCode>
                <c:ptCount val="5"/>
                <c:pt idx="0">
                  <c:v>#N/A</c:v>
                </c:pt>
                <c:pt idx="1">
                  <c:v>#N/A</c:v>
                </c:pt>
                <c:pt idx="2">
                  <c:v>#N/A</c:v>
                </c:pt>
                <c:pt idx="3">
                  <c:v>#N/A</c:v>
                </c:pt>
                <c:pt idx="4">
                  <c:v>#N/A</c:v>
                </c:pt>
              </c:numCache>
            </c:numRef>
          </c:val>
        </c:ser>
        <c:ser>
          <c:idx val="4"/>
          <c:order val="1"/>
          <c:tx>
            <c:strRef>
              <c:f>'Child Protection Plans'!$B$31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'Child Protection Plans'!$K$8:$O$8</c:f>
              <c:numCache>
                <c:formatCode>General</c:formatCode>
                <c:ptCount val="5"/>
                <c:pt idx="0">
                  <c:v>2014</c:v>
                </c:pt>
                <c:pt idx="1">
                  <c:v>2015</c:v>
                </c:pt>
                <c:pt idx="2">
                  <c:v>2016</c:v>
                </c:pt>
                <c:pt idx="3">
                  <c:v>2017</c:v>
                </c:pt>
                <c:pt idx="4">
                  <c:v>2018</c:v>
                </c:pt>
              </c:numCache>
            </c:numRef>
          </c:cat>
          <c:val>
            <c:numRef>
              <c:f>'Child Protection Plans'!$K$31:$O$31</c:f>
              <c:numCache>
                <c:formatCode>0.0</c:formatCode>
                <c:ptCount val="5"/>
                <c:pt idx="0">
                  <c:v>38.138647445410221</c:v>
                </c:pt>
                <c:pt idx="1">
                  <c:v>40.962083814725347</c:v>
                </c:pt>
                <c:pt idx="2">
                  <c:v>42.072884625410566</c:v>
                </c:pt>
                <c:pt idx="3">
                  <c:v>41.278858344717776</c:v>
                </c:pt>
                <c:pt idx="4">
                  <c:v>46.196623736730693</c:v>
                </c:pt>
              </c:numCache>
            </c:numRef>
          </c:val>
        </c:ser>
        <c:ser>
          <c:idx val="0"/>
          <c:order val="2"/>
          <c:tx>
            <c:strRef>
              <c:f>'Child Protection Plans'!$B$32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'Child Protection Plans'!$K$32:$O$32</c:f>
              <c:numCache>
                <c:formatCode>0.0</c:formatCode>
                <c:ptCount val="5"/>
                <c:pt idx="0">
                  <c:v>42.077202519405169</c:v>
                </c:pt>
                <c:pt idx="1">
                  <c:v>42.875505749803743</c:v>
                </c:pt>
                <c:pt idx="2">
                  <c:v>43.081375932316604</c:v>
                </c:pt>
                <c:pt idx="3">
                  <c:v>43.342214188092477</c:v>
                </c:pt>
                <c:pt idx="4">
                  <c:v>45.327542688492088</c:v>
                </c:pt>
              </c:numCache>
            </c:numRef>
          </c:val>
        </c:ser>
        <c:dLbls>
          <c:showLegendKey val="0"/>
          <c:showVal val="0"/>
          <c:showCatName val="0"/>
          <c:showSerName val="0"/>
          <c:showPercent val="0"/>
          <c:showBubbleSize val="0"/>
        </c:dLbls>
        <c:gapWidth val="100"/>
        <c:axId val="238835968"/>
        <c:axId val="238850048"/>
      </c:barChart>
      <c:catAx>
        <c:axId val="238835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8850048"/>
        <c:crosses val="autoZero"/>
        <c:auto val="1"/>
        <c:lblAlgn val="ctr"/>
        <c:lblOffset val="100"/>
        <c:noMultiLvlLbl val="0"/>
      </c:catAx>
      <c:valAx>
        <c:axId val="2388500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8835968"/>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New CPP</a:t>
            </a:r>
            <a:r>
              <a:rPr lang="en-GB" sz="900" baseline="0"/>
              <a:t> 2nd/ Subsequent</a:t>
            </a:r>
            <a:endParaRPr lang="en-GB" sz="900"/>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2557264957264955"/>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'Child Protection Plans'!$Z$4</c:f>
              <c:strCache>
                <c:ptCount val="1"/>
                <c:pt idx="0">
                  <c:v>Selected LA- (none)</c:v>
                </c:pt>
              </c:strCache>
            </c:strRef>
          </c:tx>
          <c:spPr>
            <a:solidFill>
              <a:srgbClr val="66FF99"/>
            </a:solidFill>
            <a:ln>
              <a:solidFill>
                <a:schemeClr val="tx1">
                  <a:lumMod val="75000"/>
                  <a:lumOff val="25000"/>
                </a:schemeClr>
              </a:solidFill>
            </a:ln>
          </c:spPr>
          <c:invertIfNegative val="0"/>
          <c:cat>
            <c:numRef>
              <c:f>'Child Protection Plans'!$K$8:$O$8</c:f>
              <c:numCache>
                <c:formatCode>General</c:formatCode>
                <c:ptCount val="5"/>
                <c:pt idx="0">
                  <c:v>2014</c:v>
                </c:pt>
                <c:pt idx="1">
                  <c:v>2015</c:v>
                </c:pt>
                <c:pt idx="2">
                  <c:v>2016</c:v>
                </c:pt>
                <c:pt idx="3">
                  <c:v>2017</c:v>
                </c:pt>
                <c:pt idx="4">
                  <c:v>2018</c:v>
                </c:pt>
              </c:numCache>
            </c:numRef>
          </c:cat>
          <c:val>
            <c:numRef>
              <c:f>'Child Protection Plans'!$AW$64:$BA$64</c:f>
              <c:numCache>
                <c:formatCode>0%</c:formatCode>
                <c:ptCount val="5"/>
                <c:pt idx="0">
                  <c:v>#N/A</c:v>
                </c:pt>
                <c:pt idx="1">
                  <c:v>#N/A</c:v>
                </c:pt>
                <c:pt idx="2">
                  <c:v>#N/A</c:v>
                </c:pt>
                <c:pt idx="3">
                  <c:v>#N/A</c:v>
                </c:pt>
                <c:pt idx="4">
                  <c:v>#N/A</c:v>
                </c:pt>
              </c:numCache>
            </c:numRef>
          </c:val>
        </c:ser>
        <c:ser>
          <c:idx val="4"/>
          <c:order val="1"/>
          <c:tx>
            <c:strRef>
              <c:f>'Child Protection Plans'!$B$167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'Child Protection Plans'!$K$8:$O$8</c:f>
              <c:numCache>
                <c:formatCode>General</c:formatCode>
                <c:ptCount val="5"/>
                <c:pt idx="0">
                  <c:v>2014</c:v>
                </c:pt>
                <c:pt idx="1">
                  <c:v>2015</c:v>
                </c:pt>
                <c:pt idx="2">
                  <c:v>2016</c:v>
                </c:pt>
                <c:pt idx="3">
                  <c:v>2017</c:v>
                </c:pt>
                <c:pt idx="4">
                  <c:v>2018</c:v>
                </c:pt>
              </c:numCache>
            </c:numRef>
          </c:cat>
          <c:val>
            <c:numRef>
              <c:f>'Child Protection Plans'!$D$167:$H$167</c:f>
              <c:numCache>
                <c:formatCode>0%</c:formatCode>
                <c:ptCount val="5"/>
                <c:pt idx="0">
                  <c:v>0.18703358208955223</c:v>
                </c:pt>
                <c:pt idx="1">
                  <c:v>0.17023445463812437</c:v>
                </c:pt>
                <c:pt idx="2">
                  <c:v>0.20675537359263049</c:v>
                </c:pt>
                <c:pt idx="3">
                  <c:v>0.2223360655737705</c:v>
                </c:pt>
                <c:pt idx="4">
                  <c:v>0.22592945662535749</c:v>
                </c:pt>
              </c:numCache>
            </c:numRef>
          </c:val>
        </c:ser>
        <c:ser>
          <c:idx val="0"/>
          <c:order val="2"/>
          <c:tx>
            <c:strRef>
              <c:f>'Child Protection Plans'!$B$168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'Child Protection Plans'!$D$168:$H$168</c:f>
              <c:numCache>
                <c:formatCode>0%</c:formatCode>
                <c:ptCount val="5"/>
                <c:pt idx="0">
                  <c:v>0.15807962529274006</c:v>
                </c:pt>
                <c:pt idx="1">
                  <c:v>0.16572898247870119</c:v>
                </c:pt>
                <c:pt idx="2">
                  <c:v>0.17927657558047702</c:v>
                </c:pt>
                <c:pt idx="3">
                  <c:v>0.18702002710435175</c:v>
                </c:pt>
                <c:pt idx="4">
                  <c:v>0.20212301875817945</c:v>
                </c:pt>
              </c:numCache>
            </c:numRef>
          </c:val>
        </c:ser>
        <c:dLbls>
          <c:showLegendKey val="0"/>
          <c:showVal val="0"/>
          <c:showCatName val="0"/>
          <c:showSerName val="0"/>
          <c:showPercent val="0"/>
          <c:showBubbleSize val="0"/>
        </c:dLbls>
        <c:gapWidth val="100"/>
        <c:axId val="239572480"/>
        <c:axId val="239574016"/>
      </c:barChart>
      <c:catAx>
        <c:axId val="23957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574016"/>
        <c:crosses val="autoZero"/>
        <c:auto val="1"/>
        <c:lblAlgn val="ctr"/>
        <c:lblOffset val="100"/>
        <c:noMultiLvlLbl val="0"/>
      </c:catAx>
      <c:valAx>
        <c:axId val="23957401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57248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effectLst/>
              </a:rPr>
              <a:t>% Children who became the subject of a CP Plan for a second or subsequent time</a:t>
            </a:r>
            <a:endParaRPr lang="en-GB"/>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'Child Protection Plans'!$AK$40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Plans'!$AW$39:$BA$39</c:f>
              <c:numCache>
                <c:formatCode>General</c:formatCode>
                <c:ptCount val="5"/>
                <c:pt idx="0">
                  <c:v>2014</c:v>
                </c:pt>
                <c:pt idx="1">
                  <c:v>2015</c:v>
                </c:pt>
                <c:pt idx="2">
                  <c:v>2016</c:v>
                </c:pt>
                <c:pt idx="3">
                  <c:v>2017</c:v>
                </c:pt>
                <c:pt idx="4">
                  <c:v>2018</c:v>
                </c:pt>
              </c:numCache>
            </c:numRef>
          </c:cat>
          <c:val>
            <c:numRef>
              <c:f>'Child Protection Plans'!$AW$40:$BA$40</c:f>
              <c:numCache>
                <c:formatCode>0.0%</c:formatCode>
                <c:ptCount val="5"/>
                <c:pt idx="0">
                  <c:v>0.128</c:v>
                </c:pt>
                <c:pt idx="1">
                  <c:v>0.1388888888888889</c:v>
                </c:pt>
                <c:pt idx="2">
                  <c:v>0.24822695035460993</c:v>
                </c:pt>
                <c:pt idx="3">
                  <c:v>0.26146788990825687</c:v>
                </c:pt>
                <c:pt idx="4">
                  <c:v>0.17751479289940827</c:v>
                </c:pt>
              </c:numCache>
            </c:numRef>
          </c:val>
          <c:smooth val="0"/>
        </c:ser>
        <c:ser>
          <c:idx val="1"/>
          <c:order val="1"/>
          <c:tx>
            <c:strRef>
              <c:f>'Child Protection Plans'!$AK$41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Plans'!$AW$41:$BA$41</c:f>
              <c:numCache>
                <c:formatCode>0.0%</c:formatCode>
                <c:ptCount val="5"/>
                <c:pt idx="0">
                  <c:v>0.27478753541076489</c:v>
                </c:pt>
                <c:pt idx="1">
                  <c:v>0.21832884097035041</c:v>
                </c:pt>
                <c:pt idx="2">
                  <c:v>0.25517241379310346</c:v>
                </c:pt>
                <c:pt idx="3">
                  <c:v>0.21897810218978103</c:v>
                </c:pt>
                <c:pt idx="4">
                  <c:v>0.23820754716981132</c:v>
                </c:pt>
              </c:numCache>
            </c:numRef>
          </c:val>
          <c:smooth val="0"/>
        </c:ser>
        <c:ser>
          <c:idx val="2"/>
          <c:order val="2"/>
          <c:tx>
            <c:strRef>
              <c:f>'Child Protection Plans'!$AK$42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Plans'!$AW$42:$BA$42</c:f>
              <c:numCache>
                <c:formatCode>0.0%</c:formatCode>
                <c:ptCount val="5"/>
                <c:pt idx="0">
                  <c:v>0.2226027397260274</c:v>
                </c:pt>
                <c:pt idx="1">
                  <c:v>0.16816143497757849</c:v>
                </c:pt>
                <c:pt idx="2">
                  <c:v>0.19281045751633988</c:v>
                </c:pt>
                <c:pt idx="3">
                  <c:v>0.14344827586206896</c:v>
                </c:pt>
                <c:pt idx="4">
                  <c:v>0.18784530386740331</c:v>
                </c:pt>
              </c:numCache>
            </c:numRef>
          </c:val>
          <c:smooth val="0"/>
        </c:ser>
        <c:ser>
          <c:idx val="5"/>
          <c:order val="3"/>
          <c:tx>
            <c:strRef>
              <c:f>'Child Protection Plans'!$AK$43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Plans'!$AW$43:$BA$43</c:f>
              <c:numCache>
                <c:formatCode>0.0%</c:formatCode>
                <c:ptCount val="5"/>
                <c:pt idx="0">
                  <c:v>0.19618055555555555</c:v>
                </c:pt>
                <c:pt idx="1">
                  <c:v>0.20446096654275092</c:v>
                </c:pt>
                <c:pt idx="2">
                  <c:v>0.24943820224719102</c:v>
                </c:pt>
                <c:pt idx="3">
                  <c:v>0.28298279158699807</c:v>
                </c:pt>
                <c:pt idx="4">
                  <c:v>0.25</c:v>
                </c:pt>
              </c:numCache>
            </c:numRef>
          </c:val>
          <c:smooth val="0"/>
        </c:ser>
        <c:ser>
          <c:idx val="9"/>
          <c:order val="4"/>
          <c:tx>
            <c:strRef>
              <c:f>'Child Protection Plans'!$AK$44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Plans'!$AW$44:$BA$44</c:f>
              <c:numCache>
                <c:formatCode>0.0%</c:formatCode>
                <c:ptCount val="5"/>
                <c:pt idx="0">
                  <c:v>0.17388059701492536</c:v>
                </c:pt>
                <c:pt idx="1">
                  <c:v>0.1632208922742111</c:v>
                </c:pt>
                <c:pt idx="2">
                  <c:v>0.20095693779904306</c:v>
                </c:pt>
                <c:pt idx="3">
                  <c:v>0.24273072060682679</c:v>
                </c:pt>
                <c:pt idx="4">
                  <c:v>0.23046875</c:v>
                </c:pt>
              </c:numCache>
            </c:numRef>
          </c:val>
          <c:smooth val="0"/>
        </c:ser>
        <c:ser>
          <c:idx val="10"/>
          <c:order val="5"/>
          <c:tx>
            <c:strRef>
              <c:f>'Child Protection Plans'!$AK$45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Plans'!$AW$45:$BA$45</c:f>
              <c:numCache>
                <c:formatCode>0.0%</c:formatCode>
                <c:ptCount val="5"/>
                <c:pt idx="0">
                  <c:v>0.14634146341463414</c:v>
                </c:pt>
                <c:pt idx="1">
                  <c:v>0.15438596491228071</c:v>
                </c:pt>
                <c:pt idx="2">
                  <c:v>0.14726027397260275</c:v>
                </c:pt>
                <c:pt idx="3">
                  <c:v>0.20779220779220781</c:v>
                </c:pt>
                <c:pt idx="4">
                  <c:v>0.23287671232876711</c:v>
                </c:pt>
              </c:numCache>
            </c:numRef>
          </c:val>
          <c:smooth val="0"/>
        </c:ser>
        <c:ser>
          <c:idx val="11"/>
          <c:order val="6"/>
          <c:tx>
            <c:strRef>
              <c:f>'Child Protection Plans'!$AK$46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Plans'!$AW$46:$BA$46</c:f>
              <c:numCache>
                <c:formatCode>0.0%</c:formatCode>
                <c:ptCount val="5"/>
                <c:pt idx="0">
                  <c:v>0.18113975576662145</c:v>
                </c:pt>
                <c:pt idx="1">
                  <c:v>0.18411330049261085</c:v>
                </c:pt>
                <c:pt idx="2">
                  <c:v>0.20090978013646701</c:v>
                </c:pt>
                <c:pt idx="3">
                  <c:v>0.19384615384615383</c:v>
                </c:pt>
                <c:pt idx="4">
                  <c:v>0.20397690827453496</c:v>
                </c:pt>
              </c:numCache>
            </c:numRef>
          </c:val>
          <c:smooth val="0"/>
        </c:ser>
        <c:ser>
          <c:idx val="12"/>
          <c:order val="7"/>
          <c:tx>
            <c:strRef>
              <c:f>'Child Protection Plans'!$AK$47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Plans'!$AW$47:$BA$47</c:f>
              <c:numCache>
                <c:formatCode>0.0%</c:formatCode>
                <c:ptCount val="5"/>
                <c:pt idx="0">
                  <c:v>0.14948453608247422</c:v>
                </c:pt>
                <c:pt idx="1">
                  <c:v>0.14842300556586271</c:v>
                </c:pt>
                <c:pt idx="2">
                  <c:v>0.18165467625899281</c:v>
                </c:pt>
                <c:pt idx="3">
                  <c:v>0.2073170731707317</c:v>
                </c:pt>
                <c:pt idx="4">
                  <c:v>0.22465753424657534</c:v>
                </c:pt>
              </c:numCache>
            </c:numRef>
          </c:val>
          <c:smooth val="0"/>
        </c:ser>
        <c:ser>
          <c:idx val="13"/>
          <c:order val="8"/>
          <c:tx>
            <c:strRef>
              <c:f>'Child Protection Plans'!$AK$48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Plans'!$AW$48:$BA$48</c:f>
              <c:numCache>
                <c:formatCode>0.0%</c:formatCode>
                <c:ptCount val="5"/>
                <c:pt idx="0">
                  <c:v>#N/A</c:v>
                </c:pt>
                <c:pt idx="1">
                  <c:v>8.247422680412371E-2</c:v>
                </c:pt>
                <c:pt idx="2">
                  <c:v>#N/A</c:v>
                </c:pt>
                <c:pt idx="3">
                  <c:v>8.6956521739130432E-2</c:v>
                </c:pt>
                <c:pt idx="4">
                  <c:v>8.0246913580246909E-2</c:v>
                </c:pt>
              </c:numCache>
            </c:numRef>
          </c:val>
          <c:smooth val="0"/>
        </c:ser>
        <c:ser>
          <c:idx val="15"/>
          <c:order val="9"/>
          <c:tx>
            <c:strRef>
              <c:f>'Child Protection Plans'!$AK$49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Plans'!$AW$49:$BA$49</c:f>
              <c:numCache>
                <c:formatCode>0.0%</c:formatCode>
                <c:ptCount val="5"/>
                <c:pt idx="0">
                  <c:v>0.21588946459412781</c:v>
                </c:pt>
                <c:pt idx="1">
                  <c:v>0.16561514195583596</c:v>
                </c:pt>
                <c:pt idx="2">
                  <c:v>0.2132768361581921</c:v>
                </c:pt>
                <c:pt idx="3">
                  <c:v>0.18375</c:v>
                </c:pt>
                <c:pt idx="4">
                  <c:v>0.23415265200517466</c:v>
                </c:pt>
              </c:numCache>
            </c:numRef>
          </c:val>
          <c:smooth val="0"/>
        </c:ser>
        <c:ser>
          <c:idx val="16"/>
          <c:order val="10"/>
          <c:tx>
            <c:strRef>
              <c:f>'Child Protection Plans'!$AK$50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Plans'!$AW$50:$BA$50</c:f>
              <c:numCache>
                <c:formatCode>0.0%</c:formatCode>
                <c:ptCount val="5"/>
                <c:pt idx="0">
                  <c:v>0.10743801652892562</c:v>
                </c:pt>
                <c:pt idx="1">
                  <c:v>0.18217054263565891</c:v>
                </c:pt>
                <c:pt idx="2">
                  <c:v>0.20202020202020202</c:v>
                </c:pt>
                <c:pt idx="3">
                  <c:v>0.2029520295202952</c:v>
                </c:pt>
                <c:pt idx="4">
                  <c:v>0.25964912280701752</c:v>
                </c:pt>
              </c:numCache>
            </c:numRef>
          </c:val>
          <c:smooth val="0"/>
        </c:ser>
        <c:ser>
          <c:idx val="17"/>
          <c:order val="11"/>
          <c:tx>
            <c:strRef>
              <c:f>'Child Protection Plans'!$AK$51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Plans'!$AW$51:$BA$51</c:f>
              <c:numCache>
                <c:formatCode>0.0%</c:formatCode>
                <c:ptCount val="5"/>
                <c:pt idx="0">
                  <c:v>0.21105527638190955</c:v>
                </c:pt>
                <c:pt idx="1">
                  <c:v>0.23809523809523808</c:v>
                </c:pt>
                <c:pt idx="2">
                  <c:v>0.21791044776119403</c:v>
                </c:pt>
                <c:pt idx="3">
                  <c:v>0.28878281622911695</c:v>
                </c:pt>
                <c:pt idx="4">
                  <c:v>0.17714285714285713</c:v>
                </c:pt>
              </c:numCache>
            </c:numRef>
          </c:val>
          <c:smooth val="0"/>
        </c:ser>
        <c:ser>
          <c:idx val="19"/>
          <c:order val="12"/>
          <c:tx>
            <c:strRef>
              <c:f>'Child Protection Plans'!$AK$52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Plans'!$AW$52:$BA$52</c:f>
              <c:numCache>
                <c:formatCode>0.0%</c:formatCode>
                <c:ptCount val="5"/>
                <c:pt idx="0">
                  <c:v>0.19346049046321526</c:v>
                </c:pt>
                <c:pt idx="1">
                  <c:v>0.14450867052023122</c:v>
                </c:pt>
                <c:pt idx="2">
                  <c:v>0.16772151898734178</c:v>
                </c:pt>
                <c:pt idx="3">
                  <c:v>0.22602739726027396</c:v>
                </c:pt>
                <c:pt idx="4">
                  <c:v>0.23333333333333334</c:v>
                </c:pt>
              </c:numCache>
            </c:numRef>
          </c:val>
          <c:smooth val="0"/>
        </c:ser>
        <c:ser>
          <c:idx val="3"/>
          <c:order val="13"/>
          <c:tx>
            <c:strRef>
              <c:f>'Child Protection Plans'!$AK$53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Plans'!$AW$53:$BA$53</c:f>
              <c:numCache>
                <c:formatCode>0.0%</c:formatCode>
                <c:ptCount val="5"/>
                <c:pt idx="0">
                  <c:v>0.12857142857142856</c:v>
                </c:pt>
                <c:pt idx="1">
                  <c:v>0.19935691318327975</c:v>
                </c:pt>
                <c:pt idx="2">
                  <c:v>0.25304136253041365</c:v>
                </c:pt>
                <c:pt idx="3">
                  <c:v>0.1934931506849315</c:v>
                </c:pt>
                <c:pt idx="4">
                  <c:v>0.21132075471698114</c:v>
                </c:pt>
              </c:numCache>
            </c:numRef>
          </c:val>
          <c:smooth val="0"/>
        </c:ser>
        <c:ser>
          <c:idx val="20"/>
          <c:order val="14"/>
          <c:tx>
            <c:strRef>
              <c:f>'Child Protection Plans'!$AK$54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Plans'!$AW$54:$BA$54</c:f>
              <c:numCache>
                <c:formatCode>0.0%</c:formatCode>
                <c:ptCount val="5"/>
                <c:pt idx="0">
                  <c:v>0.15549597855227881</c:v>
                </c:pt>
                <c:pt idx="1">
                  <c:v>3.6363636363636362E-2</c:v>
                </c:pt>
                <c:pt idx="2">
                  <c:v>0.29591836734693877</c:v>
                </c:pt>
                <c:pt idx="3">
                  <c:v>0.28496042216358841</c:v>
                </c:pt>
                <c:pt idx="4">
                  <c:v>0.30626450116009279</c:v>
                </c:pt>
              </c:numCache>
            </c:numRef>
          </c:val>
          <c:smooth val="0"/>
        </c:ser>
        <c:ser>
          <c:idx val="22"/>
          <c:order val="15"/>
          <c:tx>
            <c:strRef>
              <c:f>'Child Protection Plans'!$AK$55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Plans'!$AW$55:$BA$55</c:f>
              <c:numCache>
                <c:formatCode>0.0%</c:formatCode>
                <c:ptCount val="5"/>
                <c:pt idx="0">
                  <c:v>0.20165460186142709</c:v>
                </c:pt>
                <c:pt idx="1">
                  <c:v>0.17011278195488722</c:v>
                </c:pt>
                <c:pt idx="2">
                  <c:v>0.23084577114427859</c:v>
                </c:pt>
                <c:pt idx="3">
                  <c:v>0.22447013487475914</c:v>
                </c:pt>
                <c:pt idx="4">
                  <c:v>0.24413553431798435</c:v>
                </c:pt>
              </c:numCache>
            </c:numRef>
          </c:val>
          <c:smooth val="0"/>
        </c:ser>
        <c:ser>
          <c:idx val="7"/>
          <c:order val="16"/>
          <c:tx>
            <c:strRef>
              <c:f>'Child Protection Plans'!$AK$56</c:f>
              <c:strCache>
                <c:ptCount val="1"/>
                <c:pt idx="0">
                  <c:v>Swindon</c:v>
                </c:pt>
              </c:strCache>
            </c:strRef>
          </c:tx>
          <c:spPr>
            <a:ln w="15875"/>
          </c:spPr>
          <c:marker>
            <c:symbol val="triangle"/>
            <c:size val="5"/>
            <c:spPr>
              <a:solidFill>
                <a:schemeClr val="accent2">
                  <a:lumMod val="20000"/>
                  <a:lumOff val="80000"/>
                </a:schemeClr>
              </a:solidFill>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Plans'!$AW$56:$BA$56</c:f>
              <c:numCache>
                <c:formatCode>0.0%</c:formatCode>
                <c:ptCount val="5"/>
                <c:pt idx="0">
                  <c:v>0.12413793103448276</c:v>
                </c:pt>
                <c:pt idx="1">
                  <c:v>0.19172932330827067</c:v>
                </c:pt>
                <c:pt idx="2">
                  <c:v>0.19031141868512111</c:v>
                </c:pt>
                <c:pt idx="3">
                  <c:v>0.20170454545454544</c:v>
                </c:pt>
                <c:pt idx="4">
                  <c:v>0.19755600814663951</c:v>
                </c:pt>
              </c:numCache>
            </c:numRef>
          </c:val>
          <c:smooth val="0"/>
        </c:ser>
        <c:ser>
          <c:idx val="8"/>
          <c:order val="17"/>
          <c:tx>
            <c:strRef>
              <c:f>'Child Protection Plans'!$AK$57</c:f>
              <c:strCache>
                <c:ptCount val="1"/>
                <c:pt idx="0">
                  <c:v>Torbay</c:v>
                </c:pt>
              </c:strCache>
            </c:strRef>
          </c:tx>
          <c:spPr>
            <a:ln w="15875"/>
          </c:spPr>
          <c:marker>
            <c:symbol val="circle"/>
            <c:size val="5"/>
            <c:spPr>
              <a:solidFill>
                <a:schemeClr val="accent3">
                  <a:lumMod val="20000"/>
                  <a:lumOff val="80000"/>
                </a:schemeClr>
              </a:solidFill>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Plans'!$AW$57:$BA$57</c:f>
              <c:numCache>
                <c:formatCode>0.0%</c:formatCode>
                <c:ptCount val="5"/>
                <c:pt idx="0">
                  <c:v>0.12935323383084577</c:v>
                </c:pt>
                <c:pt idx="1">
                  <c:v>0.16738197424892703</c:v>
                </c:pt>
                <c:pt idx="2">
                  <c:v>0.23134328358208955</c:v>
                </c:pt>
                <c:pt idx="3">
                  <c:v>0.21212121212121213</c:v>
                </c:pt>
                <c:pt idx="4">
                  <c:v>0.26896551724137929</c:v>
                </c:pt>
              </c:numCache>
            </c:numRef>
          </c:val>
          <c:smooth val="0"/>
        </c:ser>
        <c:ser>
          <c:idx val="23"/>
          <c:order val="18"/>
          <c:tx>
            <c:strRef>
              <c:f>'Child Protection Plans'!$AK$58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Plans'!$AW$58:$BA$58</c:f>
              <c:numCache>
                <c:formatCode>0.0%</c:formatCode>
                <c:ptCount val="5"/>
                <c:pt idx="0">
                  <c:v>0.15827338129496402</c:v>
                </c:pt>
                <c:pt idx="1">
                  <c:v>0.19883040935672514</c:v>
                </c:pt>
                <c:pt idx="2">
                  <c:v>0.10784313725490197</c:v>
                </c:pt>
                <c:pt idx="3">
                  <c:v>0.22748815165876776</c:v>
                </c:pt>
                <c:pt idx="4">
                  <c:v>0.18181818181818182</c:v>
                </c:pt>
              </c:numCache>
            </c:numRef>
          </c:val>
          <c:smooth val="0"/>
        </c:ser>
        <c:ser>
          <c:idx val="24"/>
          <c:order val="19"/>
          <c:tx>
            <c:strRef>
              <c:f>'Child Protection Plans'!$AK$59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Plans'!$AW$59:$BA$59</c:f>
              <c:numCache>
                <c:formatCode>0.0%</c:formatCode>
                <c:ptCount val="5"/>
                <c:pt idx="0">
                  <c:v>0.181169757489301</c:v>
                </c:pt>
                <c:pt idx="1">
                  <c:v>0.22770919067215364</c:v>
                </c:pt>
                <c:pt idx="2">
                  <c:v>0.22794117647058823</c:v>
                </c:pt>
                <c:pt idx="3">
                  <c:v>0.22748815165876776</c:v>
                </c:pt>
                <c:pt idx="4">
                  <c:v>0.2437759336099585</c:v>
                </c:pt>
              </c:numCache>
            </c:numRef>
          </c:val>
          <c:smooth val="0"/>
        </c:ser>
        <c:ser>
          <c:idx val="25"/>
          <c:order val="20"/>
          <c:tx>
            <c:strRef>
              <c:f>'Child Protection Plans'!$AK$60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Plans'!$AW$60:$BA$60</c:f>
              <c:numCache>
                <c:formatCode>0.0%</c:formatCode>
                <c:ptCount val="5"/>
                <c:pt idx="0">
                  <c:v>0.41379310344827586</c:v>
                </c:pt>
                <c:pt idx="1">
                  <c:v>0.11235955056179775</c:v>
                </c:pt>
                <c:pt idx="2">
                  <c:v>0.13714285714285715</c:v>
                </c:pt>
                <c:pt idx="3">
                  <c:v>0.30813953488372092</c:v>
                </c:pt>
                <c:pt idx="4">
                  <c:v>0.20634920634920634</c:v>
                </c:pt>
              </c:numCache>
            </c:numRef>
          </c:val>
          <c:smooth val="0"/>
        </c:ser>
        <c:ser>
          <c:idx val="26"/>
          <c:order val="21"/>
          <c:tx>
            <c:strRef>
              <c:f>'Child Protection Plans'!$AK$61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Plans'!$AW$61:$BA$61</c:f>
              <c:numCache>
                <c:formatCode>0.0%</c:formatCode>
                <c:ptCount val="5"/>
                <c:pt idx="0">
                  <c:v>0.21100917431192662</c:v>
                </c:pt>
                <c:pt idx="1">
                  <c:v>0.16393442622950818</c:v>
                </c:pt>
                <c:pt idx="2">
                  <c:v>0.14912280701754385</c:v>
                </c:pt>
                <c:pt idx="3">
                  <c:v>0.32558139534883723</c:v>
                </c:pt>
                <c:pt idx="4">
                  <c:v>0.24</c:v>
                </c:pt>
              </c:numCache>
            </c:numRef>
          </c:val>
          <c:smooth val="0"/>
        </c:ser>
        <c:ser>
          <c:idx val="4"/>
          <c:order val="22"/>
          <c:tx>
            <c:strRef>
              <c:f>'Child Protection Plans'!$AK$62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Plans'!$AW$62:$BA$62</c:f>
              <c:numCache>
                <c:formatCode>0.0%</c:formatCode>
                <c:ptCount val="5"/>
                <c:pt idx="0">
                  <c:v>0.18703358208955223</c:v>
                </c:pt>
                <c:pt idx="1">
                  <c:v>0.17023445463812437</c:v>
                </c:pt>
                <c:pt idx="2">
                  <c:v>0.20675537359263049</c:v>
                </c:pt>
                <c:pt idx="3">
                  <c:v>0.2223360655737705</c:v>
                </c:pt>
                <c:pt idx="4">
                  <c:v>0.22592945662535749</c:v>
                </c:pt>
              </c:numCache>
            </c:numRef>
          </c:val>
          <c:smooth val="0"/>
        </c:ser>
        <c:ser>
          <c:idx val="14"/>
          <c:order val="23"/>
          <c:tx>
            <c:strRef>
              <c:f>'Child Protection Plans'!$AK$63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Plans'!$AW$63:$BA$63</c:f>
              <c:numCache>
                <c:formatCode>0.0%</c:formatCode>
                <c:ptCount val="5"/>
                <c:pt idx="0">
                  <c:v>0.15807962529274006</c:v>
                </c:pt>
                <c:pt idx="1">
                  <c:v>0.16572898247870119</c:v>
                </c:pt>
                <c:pt idx="2">
                  <c:v>0.17927657558047702</c:v>
                </c:pt>
                <c:pt idx="3">
                  <c:v>0.18702002710435175</c:v>
                </c:pt>
                <c:pt idx="4">
                  <c:v>0.20212301875817945</c:v>
                </c:pt>
              </c:numCache>
            </c:numRef>
          </c:val>
          <c:smooth val="0"/>
        </c:ser>
        <c:ser>
          <c:idx val="6"/>
          <c:order val="24"/>
          <c:tx>
            <c:strRef>
              <c:f>'Child Protection Plans'!$AK$64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'Child Protection Plans'!$AW$39:$BA$39</c:f>
              <c:numCache>
                <c:formatCode>General</c:formatCode>
                <c:ptCount val="5"/>
                <c:pt idx="0">
                  <c:v>2014</c:v>
                </c:pt>
                <c:pt idx="1">
                  <c:v>2015</c:v>
                </c:pt>
                <c:pt idx="2">
                  <c:v>2016</c:v>
                </c:pt>
                <c:pt idx="3">
                  <c:v>2017</c:v>
                </c:pt>
                <c:pt idx="4">
                  <c:v>2018</c:v>
                </c:pt>
              </c:numCache>
            </c:numRef>
          </c:cat>
          <c:val>
            <c:numRef>
              <c:f>'Child Protection Plans'!$AW$64:$BA$64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39654400"/>
        <c:axId val="239656320"/>
      </c:lineChart>
      <c:catAx>
        <c:axId val="239654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656320"/>
        <c:crosses val="autoZero"/>
        <c:auto val="1"/>
        <c:lblAlgn val="ctr"/>
        <c:lblOffset val="100"/>
        <c:tickLblSkip val="1"/>
        <c:tickMarkSkip val="1"/>
        <c:noMultiLvlLbl val="0"/>
      </c:catAx>
      <c:valAx>
        <c:axId val="23965632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65440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Child Protection Plans</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 Protection Plans'!$R$7:$T$7</c:f>
              <c:strCache>
                <c:ptCount val="1"/>
                <c:pt idx="0">
                  <c:v>Distance from Expected 2018</c:v>
                </c:pt>
              </c:strCache>
            </c:strRef>
          </c:tx>
          <c:spPr>
            <a:solidFill>
              <a:srgbClr val="FB994F"/>
            </a:solidFill>
            <a:ln w="25400">
              <a:noFill/>
            </a:ln>
          </c:spPr>
          <c:invertIfNegative val="0"/>
          <c:cat>
            <c:strRef>
              <c:f>'Child Protection Plans'!$X$76:$X$99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Plans'!$T$9:$T$32</c:f>
              <c:numCache>
                <c:formatCode>0.0</c:formatCode>
                <c:ptCount val="24"/>
                <c:pt idx="0">
                  <c:v>0.8429476207222919</c:v>
                </c:pt>
                <c:pt idx="1">
                  <c:v>32.220407941017328</c:v>
                </c:pt>
                <c:pt idx="2">
                  <c:v>16.705788653696004</c:v>
                </c:pt>
                <c:pt idx="3">
                  <c:v>8.6205945069018171</c:v>
                </c:pt>
                <c:pt idx="4">
                  <c:v>8.1583796689715626</c:v>
                </c:pt>
                <c:pt idx="5">
                  <c:v>29.269151340823512</c:v>
                </c:pt>
                <c:pt idx="6">
                  <c:v>-1.1634836318713511</c:v>
                </c:pt>
                <c:pt idx="7">
                  <c:v>4.1302892359090819</c:v>
                </c:pt>
                <c:pt idx="8">
                  <c:v>-31.553473743058603</c:v>
                </c:pt>
                <c:pt idx="9">
                  <c:v>10.37792938546837</c:v>
                </c:pt>
                <c:pt idx="10">
                  <c:v>12.905447989333041</c:v>
                </c:pt>
                <c:pt idx="11">
                  <c:v>31.135326853239036</c:v>
                </c:pt>
                <c:pt idx="12">
                  <c:v>-8.5193710785935153</c:v>
                </c:pt>
                <c:pt idx="13">
                  <c:v>-2.2101296481105805</c:v>
                </c:pt>
                <c:pt idx="14">
                  <c:v>11.165286350110719</c:v>
                </c:pt>
                <c:pt idx="15">
                  <c:v>3.249425962038849</c:v>
                </c:pt>
                <c:pt idx="16">
                  <c:v>28.561320128815055</c:v>
                </c:pt>
                <c:pt idx="17">
                  <c:v>3.3051137728483653</c:v>
                </c:pt>
                <c:pt idx="18">
                  <c:v>11.093123707892119</c:v>
                </c:pt>
                <c:pt idx="19">
                  <c:v>5.8991747660192004</c:v>
                </c:pt>
                <c:pt idx="20">
                  <c:v>-11.922872582732566</c:v>
                </c:pt>
                <c:pt idx="21">
                  <c:v>0.99814141840501946</c:v>
                </c:pt>
                <c:pt idx="22">
                  <c:v>5.5214191103811814</c:v>
                </c:pt>
                <c:pt idx="23">
                  <c:v>-1.841249298208119</c:v>
                </c:pt>
              </c:numCache>
            </c:numRef>
          </c:val>
        </c:ser>
        <c:ser>
          <c:idx val="0"/>
          <c:order val="1"/>
          <c:tx>
            <c:strRef>
              <c:f>'Child Protection Plans'!$Z$4</c:f>
              <c:strCache>
                <c:ptCount val="1"/>
                <c:pt idx="0">
                  <c:v>Selected LA- (none)</c:v>
                </c:pt>
              </c:strCache>
            </c:strRef>
          </c:tx>
          <c:spPr>
            <a:solidFill>
              <a:srgbClr val="66FF99"/>
            </a:solidFill>
            <a:ln w="12700">
              <a:solidFill>
                <a:srgbClr val="000000"/>
              </a:solidFill>
              <a:prstDash val="solid"/>
            </a:ln>
          </c:spPr>
          <c:invertIfNegative val="0"/>
          <c:cat>
            <c:strRef>
              <c:f>'Child Protection Plans'!$X$76:$X$99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39244416"/>
        <c:axId val="239245952"/>
      </c:barChart>
      <c:catAx>
        <c:axId val="23924441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245952"/>
        <c:crossesAt val="0"/>
        <c:auto val="1"/>
        <c:lblAlgn val="ctr"/>
        <c:lblOffset val="100"/>
        <c:noMultiLvlLbl val="0"/>
      </c:catAx>
      <c:valAx>
        <c:axId val="239245952"/>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244416"/>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Referral</a:t>
            </a:r>
            <a:r>
              <a:rPr lang="en-GB" baseline="0"/>
              <a:t> to Assessment</a:t>
            </a:r>
            <a:r>
              <a:rPr lang="en-GB"/>
              <a:t> (Selected LA</a:t>
            </a:r>
            <a:r>
              <a:rPr lang="en-GB" baseline="0"/>
              <a:t> vs. SE &amp; National)</a:t>
            </a:r>
            <a:r>
              <a:rPr lang="en-GB"/>
              <a:t> </a:t>
            </a:r>
          </a:p>
        </c:rich>
      </c:tx>
      <c:layout>
        <c:manualLayout>
          <c:xMode val="edge"/>
          <c:yMode val="edge"/>
          <c:x val="0.1195897435897436"/>
          <c:y val="3.8613923259592556E-3"/>
        </c:manualLayout>
      </c:layout>
      <c:overlay val="0"/>
      <c:spPr>
        <a:noFill/>
        <a:ln w="25400">
          <a:noFill/>
        </a:ln>
      </c:spPr>
    </c:title>
    <c:autoTitleDeleted val="0"/>
    <c:plotArea>
      <c:layout>
        <c:manualLayout>
          <c:layoutTarget val="inner"/>
          <c:xMode val="edge"/>
          <c:yMode val="edge"/>
          <c:x val="9.8666564984461691E-2"/>
          <c:y val="0.2574278215223097"/>
          <c:w val="0.64607416380644722"/>
          <c:h val="0.59927026727292887"/>
        </c:manualLayout>
      </c:layout>
      <c:barChart>
        <c:barDir val="col"/>
        <c:grouping val="clustered"/>
        <c:varyColors val="0"/>
        <c:ser>
          <c:idx val="6"/>
          <c:order val="0"/>
          <c:tx>
            <c:strRef>
              <c:f>Referrals!$Z$4</c:f>
              <c:strCache>
                <c:ptCount val="1"/>
                <c:pt idx="0">
                  <c:v>Selected LA- (none)</c:v>
                </c:pt>
              </c:strCache>
            </c:strRef>
          </c:tx>
          <c:spPr>
            <a:solidFill>
              <a:srgbClr val="66FF99"/>
            </a:solidFill>
            <a:ln>
              <a:solidFill>
                <a:schemeClr val="tx1">
                  <a:lumMod val="75000"/>
                  <a:lumOff val="25000"/>
                </a:schemeClr>
              </a:solidFill>
            </a:ln>
          </c:spPr>
          <c:invertIfNegative val="0"/>
          <c:cat>
            <c:numRef>
              <c:f>Referrals!$K$8:$O$8</c:f>
              <c:numCache>
                <c:formatCode>General</c:formatCode>
                <c:ptCount val="5"/>
                <c:pt idx="0">
                  <c:v>2014</c:v>
                </c:pt>
                <c:pt idx="1">
                  <c:v>2015</c:v>
                </c:pt>
                <c:pt idx="2">
                  <c:v>2016</c:v>
                </c:pt>
                <c:pt idx="3">
                  <c:v>2017</c:v>
                </c:pt>
                <c:pt idx="4">
                  <c:v>2018</c:v>
                </c:pt>
              </c:numCache>
            </c:numRef>
          </c:cat>
          <c:val>
            <c:numRef>
              <c:f>Referrals!$AR$64:$AV$64</c:f>
              <c:numCache>
                <c:formatCode>0%</c:formatCode>
                <c:ptCount val="5"/>
                <c:pt idx="0">
                  <c:v>#N/A</c:v>
                </c:pt>
                <c:pt idx="1">
                  <c:v>#N/A</c:v>
                </c:pt>
                <c:pt idx="2">
                  <c:v>#N/A</c:v>
                </c:pt>
                <c:pt idx="3">
                  <c:v>#N/A</c:v>
                </c:pt>
                <c:pt idx="4">
                  <c:v>#N/A</c:v>
                </c:pt>
              </c:numCache>
            </c:numRef>
          </c:val>
        </c:ser>
        <c:ser>
          <c:idx val="4"/>
          <c:order val="1"/>
          <c:tx>
            <c:strRef>
              <c:f>Referrals!$B$132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Referrals!$K$8:$O$8</c:f>
              <c:numCache>
                <c:formatCode>General</c:formatCode>
                <c:ptCount val="5"/>
                <c:pt idx="0">
                  <c:v>2014</c:v>
                </c:pt>
                <c:pt idx="1">
                  <c:v>2015</c:v>
                </c:pt>
                <c:pt idx="2">
                  <c:v>2016</c:v>
                </c:pt>
                <c:pt idx="3">
                  <c:v>2017</c:v>
                </c:pt>
                <c:pt idx="4">
                  <c:v>2018</c:v>
                </c:pt>
              </c:numCache>
            </c:numRef>
          </c:cat>
          <c:val>
            <c:numRef>
              <c:f>Referrals!$D$132:$H$132</c:f>
              <c:numCache>
                <c:formatCode>0%</c:formatCode>
                <c:ptCount val="5"/>
                <c:pt idx="0">
                  <c:v>0.76997437121780565</c:v>
                </c:pt>
                <c:pt idx="1">
                  <c:v>0.84004127966976261</c:v>
                </c:pt>
                <c:pt idx="2">
                  <c:v>0.92645253682487727</c:v>
                </c:pt>
                <c:pt idx="3">
                  <c:v>0.88974981329350267</c:v>
                </c:pt>
                <c:pt idx="4">
                  <c:v>0.91697157331832257</c:v>
                </c:pt>
              </c:numCache>
            </c:numRef>
          </c:val>
        </c:ser>
        <c:ser>
          <c:idx val="0"/>
          <c:order val="2"/>
          <c:tx>
            <c:strRef>
              <c:f>Referrals!$B$133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Referrals!$D$133:$H$133</c:f>
              <c:numCache>
                <c:formatCode>0%</c:formatCode>
                <c:ptCount val="5"/>
                <c:pt idx="0">
                  <c:v>0.85953177257525082</c:v>
                </c:pt>
                <c:pt idx="1">
                  <c:v>0.86233480176211452</c:v>
                </c:pt>
                <c:pt idx="2">
                  <c:v>0.90055835358102565</c:v>
                </c:pt>
                <c:pt idx="3">
                  <c:v>0.89778988423203121</c:v>
                </c:pt>
                <c:pt idx="4">
                  <c:v>0.90590729527324865</c:v>
                </c:pt>
              </c:numCache>
            </c:numRef>
          </c:val>
        </c:ser>
        <c:dLbls>
          <c:showLegendKey val="0"/>
          <c:showVal val="0"/>
          <c:showCatName val="0"/>
          <c:showSerName val="0"/>
          <c:showPercent val="0"/>
          <c:showBubbleSize val="0"/>
        </c:dLbls>
        <c:gapWidth val="100"/>
        <c:axId val="177760128"/>
        <c:axId val="177761664"/>
      </c:barChart>
      <c:catAx>
        <c:axId val="177760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761664"/>
        <c:crosses val="autoZero"/>
        <c:auto val="1"/>
        <c:lblAlgn val="ctr"/>
        <c:lblOffset val="100"/>
        <c:noMultiLvlLbl val="0"/>
      </c:catAx>
      <c:valAx>
        <c:axId val="177761664"/>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76012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4672729289120554"/>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a:t>
            </a:r>
            <a:r>
              <a:rPr lang="en-GB" sz="1000" b="1" i="0" u="none" strike="noStrike" baseline="0">
                <a:effectLst/>
              </a:rPr>
              <a:t>Child Protection Plans </a:t>
            </a:r>
            <a:r>
              <a:rPr lang="en-GB"/>
              <a:t>2015-2018</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'Child Protection Plans'!$I$7</c:f>
              <c:strCache>
                <c:ptCount val="1"/>
                <c:pt idx="0">
                  <c:v>% Change 2015-18</c:v>
                </c:pt>
              </c:strCache>
            </c:strRef>
          </c:tx>
          <c:spPr>
            <a:solidFill>
              <a:srgbClr val="FB994F"/>
            </a:solidFill>
            <a:ln w="25400">
              <a:noFill/>
            </a:ln>
          </c:spPr>
          <c:invertIfNegative val="0"/>
          <c:cat>
            <c:strRef>
              <c:f>'Child Protection Plans'!$B$9:$B$32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Plans'!$I$9:$I$32</c:f>
              <c:numCache>
                <c:formatCode>0.0%</c:formatCode>
                <c:ptCount val="24"/>
                <c:pt idx="0">
                  <c:v>-0.13934426229508196</c:v>
                </c:pt>
                <c:pt idx="1">
                  <c:v>0.27831715210355989</c:v>
                </c:pt>
                <c:pt idx="2">
                  <c:v>0.92168674698795183</c:v>
                </c:pt>
                <c:pt idx="3">
                  <c:v>0.19402985074626866</c:v>
                </c:pt>
                <c:pt idx="4">
                  <c:v>-4.4313146233382568E-2</c:v>
                </c:pt>
                <c:pt idx="5">
                  <c:v>-0.24015748031496062</c:v>
                </c:pt>
                <c:pt idx="6">
                  <c:v>0.17713365539452497</c:v>
                </c:pt>
                <c:pt idx="7">
                  <c:v>-0.27578947368421053</c:v>
                </c:pt>
                <c:pt idx="8">
                  <c:v>0.82456140350877194</c:v>
                </c:pt>
                <c:pt idx="9">
                  <c:v>0.20738137082601055</c:v>
                </c:pt>
                <c:pt idx="10">
                  <c:v>0.23275862068965517</c:v>
                </c:pt>
                <c:pt idx="11">
                  <c:v>0.42156862745098039</c:v>
                </c:pt>
                <c:pt idx="12">
                  <c:v>0.4375</c:v>
                </c:pt>
                <c:pt idx="13">
                  <c:v>-0.18007662835249041</c:v>
                </c:pt>
                <c:pt idx="14">
                  <c:v>0</c:v>
                </c:pt>
                <c:pt idx="15">
                  <c:v>1.0050251256281408E-3</c:v>
                </c:pt>
                <c:pt idx="16">
                  <c:v>0.69953051643192488</c:v>
                </c:pt>
                <c:pt idx="17">
                  <c:v>-6.6225165562913912E-2</c:v>
                </c:pt>
                <c:pt idx="18">
                  <c:v>0.33333333333333331</c:v>
                </c:pt>
                <c:pt idx="19">
                  <c:v>0.54382470119521908</c:v>
                </c:pt>
                <c:pt idx="20">
                  <c:v>0.15625</c:v>
                </c:pt>
                <c:pt idx="21">
                  <c:v>1.625</c:v>
                </c:pt>
                <c:pt idx="22">
                  <c:v>0.15128205128205127</c:v>
                </c:pt>
                <c:pt idx="23">
                  <c:v>8.229376257545272E-2</c:v>
                </c:pt>
              </c:numCache>
            </c:numRef>
          </c:val>
        </c:ser>
        <c:ser>
          <c:idx val="1"/>
          <c:order val="1"/>
          <c:tx>
            <c:strRef>
              <c:f>'Child Protection Plans'!$Z$4</c:f>
              <c:strCache>
                <c:ptCount val="1"/>
                <c:pt idx="0">
                  <c:v>Selected LA- (none)</c:v>
                </c:pt>
              </c:strCache>
            </c:strRef>
          </c:tx>
          <c:spPr>
            <a:solidFill>
              <a:srgbClr val="66FF99"/>
            </a:solidFill>
            <a:ln w="12700">
              <a:solidFill>
                <a:srgbClr val="000000"/>
              </a:solidFill>
              <a:prstDash val="solid"/>
            </a:ln>
          </c:spPr>
          <c:invertIfNegative val="0"/>
          <c:cat>
            <c:strRef>
              <c:f>'Child Protection Plans'!$B$9:$B$32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39276032"/>
        <c:axId val="239277568"/>
      </c:barChart>
      <c:catAx>
        <c:axId val="23927603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277568"/>
        <c:crosses val="autoZero"/>
        <c:auto val="1"/>
        <c:lblAlgn val="ctr"/>
        <c:lblOffset val="100"/>
        <c:noMultiLvlLbl val="0"/>
      </c:catAx>
      <c:valAx>
        <c:axId val="239277568"/>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276032"/>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a:t>
            </a:r>
            <a:r>
              <a:rPr lang="en-GB" baseline="0"/>
              <a:t> Ceased CPP 2yrs+ </a:t>
            </a:r>
            <a:r>
              <a:rPr lang="en-GB"/>
              <a:t>(Selected LA</a:t>
            </a:r>
            <a:r>
              <a:rPr lang="en-GB" baseline="0"/>
              <a:t> vs. SE &amp; National)</a:t>
            </a:r>
            <a:r>
              <a:rPr lang="en-GB"/>
              <a:t> </a:t>
            </a:r>
          </a:p>
        </c:rich>
      </c:tx>
      <c:layout>
        <c:manualLayout>
          <c:xMode val="edge"/>
          <c:yMode val="edge"/>
          <c:x val="0.1606153846153846"/>
          <c:y val="3.8615036134181857E-3"/>
        </c:manualLayout>
      </c:layout>
      <c:overlay val="0"/>
      <c:spPr>
        <a:noFill/>
        <a:ln w="25400">
          <a:noFill/>
        </a:ln>
      </c:spPr>
    </c:title>
    <c:autoTitleDeleted val="0"/>
    <c:plotArea>
      <c:layout>
        <c:manualLayout>
          <c:layoutTarget val="inner"/>
          <c:xMode val="edge"/>
          <c:yMode val="edge"/>
          <c:x val="9.8666666666666666E-2"/>
          <c:y val="0.22874411246539389"/>
          <c:w val="0.64607416380644722"/>
          <c:h val="0.62582114735658045"/>
        </c:manualLayout>
      </c:layout>
      <c:barChart>
        <c:barDir val="col"/>
        <c:grouping val="clustered"/>
        <c:varyColors val="0"/>
        <c:ser>
          <c:idx val="6"/>
          <c:order val="0"/>
          <c:tx>
            <c:strRef>
              <c:f>'Child Protection Plans'!$Z$4</c:f>
              <c:strCache>
                <c:ptCount val="1"/>
                <c:pt idx="0">
                  <c:v>Selected LA- (none)</c:v>
                </c:pt>
              </c:strCache>
            </c:strRef>
          </c:tx>
          <c:spPr>
            <a:solidFill>
              <a:srgbClr val="66FF99"/>
            </a:solidFill>
            <a:ln>
              <a:solidFill>
                <a:schemeClr val="tx1">
                  <a:lumMod val="75000"/>
                  <a:lumOff val="25000"/>
                </a:schemeClr>
              </a:solidFill>
            </a:ln>
          </c:spPr>
          <c:invertIfNegative val="0"/>
          <c:cat>
            <c:numRef>
              <c:f>'Child Protection Plans'!$K$8:$O$8</c:f>
              <c:numCache>
                <c:formatCode>General</c:formatCode>
                <c:ptCount val="5"/>
                <c:pt idx="0">
                  <c:v>2014</c:v>
                </c:pt>
                <c:pt idx="1">
                  <c:v>2015</c:v>
                </c:pt>
                <c:pt idx="2">
                  <c:v>2016</c:v>
                </c:pt>
                <c:pt idx="3">
                  <c:v>2017</c:v>
                </c:pt>
                <c:pt idx="4">
                  <c:v>2018</c:v>
                </c:pt>
              </c:numCache>
            </c:numRef>
          </c:cat>
          <c:val>
            <c:numRef>
              <c:f>'Child Protection Plans'!$AR$64:$AV$64</c:f>
              <c:numCache>
                <c:formatCode>0%</c:formatCode>
                <c:ptCount val="5"/>
                <c:pt idx="0">
                  <c:v>#N/A</c:v>
                </c:pt>
                <c:pt idx="1">
                  <c:v>#N/A</c:v>
                </c:pt>
                <c:pt idx="2">
                  <c:v>#N/A</c:v>
                </c:pt>
                <c:pt idx="3">
                  <c:v>#N/A</c:v>
                </c:pt>
                <c:pt idx="4">
                  <c:v>#N/A</c:v>
                </c:pt>
              </c:numCache>
            </c:numRef>
          </c:val>
        </c:ser>
        <c:ser>
          <c:idx val="4"/>
          <c:order val="1"/>
          <c:tx>
            <c:strRef>
              <c:f>'Child Protection Plans'!$B$167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'Child Protection Plans'!$K$8:$O$8</c:f>
              <c:numCache>
                <c:formatCode>General</c:formatCode>
                <c:ptCount val="5"/>
                <c:pt idx="0">
                  <c:v>2014</c:v>
                </c:pt>
                <c:pt idx="1">
                  <c:v>2015</c:v>
                </c:pt>
                <c:pt idx="2">
                  <c:v>2016</c:v>
                </c:pt>
                <c:pt idx="3">
                  <c:v>2017</c:v>
                </c:pt>
                <c:pt idx="4">
                  <c:v>2018</c:v>
                </c:pt>
              </c:numCache>
            </c:numRef>
          </c:cat>
          <c:val>
            <c:numRef>
              <c:f>'Child Protection Plans'!$D$132:$H$132</c:f>
              <c:numCache>
                <c:formatCode>0%</c:formatCode>
                <c:ptCount val="5"/>
                <c:pt idx="0">
                  <c:v>5.2796298816165467E-2</c:v>
                </c:pt>
                <c:pt idx="1">
                  <c:v>4.2889390519187359E-2</c:v>
                </c:pt>
                <c:pt idx="2">
                  <c:v>4.5643153526970952E-2</c:v>
                </c:pt>
                <c:pt idx="3">
                  <c:v>4.4806517311608958E-2</c:v>
                </c:pt>
                <c:pt idx="4">
                  <c:v>4.8574445617740235E-2</c:v>
                </c:pt>
              </c:numCache>
            </c:numRef>
          </c:val>
        </c:ser>
        <c:ser>
          <c:idx val="0"/>
          <c:order val="2"/>
          <c:tx>
            <c:strRef>
              <c:f>'Child Protection Plans'!$B$168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'Child Protection Plans'!$D$133:$H$133</c:f>
              <c:numCache>
                <c:formatCode>0%</c:formatCode>
                <c:ptCount val="5"/>
                <c:pt idx="0">
                  <c:v>4.5053328429569696E-2</c:v>
                </c:pt>
                <c:pt idx="1">
                  <c:v>3.7251655629139076E-2</c:v>
                </c:pt>
                <c:pt idx="2">
                  <c:v>3.8406374501992031E-2</c:v>
                </c:pt>
                <c:pt idx="3">
                  <c:v>3.4087435035157446E-2</c:v>
                </c:pt>
                <c:pt idx="4">
                  <c:v>3.4132281553398057E-2</c:v>
                </c:pt>
              </c:numCache>
            </c:numRef>
          </c:val>
        </c:ser>
        <c:dLbls>
          <c:showLegendKey val="0"/>
          <c:showVal val="0"/>
          <c:showCatName val="0"/>
          <c:showSerName val="0"/>
          <c:showPercent val="0"/>
          <c:showBubbleSize val="0"/>
        </c:dLbls>
        <c:gapWidth val="100"/>
        <c:axId val="239331584"/>
        <c:axId val="239333376"/>
      </c:barChart>
      <c:catAx>
        <c:axId val="23933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333376"/>
        <c:crosses val="autoZero"/>
        <c:auto val="1"/>
        <c:lblAlgn val="ctr"/>
        <c:lblOffset val="100"/>
        <c:noMultiLvlLbl val="0"/>
      </c:catAx>
      <c:valAx>
        <c:axId val="23933337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33158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for 2 Years or more (CP Plans ceasing in Year ending 31st March)</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'Child Protection Plans'!$AK$40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Plans'!$AR$39:$AV$39</c:f>
              <c:numCache>
                <c:formatCode>General</c:formatCode>
                <c:ptCount val="5"/>
                <c:pt idx="0">
                  <c:v>2014</c:v>
                </c:pt>
                <c:pt idx="1">
                  <c:v>2015</c:v>
                </c:pt>
                <c:pt idx="2">
                  <c:v>2016</c:v>
                </c:pt>
                <c:pt idx="3">
                  <c:v>2017</c:v>
                </c:pt>
                <c:pt idx="4">
                  <c:v>2018</c:v>
                </c:pt>
              </c:numCache>
            </c:numRef>
          </c:cat>
          <c:val>
            <c:numRef>
              <c:f>'Child Protection Plans'!$AR$40:$AV$40</c:f>
              <c:numCache>
                <c:formatCode>0.0%</c:formatCode>
                <c:ptCount val="5"/>
                <c:pt idx="0">
                  <c:v>8.5271317829457363E-2</c:v>
                </c:pt>
                <c:pt idx="1">
                  <c:v>5.3846153846153849E-2</c:v>
                </c:pt>
                <c:pt idx="2">
                  <c:v>0.12162162162162163</c:v>
                </c:pt>
                <c:pt idx="3">
                  <c:v>8.9171974522292988E-2</c:v>
                </c:pt>
                <c:pt idx="4">
                  <c:v>0</c:v>
                </c:pt>
              </c:numCache>
            </c:numRef>
          </c:val>
          <c:smooth val="0"/>
        </c:ser>
        <c:ser>
          <c:idx val="1"/>
          <c:order val="1"/>
          <c:tx>
            <c:strRef>
              <c:f>'Child Protection Plans'!$AK$41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Plans'!$AR$41:$AV$41</c:f>
              <c:numCache>
                <c:formatCode>0.0%</c:formatCode>
                <c:ptCount val="5"/>
                <c:pt idx="0">
                  <c:v>5.232558139534884E-2</c:v>
                </c:pt>
                <c:pt idx="1">
                  <c:v>2.865329512893983E-2</c:v>
                </c:pt>
                <c:pt idx="2">
                  <c:v>7.6704545454545456E-2</c:v>
                </c:pt>
                <c:pt idx="3">
                  <c:v>3.2407407407407406E-2</c:v>
                </c:pt>
                <c:pt idx="4">
                  <c:v>7.575757575757576E-2</c:v>
                </c:pt>
              </c:numCache>
            </c:numRef>
          </c:val>
          <c:smooth val="0"/>
        </c:ser>
        <c:ser>
          <c:idx val="2"/>
          <c:order val="2"/>
          <c:tx>
            <c:strRef>
              <c:f>'Child Protection Plans'!$AK$42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Plans'!$AR$42:$AV$42</c:f>
              <c:numCache>
                <c:formatCode>0.0%</c:formatCode>
                <c:ptCount val="5"/>
                <c:pt idx="0">
                  <c:v>9.166666666666666E-2</c:v>
                </c:pt>
                <c:pt idx="1">
                  <c:v>2.8248587570621469E-2</c:v>
                </c:pt>
                <c:pt idx="2">
                  <c:v>3.5490605427974949E-2</c:v>
                </c:pt>
                <c:pt idx="3">
                  <c:v>2.3961661341853034E-2</c:v>
                </c:pt>
                <c:pt idx="4">
                  <c:v>3.1645569620253167E-2</c:v>
                </c:pt>
              </c:numCache>
            </c:numRef>
          </c:val>
          <c:smooth val="0"/>
        </c:ser>
        <c:ser>
          <c:idx val="5"/>
          <c:order val="3"/>
          <c:tx>
            <c:strRef>
              <c:f>'Child Protection Plans'!$AK$43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Plans'!$AR$43:$AV$43</c:f>
              <c:numCache>
                <c:formatCode>0.0%</c:formatCode>
                <c:ptCount val="5"/>
                <c:pt idx="0">
                  <c:v>0.10039370078740158</c:v>
                </c:pt>
                <c:pt idx="1">
                  <c:v>0.10641399416909621</c:v>
                </c:pt>
                <c:pt idx="2">
                  <c:v>7.4626865671641784E-2</c:v>
                </c:pt>
                <c:pt idx="3">
                  <c:v>8.8709677419354843E-2</c:v>
                </c:pt>
                <c:pt idx="4">
                  <c:v>9.0740740740740747E-2</c:v>
                </c:pt>
              </c:numCache>
            </c:numRef>
          </c:val>
          <c:smooth val="0"/>
        </c:ser>
        <c:ser>
          <c:idx val="9"/>
          <c:order val="4"/>
          <c:tx>
            <c:strRef>
              <c:f>'Child Protection Plans'!$AK$44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Plans'!$AR$44:$AV$44</c:f>
              <c:numCache>
                <c:formatCode>0.0%</c:formatCode>
                <c:ptCount val="5"/>
                <c:pt idx="0">
                  <c:v>3.1662269129287601E-2</c:v>
                </c:pt>
                <c:pt idx="1">
                  <c:v>2.7112232030264818E-2</c:v>
                </c:pt>
                <c:pt idx="2">
                  <c:v>4.1009463722397478E-2</c:v>
                </c:pt>
                <c:pt idx="3">
                  <c:v>4.8891415577032402E-2</c:v>
                </c:pt>
                <c:pt idx="4">
                  <c:v>7.1952031978680886E-2</c:v>
                </c:pt>
              </c:numCache>
            </c:numRef>
          </c:val>
          <c:smooth val="0"/>
        </c:ser>
        <c:ser>
          <c:idx val="10"/>
          <c:order val="5"/>
          <c:tx>
            <c:strRef>
              <c:f>'Child Protection Plans'!$AK$45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Plans'!$AR$45:$AV$45</c:f>
              <c:numCache>
                <c:formatCode>0.0%</c:formatCode>
                <c:ptCount val="5"/>
                <c:pt idx="0">
                  <c:v>#N/A</c:v>
                </c:pt>
                <c:pt idx="1">
                  <c:v>3.608247422680412E-2</c:v>
                </c:pt>
                <c:pt idx="2">
                  <c:v>4.5180722891566265E-2</c:v>
                </c:pt>
                <c:pt idx="3">
                  <c:v>3.6885245901639344E-2</c:v>
                </c:pt>
                <c:pt idx="4">
                  <c:v>5.7777777777777775E-2</c:v>
                </c:pt>
              </c:numCache>
            </c:numRef>
          </c:val>
          <c:smooth val="0"/>
        </c:ser>
        <c:ser>
          <c:idx val="11"/>
          <c:order val="6"/>
          <c:tx>
            <c:strRef>
              <c:f>'Child Protection Plans'!$AK$46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Plans'!$AR$46:$AV$46</c:f>
              <c:numCache>
                <c:formatCode>0.0%</c:formatCode>
                <c:ptCount val="5"/>
                <c:pt idx="0">
                  <c:v>4.9050632911392403E-2</c:v>
                </c:pt>
                <c:pt idx="1">
                  <c:v>2.176696542893726E-2</c:v>
                </c:pt>
                <c:pt idx="2">
                  <c:v>2.911978821972204E-2</c:v>
                </c:pt>
                <c:pt idx="3">
                  <c:v>3.7800687285223365E-2</c:v>
                </c:pt>
                <c:pt idx="4">
                  <c:v>4.1309431021044424E-2</c:v>
                </c:pt>
              </c:numCache>
            </c:numRef>
          </c:val>
          <c:smooth val="0"/>
        </c:ser>
        <c:ser>
          <c:idx val="12"/>
          <c:order val="7"/>
          <c:tx>
            <c:strRef>
              <c:f>'Child Protection Plans'!$AK$47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Plans'!$AR$47:$AV$47</c:f>
              <c:numCache>
                <c:formatCode>0.0%</c:formatCode>
                <c:ptCount val="5"/>
                <c:pt idx="0">
                  <c:v>8.6580086580086577E-2</c:v>
                </c:pt>
                <c:pt idx="1">
                  <c:v>5.2132701421800945E-2</c:v>
                </c:pt>
                <c:pt idx="2">
                  <c:v>4.4715447154471545E-2</c:v>
                </c:pt>
                <c:pt idx="3">
                  <c:v>5.9782608695652176E-2</c:v>
                </c:pt>
                <c:pt idx="4">
                  <c:v>5.089820359281437E-2</c:v>
                </c:pt>
              </c:numCache>
            </c:numRef>
          </c:val>
          <c:smooth val="0"/>
        </c:ser>
        <c:ser>
          <c:idx val="13"/>
          <c:order val="8"/>
          <c:tx>
            <c:strRef>
              <c:f>'Child Protection Plans'!$AK$48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Plans'!$AR$48:$AV$48</c:f>
              <c:numCache>
                <c:formatCode>0.0%</c:formatCode>
                <c:ptCount val="5"/>
                <c:pt idx="0">
                  <c:v>0</c:v>
                </c:pt>
                <c:pt idx="1">
                  <c:v>0</c:v>
                </c:pt>
                <c:pt idx="2">
                  <c:v>#N/A</c:v>
                </c:pt>
                <c:pt idx="3">
                  <c:v>0</c:v>
                </c:pt>
                <c:pt idx="4">
                  <c:v>0</c:v>
                </c:pt>
              </c:numCache>
            </c:numRef>
          </c:val>
          <c:smooth val="0"/>
        </c:ser>
        <c:ser>
          <c:idx val="15"/>
          <c:order val="9"/>
          <c:tx>
            <c:strRef>
              <c:f>'Child Protection Plans'!$AK$49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Plans'!$AR$49:$AV$49</c:f>
              <c:numCache>
                <c:formatCode>0.0%</c:formatCode>
                <c:ptCount val="5"/>
                <c:pt idx="0">
                  <c:v>9.3439363817097415E-2</c:v>
                </c:pt>
                <c:pt idx="1">
                  <c:v>6.32688927943761E-2</c:v>
                </c:pt>
                <c:pt idx="2">
                  <c:v>4.9645390070921988E-2</c:v>
                </c:pt>
                <c:pt idx="3">
                  <c:v>4.4619422572178477E-2</c:v>
                </c:pt>
                <c:pt idx="4">
                  <c:v>4.0935672514619881E-2</c:v>
                </c:pt>
              </c:numCache>
            </c:numRef>
          </c:val>
          <c:smooth val="0"/>
        </c:ser>
        <c:ser>
          <c:idx val="16"/>
          <c:order val="10"/>
          <c:tx>
            <c:strRef>
              <c:f>'Child Protection Plans'!$AK$50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Plans'!$AR$50:$AV$50</c:f>
              <c:numCache>
                <c:formatCode>0.0%</c:formatCode>
                <c:ptCount val="5"/>
                <c:pt idx="0">
                  <c:v>0.1099476439790576</c:v>
                </c:pt>
                <c:pt idx="1">
                  <c:v>8.984375E-2</c:v>
                </c:pt>
                <c:pt idx="2">
                  <c:v>#N/A</c:v>
                </c:pt>
                <c:pt idx="3">
                  <c:v>3.9473684210526314E-2</c:v>
                </c:pt>
                <c:pt idx="4">
                  <c:v>5.8091286307053944E-2</c:v>
                </c:pt>
              </c:numCache>
            </c:numRef>
          </c:val>
          <c:smooth val="0"/>
        </c:ser>
        <c:ser>
          <c:idx val="17"/>
          <c:order val="11"/>
          <c:tx>
            <c:strRef>
              <c:f>'Child Protection Plans'!$AK$51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Plans'!$AR$51:$AV$51</c:f>
              <c:numCache>
                <c:formatCode>0.0%</c:formatCode>
                <c:ptCount val="5"/>
                <c:pt idx="0">
                  <c:v>8.45771144278607E-2</c:v>
                </c:pt>
                <c:pt idx="1">
                  <c:v>6.9306930693069313E-2</c:v>
                </c:pt>
                <c:pt idx="2">
                  <c:v>3.1358885017421602E-2</c:v>
                </c:pt>
                <c:pt idx="3">
                  <c:v>2.6229508196721311E-2</c:v>
                </c:pt>
                <c:pt idx="4">
                  <c:v>3.6764705882352942E-2</c:v>
                </c:pt>
              </c:numCache>
            </c:numRef>
          </c:val>
          <c:smooth val="0"/>
        </c:ser>
        <c:ser>
          <c:idx val="19"/>
          <c:order val="12"/>
          <c:tx>
            <c:strRef>
              <c:f>'Child Protection Plans'!$AK$52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Plans'!$AR$52:$AV$52</c:f>
              <c:numCache>
                <c:formatCode>0.0%</c:formatCode>
                <c:ptCount val="5"/>
                <c:pt idx="0">
                  <c:v>5.4054054054054057E-2</c:v>
                </c:pt>
                <c:pt idx="1">
                  <c:v>#N/A</c:v>
                </c:pt>
                <c:pt idx="2">
                  <c:v>#N/A</c:v>
                </c:pt>
                <c:pt idx="3">
                  <c:v>#N/A</c:v>
                </c:pt>
                <c:pt idx="4">
                  <c:v>#N/A</c:v>
                </c:pt>
              </c:numCache>
            </c:numRef>
          </c:val>
          <c:smooth val="0"/>
        </c:ser>
        <c:ser>
          <c:idx val="3"/>
          <c:order val="13"/>
          <c:tx>
            <c:strRef>
              <c:f>'Child Protection Plans'!$AK$53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Plans'!$AR$53:$AV$53</c:f>
              <c:numCache>
                <c:formatCode>0.0%</c:formatCode>
                <c:ptCount val="5"/>
                <c:pt idx="0">
                  <c:v>1.804123711340206E-2</c:v>
                </c:pt>
                <c:pt idx="1">
                  <c:v>3.3268101761252444E-2</c:v>
                </c:pt>
                <c:pt idx="2">
                  <c:v>4.7473200612557429E-2</c:v>
                </c:pt>
                <c:pt idx="3">
                  <c:v>0.02</c:v>
                </c:pt>
                <c:pt idx="4">
                  <c:v>1.1857707509881422E-2</c:v>
                </c:pt>
              </c:numCache>
            </c:numRef>
          </c:val>
          <c:smooth val="0"/>
        </c:ser>
        <c:ser>
          <c:idx val="20"/>
          <c:order val="14"/>
          <c:tx>
            <c:strRef>
              <c:f>'Child Protection Plans'!$AK$54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Plans'!$AR$54:$AV$54</c:f>
              <c:numCache>
                <c:formatCode>0.0%</c:formatCode>
                <c:ptCount val="5"/>
                <c:pt idx="0">
                  <c:v>1.6260162601626018E-2</c:v>
                </c:pt>
                <c:pt idx="1">
                  <c:v>0</c:v>
                </c:pt>
                <c:pt idx="2">
                  <c:v>1.0849909584086799E-2</c:v>
                </c:pt>
                <c:pt idx="3">
                  <c:v>4.2452830188679243E-2</c:v>
                </c:pt>
                <c:pt idx="4">
                  <c:v>3.0612244897959183E-2</c:v>
                </c:pt>
              </c:numCache>
            </c:numRef>
          </c:val>
          <c:smooth val="0"/>
        </c:ser>
        <c:ser>
          <c:idx val="22"/>
          <c:order val="15"/>
          <c:tx>
            <c:strRef>
              <c:f>'Child Protection Plans'!$AK$55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Plans'!$AR$55:$AV$55</c:f>
              <c:numCache>
                <c:formatCode>0.0%</c:formatCode>
                <c:ptCount val="5"/>
                <c:pt idx="0">
                  <c:v>6.7669172932330823E-2</c:v>
                </c:pt>
                <c:pt idx="1">
                  <c:v>6.5261044176706834E-2</c:v>
                </c:pt>
                <c:pt idx="2">
                  <c:v>9.8654708520179366E-2</c:v>
                </c:pt>
                <c:pt idx="3">
                  <c:v>5.5762081784386616E-2</c:v>
                </c:pt>
                <c:pt idx="4">
                  <c:v>6.0544904137235116E-2</c:v>
                </c:pt>
              </c:numCache>
            </c:numRef>
          </c:val>
          <c:smooth val="0"/>
        </c:ser>
        <c:ser>
          <c:idx val="7"/>
          <c:order val="16"/>
          <c:tx>
            <c:strRef>
              <c:f>'Child Protection Plans'!$AK$56</c:f>
              <c:strCache>
                <c:ptCount val="1"/>
                <c:pt idx="0">
                  <c:v>Swindon</c:v>
                </c:pt>
              </c:strCache>
            </c:strRef>
          </c:tx>
          <c:spPr>
            <a:ln w="15875"/>
          </c:spPr>
          <c:marker>
            <c:symbol val="triangle"/>
            <c:size val="5"/>
            <c:spPr>
              <a:solidFill>
                <a:schemeClr val="accent2">
                  <a:lumMod val="20000"/>
                  <a:lumOff val="80000"/>
                </a:schemeClr>
              </a:solidFill>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Plans'!$AR$56:$AV$56</c:f>
              <c:numCache>
                <c:formatCode>0.0%</c:formatCode>
                <c:ptCount val="5"/>
                <c:pt idx="0">
                  <c:v>5.4298642533936653E-2</c:v>
                </c:pt>
                <c:pt idx="1">
                  <c:v>#N/A</c:v>
                </c:pt>
                <c:pt idx="2">
                  <c:v>3.125E-2</c:v>
                </c:pt>
                <c:pt idx="3">
                  <c:v>3.5598705501618123E-2</c:v>
                </c:pt>
                <c:pt idx="4">
                  <c:v>1.5706806282722512E-2</c:v>
                </c:pt>
              </c:numCache>
            </c:numRef>
          </c:val>
          <c:smooth val="0"/>
        </c:ser>
        <c:ser>
          <c:idx val="8"/>
          <c:order val="17"/>
          <c:tx>
            <c:strRef>
              <c:f>'Child Protection Plans'!$AK$57</c:f>
              <c:strCache>
                <c:ptCount val="1"/>
                <c:pt idx="0">
                  <c:v>Torbay</c:v>
                </c:pt>
              </c:strCache>
            </c:strRef>
          </c:tx>
          <c:spPr>
            <a:ln w="15875"/>
          </c:spPr>
          <c:marker>
            <c:symbol val="circle"/>
            <c:size val="5"/>
            <c:spPr>
              <a:solidFill>
                <a:schemeClr val="accent3">
                  <a:lumMod val="20000"/>
                  <a:lumOff val="80000"/>
                </a:schemeClr>
              </a:solidFill>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Plans'!$AR$57:$AV$57</c:f>
              <c:numCache>
                <c:formatCode>0.0%</c:formatCode>
                <c:ptCount val="5"/>
                <c:pt idx="0">
                  <c:v>6.1320754716981132E-2</c:v>
                </c:pt>
                <c:pt idx="1">
                  <c:v>2.7777777777777776E-2</c:v>
                </c:pt>
                <c:pt idx="2">
                  <c:v>#N/A</c:v>
                </c:pt>
                <c:pt idx="3">
                  <c:v>#N/A</c:v>
                </c:pt>
                <c:pt idx="4">
                  <c:v>3.2967032967032968E-2</c:v>
                </c:pt>
              </c:numCache>
            </c:numRef>
          </c:val>
          <c:smooth val="0"/>
        </c:ser>
        <c:ser>
          <c:idx val="23"/>
          <c:order val="18"/>
          <c:tx>
            <c:strRef>
              <c:f>'Child Protection Plans'!$AK$58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Plans'!$AR$58:$AV$58</c:f>
              <c:numCache>
                <c:formatCode>0.0%</c:formatCode>
                <c:ptCount val="5"/>
                <c:pt idx="0">
                  <c:v>#N/A</c:v>
                </c:pt>
                <c:pt idx="1">
                  <c:v>#N/A</c:v>
                </c:pt>
                <c:pt idx="2">
                  <c:v>#N/A</c:v>
                </c:pt>
                <c:pt idx="3">
                  <c:v>#N/A</c:v>
                </c:pt>
                <c:pt idx="4">
                  <c:v>2.2222222222222223E-2</c:v>
                </c:pt>
              </c:numCache>
            </c:numRef>
          </c:val>
          <c:smooth val="0"/>
        </c:ser>
        <c:ser>
          <c:idx val="24"/>
          <c:order val="19"/>
          <c:tx>
            <c:strRef>
              <c:f>'Child Protection Plans'!$AK$59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Plans'!$AR$59:$AV$59</c:f>
              <c:numCache>
                <c:formatCode>0.0%</c:formatCode>
                <c:ptCount val="5"/>
                <c:pt idx="0">
                  <c:v>#N/A</c:v>
                </c:pt>
                <c:pt idx="1">
                  <c:v>2.309782608695652E-2</c:v>
                </c:pt>
                <c:pt idx="2">
                  <c:v>3.5294117647058823E-2</c:v>
                </c:pt>
                <c:pt idx="3">
                  <c:v>6.6162570888468802E-2</c:v>
                </c:pt>
                <c:pt idx="4">
                  <c:v>3.5135135135135137E-2</c:v>
                </c:pt>
              </c:numCache>
            </c:numRef>
          </c:val>
          <c:smooth val="0"/>
        </c:ser>
        <c:ser>
          <c:idx val="25"/>
          <c:order val="20"/>
          <c:tx>
            <c:strRef>
              <c:f>'Child Protection Plans'!$AK$60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Plans'!$AR$60:$AV$60</c:f>
              <c:numCache>
                <c:formatCode>0.0%</c:formatCode>
                <c:ptCount val="5"/>
                <c:pt idx="0">
                  <c:v>#N/A</c:v>
                </c:pt>
                <c:pt idx="1">
                  <c:v>#N/A</c:v>
                </c:pt>
                <c:pt idx="2">
                  <c:v>0</c:v>
                </c:pt>
                <c:pt idx="3">
                  <c:v>#N/A</c:v>
                </c:pt>
                <c:pt idx="4">
                  <c:v>#N/A</c:v>
                </c:pt>
              </c:numCache>
            </c:numRef>
          </c:val>
          <c:smooth val="0"/>
        </c:ser>
        <c:ser>
          <c:idx val="26"/>
          <c:order val="21"/>
          <c:tx>
            <c:strRef>
              <c:f>'Child Protection Plans'!$AK$61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Plans'!$AR$61:$AV$61</c:f>
              <c:numCache>
                <c:formatCode>0.0%</c:formatCode>
                <c:ptCount val="5"/>
                <c:pt idx="0">
                  <c:v>#N/A</c:v>
                </c:pt>
                <c:pt idx="1">
                  <c:v>#N/A</c:v>
                </c:pt>
                <c:pt idx="2">
                  <c:v>#N/A</c:v>
                </c:pt>
                <c:pt idx="3">
                  <c:v>0</c:v>
                </c:pt>
                <c:pt idx="4">
                  <c:v>0</c:v>
                </c:pt>
              </c:numCache>
            </c:numRef>
          </c:val>
          <c:smooth val="0"/>
        </c:ser>
        <c:ser>
          <c:idx val="4"/>
          <c:order val="22"/>
          <c:tx>
            <c:strRef>
              <c:f>'Child Protection Plans'!$AK$62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Plans'!$AR$62:$AV$62</c:f>
              <c:numCache>
                <c:formatCode>0.0%</c:formatCode>
                <c:ptCount val="5"/>
                <c:pt idx="0">
                  <c:v>5.2796298816165467E-2</c:v>
                </c:pt>
                <c:pt idx="1">
                  <c:v>4.2889390519187359E-2</c:v>
                </c:pt>
                <c:pt idx="2">
                  <c:v>4.5643153526970952E-2</c:v>
                </c:pt>
                <c:pt idx="3">
                  <c:v>4.4806517311608958E-2</c:v>
                </c:pt>
                <c:pt idx="4">
                  <c:v>4.8574445617740235E-2</c:v>
                </c:pt>
              </c:numCache>
            </c:numRef>
          </c:val>
          <c:smooth val="0"/>
        </c:ser>
        <c:ser>
          <c:idx val="14"/>
          <c:order val="23"/>
          <c:tx>
            <c:strRef>
              <c:f>'Child Protection Plans'!$AK$63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Plans'!$AR$63:$AV$63</c:f>
              <c:numCache>
                <c:formatCode>0.0%</c:formatCode>
                <c:ptCount val="5"/>
                <c:pt idx="0">
                  <c:v>4.5053328429569696E-2</c:v>
                </c:pt>
                <c:pt idx="1">
                  <c:v>3.7251655629139076E-2</c:v>
                </c:pt>
                <c:pt idx="2">
                  <c:v>3.8406374501992031E-2</c:v>
                </c:pt>
                <c:pt idx="3">
                  <c:v>3.4087435035157446E-2</c:v>
                </c:pt>
                <c:pt idx="4">
                  <c:v>3.4132281553398057E-2</c:v>
                </c:pt>
              </c:numCache>
            </c:numRef>
          </c:val>
          <c:smooth val="0"/>
        </c:ser>
        <c:ser>
          <c:idx val="6"/>
          <c:order val="24"/>
          <c:tx>
            <c:strRef>
              <c:f>'Child Protection Plans'!$AK$64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'Child Protection Plans'!$AR$39:$AV$39</c:f>
              <c:numCache>
                <c:formatCode>General</c:formatCode>
                <c:ptCount val="5"/>
                <c:pt idx="0">
                  <c:v>2014</c:v>
                </c:pt>
                <c:pt idx="1">
                  <c:v>2015</c:v>
                </c:pt>
                <c:pt idx="2">
                  <c:v>2016</c:v>
                </c:pt>
                <c:pt idx="3">
                  <c:v>2017</c:v>
                </c:pt>
                <c:pt idx="4">
                  <c:v>2018</c:v>
                </c:pt>
              </c:numCache>
            </c:numRef>
          </c:cat>
          <c:val>
            <c:numRef>
              <c:f>'Child Protection Plans'!$AR$64:$AV$64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39737472"/>
        <c:axId val="239743744"/>
      </c:lineChart>
      <c:catAx>
        <c:axId val="239737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743744"/>
        <c:crosses val="autoZero"/>
        <c:auto val="1"/>
        <c:lblAlgn val="ctr"/>
        <c:lblOffset val="100"/>
        <c:tickLblSkip val="1"/>
        <c:tickMarkSkip val="1"/>
        <c:noMultiLvlLbl val="0"/>
      </c:catAx>
      <c:valAx>
        <c:axId val="23974374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737472"/>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CPP Reviews in Timescales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'Child Protection Plans'!$Z$4</c:f>
              <c:strCache>
                <c:ptCount val="1"/>
                <c:pt idx="0">
                  <c:v>Selected LA- (none)</c:v>
                </c:pt>
              </c:strCache>
            </c:strRef>
          </c:tx>
          <c:spPr>
            <a:solidFill>
              <a:srgbClr val="66FF99"/>
            </a:solidFill>
            <a:ln>
              <a:solidFill>
                <a:schemeClr val="tx1">
                  <a:lumMod val="75000"/>
                  <a:lumOff val="25000"/>
                </a:schemeClr>
              </a:solidFill>
            </a:ln>
          </c:spPr>
          <c:invertIfNegative val="0"/>
          <c:cat>
            <c:numRef>
              <c:f>'Child Protection Plans'!$K$8:$O$8</c:f>
              <c:numCache>
                <c:formatCode>General</c:formatCode>
                <c:ptCount val="5"/>
                <c:pt idx="0">
                  <c:v>2014</c:v>
                </c:pt>
                <c:pt idx="1">
                  <c:v>2015</c:v>
                </c:pt>
                <c:pt idx="2">
                  <c:v>2016</c:v>
                </c:pt>
                <c:pt idx="3">
                  <c:v>2017</c:v>
                </c:pt>
                <c:pt idx="4">
                  <c:v>2018</c:v>
                </c:pt>
              </c:numCache>
            </c:numRef>
          </c:cat>
          <c:val>
            <c:numRef>
              <c:f>'Child Protection Plans'!$BH$64:$BL$64</c:f>
              <c:numCache>
                <c:formatCode>0%</c:formatCode>
                <c:ptCount val="5"/>
                <c:pt idx="0">
                  <c:v>#N/A</c:v>
                </c:pt>
                <c:pt idx="1">
                  <c:v>#N/A</c:v>
                </c:pt>
                <c:pt idx="2">
                  <c:v>#N/A</c:v>
                </c:pt>
                <c:pt idx="3">
                  <c:v>#N/A</c:v>
                </c:pt>
                <c:pt idx="4">
                  <c:v>#N/A</c:v>
                </c:pt>
              </c:numCache>
            </c:numRef>
          </c:val>
        </c:ser>
        <c:ser>
          <c:idx val="4"/>
          <c:order val="1"/>
          <c:tx>
            <c:strRef>
              <c:f>'Child Protection Plans'!$B$167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'Child Protection Plans'!$K$8:$O$8</c:f>
              <c:numCache>
                <c:formatCode>General</c:formatCode>
                <c:ptCount val="5"/>
                <c:pt idx="0">
                  <c:v>2014</c:v>
                </c:pt>
                <c:pt idx="1">
                  <c:v>2015</c:v>
                </c:pt>
                <c:pt idx="2">
                  <c:v>2016</c:v>
                </c:pt>
                <c:pt idx="3">
                  <c:v>2017</c:v>
                </c:pt>
                <c:pt idx="4">
                  <c:v>2018</c:v>
                </c:pt>
              </c:numCache>
            </c:numRef>
          </c:cat>
          <c:val>
            <c:numRef>
              <c:f>'Child Protection Plans'!$D$202:$H$202</c:f>
              <c:numCache>
                <c:formatCode>0%</c:formatCode>
                <c:ptCount val="5"/>
                <c:pt idx="0">
                  <c:v>0.94429599177800616</c:v>
                </c:pt>
                <c:pt idx="1">
                  <c:v>0.92727272727272725</c:v>
                </c:pt>
                <c:pt idx="2">
                  <c:v>0.93772241992882566</c:v>
                </c:pt>
                <c:pt idx="3">
                  <c:v>0.88193202146690519</c:v>
                </c:pt>
                <c:pt idx="4">
                  <c:v>0.9007633587786259</c:v>
                </c:pt>
              </c:numCache>
            </c:numRef>
          </c:val>
        </c:ser>
        <c:ser>
          <c:idx val="0"/>
          <c:order val="2"/>
          <c:tx>
            <c:strRef>
              <c:f>'Child Protection Plans'!$B$168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'Child Protection Plans'!$D$203:$H$203</c:f>
              <c:numCache>
                <c:formatCode>0%</c:formatCode>
                <c:ptCount val="5"/>
                <c:pt idx="0">
                  <c:v>0.94561933534743203</c:v>
                </c:pt>
                <c:pt idx="1">
                  <c:v>0.94219653179190754</c:v>
                </c:pt>
                <c:pt idx="2">
                  <c:v>0.93724696356275305</c:v>
                </c:pt>
                <c:pt idx="3">
                  <c:v>0.92191075514874143</c:v>
                </c:pt>
                <c:pt idx="4">
                  <c:v>0.90516782099094295</c:v>
                </c:pt>
              </c:numCache>
            </c:numRef>
          </c:val>
        </c:ser>
        <c:dLbls>
          <c:showLegendKey val="0"/>
          <c:showVal val="0"/>
          <c:showCatName val="0"/>
          <c:showSerName val="0"/>
          <c:showPercent val="0"/>
          <c:showBubbleSize val="0"/>
        </c:dLbls>
        <c:gapWidth val="100"/>
        <c:axId val="239778048"/>
        <c:axId val="239788032"/>
      </c:barChart>
      <c:catAx>
        <c:axId val="2397780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788032"/>
        <c:crosses val="autoZero"/>
        <c:auto val="1"/>
        <c:lblAlgn val="ctr"/>
        <c:lblOffset val="100"/>
        <c:noMultiLvlLbl val="0"/>
      </c:catAx>
      <c:valAx>
        <c:axId val="239788032"/>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77804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at 31st March with Reviews in Timescales</a:t>
            </a:r>
          </a:p>
        </c:rich>
      </c:tx>
      <c:layout>
        <c:manualLayout>
          <c:xMode val="edge"/>
          <c:yMode val="edge"/>
          <c:x val="0.10231045966504695"/>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'Child Protection Plans'!$AK$40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Plans'!$BH$39:$BL$39</c:f>
              <c:numCache>
                <c:formatCode>General</c:formatCode>
                <c:ptCount val="5"/>
                <c:pt idx="0">
                  <c:v>2014</c:v>
                </c:pt>
                <c:pt idx="1">
                  <c:v>2015</c:v>
                </c:pt>
                <c:pt idx="2">
                  <c:v>2016</c:v>
                </c:pt>
                <c:pt idx="3">
                  <c:v>2017</c:v>
                </c:pt>
                <c:pt idx="4">
                  <c:v>2018</c:v>
                </c:pt>
              </c:numCache>
            </c:numRef>
          </c:cat>
          <c:val>
            <c:numRef>
              <c:f>'Child Protection Plans'!$BH$40:$BL$40</c:f>
              <c:numCache>
                <c:formatCode>0.0%</c:formatCode>
                <c:ptCount val="5"/>
                <c:pt idx="0">
                  <c:v>1</c:v>
                </c:pt>
                <c:pt idx="1">
                  <c:v>1</c:v>
                </c:pt>
                <c:pt idx="2">
                  <c:v>0.98484848484848486</c:v>
                </c:pt>
                <c:pt idx="3">
                  <c:v>0.97727272727272729</c:v>
                </c:pt>
                <c:pt idx="4">
                  <c:v>0.98461538461538467</c:v>
                </c:pt>
              </c:numCache>
            </c:numRef>
          </c:val>
          <c:smooth val="0"/>
        </c:ser>
        <c:ser>
          <c:idx val="1"/>
          <c:order val="1"/>
          <c:tx>
            <c:strRef>
              <c:f>'Child Protection Plans'!$AK$41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Plans'!$BH$41:$BL$41</c:f>
              <c:numCache>
                <c:formatCode>0.0%</c:formatCode>
                <c:ptCount val="5"/>
                <c:pt idx="0">
                  <c:v>0.99543378995433784</c:v>
                </c:pt>
                <c:pt idx="1">
                  <c:v>1</c:v>
                </c:pt>
                <c:pt idx="2">
                  <c:v>0.98006644518272423</c:v>
                </c:pt>
                <c:pt idx="3">
                  <c:v>0.72834645669291342</c:v>
                </c:pt>
                <c:pt idx="4">
                  <c:v>0.99293286219081267</c:v>
                </c:pt>
              </c:numCache>
            </c:numRef>
          </c:val>
          <c:smooth val="0"/>
        </c:ser>
        <c:ser>
          <c:idx val="2"/>
          <c:order val="2"/>
          <c:tx>
            <c:strRef>
              <c:f>'Child Protection Plans'!$AK$42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Plans'!$BH$42:$BL$42</c:f>
              <c:numCache>
                <c:formatCode>0.0%</c:formatCode>
                <c:ptCount val="5"/>
                <c:pt idx="0">
                  <c:v>0.79374999999999996</c:v>
                </c:pt>
                <c:pt idx="1">
                  <c:v>0.78801843317972353</c:v>
                </c:pt>
                <c:pt idx="2">
                  <c:v>0.9285714285714286</c:v>
                </c:pt>
                <c:pt idx="3">
                  <c:v>0.84571428571428575</c:v>
                </c:pt>
                <c:pt idx="4">
                  <c:v>0.87885010266940455</c:v>
                </c:pt>
              </c:numCache>
            </c:numRef>
          </c:val>
          <c:smooth val="0"/>
        </c:ser>
        <c:ser>
          <c:idx val="5"/>
          <c:order val="3"/>
          <c:tx>
            <c:strRef>
              <c:f>'Child Protection Plans'!$AK$43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Plans'!$BH$43:$BL$43</c:f>
              <c:numCache>
                <c:formatCode>0.0%</c:formatCode>
                <c:ptCount val="5"/>
                <c:pt idx="0">
                  <c:v>0.99564270152505452</c:v>
                </c:pt>
                <c:pt idx="1">
                  <c:v>0.99212598425196852</c:v>
                </c:pt>
                <c:pt idx="2">
                  <c:v>0.97667638483965014</c:v>
                </c:pt>
                <c:pt idx="3">
                  <c:v>0.92121212121212126</c:v>
                </c:pt>
                <c:pt idx="4">
                  <c:v>0.90600522193211486</c:v>
                </c:pt>
              </c:numCache>
            </c:numRef>
          </c:val>
          <c:smooth val="0"/>
        </c:ser>
        <c:ser>
          <c:idx val="9"/>
          <c:order val="4"/>
          <c:tx>
            <c:strRef>
              <c:f>'Child Protection Plans'!$AK$44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Plans'!$BH$44:$BL$44</c:f>
              <c:numCache>
                <c:formatCode>0.0%</c:formatCode>
                <c:ptCount val="5"/>
                <c:pt idx="0">
                  <c:v>0.86363636363636365</c:v>
                </c:pt>
                <c:pt idx="1">
                  <c:v>0.8628691983122363</c:v>
                </c:pt>
                <c:pt idx="2">
                  <c:v>0.88361683079677711</c:v>
                </c:pt>
                <c:pt idx="3">
                  <c:v>0.87581699346405228</c:v>
                </c:pt>
                <c:pt idx="4">
                  <c:v>0.80021030494216616</c:v>
                </c:pt>
              </c:numCache>
            </c:numRef>
          </c:val>
          <c:smooth val="0"/>
        </c:ser>
        <c:ser>
          <c:idx val="10"/>
          <c:order val="5"/>
          <c:tx>
            <c:strRef>
              <c:f>'Child Protection Plans'!$AK$45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Plans'!$BH$45:$BL$45</c:f>
              <c:numCache>
                <c:formatCode>0.0%</c:formatCode>
                <c:ptCount val="5"/>
                <c:pt idx="0">
                  <c:v>0.97029702970297027</c:v>
                </c:pt>
                <c:pt idx="1">
                  <c:v>0.88775510204081631</c:v>
                </c:pt>
                <c:pt idx="2">
                  <c:v>0.97241379310344822</c:v>
                </c:pt>
                <c:pt idx="3">
                  <c:v>0.875</c:v>
                </c:pt>
                <c:pt idx="4">
                  <c:v>0.95394736842105265</c:v>
                </c:pt>
              </c:numCache>
            </c:numRef>
          </c:val>
          <c:smooth val="0"/>
        </c:ser>
        <c:ser>
          <c:idx val="11"/>
          <c:order val="6"/>
          <c:tx>
            <c:strRef>
              <c:f>'Child Protection Plans'!$AK$46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Plans'!$BH$46:$BL$46</c:f>
              <c:numCache>
                <c:formatCode>0.0%</c:formatCode>
                <c:ptCount val="5"/>
                <c:pt idx="0">
                  <c:v>0.95764705882352941</c:v>
                </c:pt>
                <c:pt idx="1">
                  <c:v>0.99395405078597343</c:v>
                </c:pt>
                <c:pt idx="2">
                  <c:v>1</c:v>
                </c:pt>
                <c:pt idx="3">
                  <c:v>1</c:v>
                </c:pt>
                <c:pt idx="4">
                  <c:v>0.99653078924544669</c:v>
                </c:pt>
              </c:numCache>
            </c:numRef>
          </c:val>
          <c:smooth val="0"/>
        </c:ser>
        <c:ser>
          <c:idx val="12"/>
          <c:order val="7"/>
          <c:tx>
            <c:strRef>
              <c:f>'Child Protection Plans'!$AK$47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Plans'!$BH$47:$BL$47</c:f>
              <c:numCache>
                <c:formatCode>0.0%</c:formatCode>
                <c:ptCount val="5"/>
                <c:pt idx="0">
                  <c:v>0.97424892703862664</c:v>
                </c:pt>
                <c:pt idx="1">
                  <c:v>0.96296296296296291</c:v>
                </c:pt>
                <c:pt idx="2">
                  <c:v>0.98987341772151893</c:v>
                </c:pt>
                <c:pt idx="3">
                  <c:v>0.97844827586206895</c:v>
                </c:pt>
                <c:pt idx="4">
                  <c:v>0.9507575757575758</c:v>
                </c:pt>
              </c:numCache>
            </c:numRef>
          </c:val>
          <c:smooth val="0"/>
        </c:ser>
        <c:ser>
          <c:idx val="13"/>
          <c:order val="8"/>
          <c:tx>
            <c:strRef>
              <c:f>'Child Protection Plans'!$AK$48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Plans'!$BH$48:$BL$48</c:f>
              <c:numCache>
                <c:formatCode>0.0%</c:formatCode>
                <c:ptCount val="5"/>
                <c:pt idx="0">
                  <c:v>1</c:v>
                </c:pt>
                <c:pt idx="1">
                  <c:v>1</c:v>
                </c:pt>
                <c:pt idx="2">
                  <c:v>0.95652173913043481</c:v>
                </c:pt>
                <c:pt idx="3">
                  <c:v>1</c:v>
                </c:pt>
                <c:pt idx="4">
                  <c:v>0.98529411764705888</c:v>
                </c:pt>
              </c:numCache>
            </c:numRef>
          </c:val>
          <c:smooth val="0"/>
        </c:ser>
        <c:ser>
          <c:idx val="15"/>
          <c:order val="9"/>
          <c:tx>
            <c:strRef>
              <c:f>'Child Protection Plans'!$AK$49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Plans'!$BH$49:$BL$49</c:f>
              <c:numCache>
                <c:formatCode>0.0%</c:formatCode>
                <c:ptCount val="5"/>
                <c:pt idx="0">
                  <c:v>0.96927374301675973</c:v>
                </c:pt>
                <c:pt idx="1">
                  <c:v>0.95454545454545459</c:v>
                </c:pt>
                <c:pt idx="2">
                  <c:v>0.95674300254452926</c:v>
                </c:pt>
                <c:pt idx="3">
                  <c:v>0.97136038186157514</c:v>
                </c:pt>
                <c:pt idx="4">
                  <c:v>0.93724696356275305</c:v>
                </c:pt>
              </c:numCache>
            </c:numRef>
          </c:val>
          <c:smooth val="0"/>
        </c:ser>
        <c:ser>
          <c:idx val="16"/>
          <c:order val="10"/>
          <c:tx>
            <c:strRef>
              <c:f>'Child Protection Plans'!$AK$50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Plans'!$BH$50:$BL$50</c:f>
              <c:numCache>
                <c:formatCode>0.0%</c:formatCode>
                <c:ptCount val="5"/>
                <c:pt idx="0">
                  <c:v>1</c:v>
                </c:pt>
                <c:pt idx="1">
                  <c:v>0.99397590361445787</c:v>
                </c:pt>
                <c:pt idx="2">
                  <c:v>0.93577981651376152</c:v>
                </c:pt>
                <c:pt idx="3">
                  <c:v>0.99425287356321834</c:v>
                </c:pt>
                <c:pt idx="4">
                  <c:v>1</c:v>
                </c:pt>
              </c:numCache>
            </c:numRef>
          </c:val>
          <c:smooth val="0"/>
        </c:ser>
        <c:ser>
          <c:idx val="17"/>
          <c:order val="11"/>
          <c:tx>
            <c:strRef>
              <c:f>'Child Protection Plans'!$AK$51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Plans'!$BH$51:$BL$51</c:f>
              <c:numCache>
                <c:formatCode>0.0%</c:formatCode>
                <c:ptCount val="5"/>
                <c:pt idx="0">
                  <c:v>0.97478991596638653</c:v>
                </c:pt>
                <c:pt idx="1">
                  <c:v>0.9850746268656716</c:v>
                </c:pt>
                <c:pt idx="2">
                  <c:v>0.78523489932885904</c:v>
                </c:pt>
                <c:pt idx="3">
                  <c:v>3.3898305084745763E-2</c:v>
                </c:pt>
                <c:pt idx="4">
                  <c:v>0.7142857142857143</c:v>
                </c:pt>
              </c:numCache>
            </c:numRef>
          </c:val>
          <c:smooth val="0"/>
        </c:ser>
        <c:ser>
          <c:idx val="19"/>
          <c:order val="12"/>
          <c:tx>
            <c:strRef>
              <c:f>'Child Protection Plans'!$AK$52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Plans'!$BH$52:$BL$52</c:f>
              <c:numCache>
                <c:formatCode>0.0%</c:formatCode>
                <c:ptCount val="5"/>
                <c:pt idx="0">
                  <c:v>0.87012987012987009</c:v>
                </c:pt>
                <c:pt idx="1">
                  <c:v>0.81333333333333335</c:v>
                </c:pt>
                <c:pt idx="2">
                  <c:v>0.96062992125984248</c:v>
                </c:pt>
                <c:pt idx="3">
                  <c:v>0.9642857142857143</c:v>
                </c:pt>
                <c:pt idx="4">
                  <c:v>0.39175257731958762</c:v>
                </c:pt>
              </c:numCache>
            </c:numRef>
          </c:val>
          <c:smooth val="0"/>
        </c:ser>
        <c:ser>
          <c:idx val="3"/>
          <c:order val="13"/>
          <c:tx>
            <c:strRef>
              <c:f>'Child Protection Plans'!$AK$53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Plans'!$BH$53:$BL$53</c:f>
              <c:numCache>
                <c:formatCode>0.0%</c:formatCode>
                <c:ptCount val="5"/>
                <c:pt idx="0">
                  <c:v>1</c:v>
                </c:pt>
                <c:pt idx="1">
                  <c:v>1</c:v>
                </c:pt>
                <c:pt idx="2">
                  <c:v>0.9732620320855615</c:v>
                </c:pt>
                <c:pt idx="3">
                  <c:v>0.95528455284552849</c:v>
                </c:pt>
                <c:pt idx="4">
                  <c:v>0.96065573770491808</c:v>
                </c:pt>
              </c:numCache>
            </c:numRef>
          </c:val>
          <c:smooth val="0"/>
        </c:ser>
        <c:ser>
          <c:idx val="20"/>
          <c:order val="14"/>
          <c:tx>
            <c:strRef>
              <c:f>'Child Protection Plans'!$AK$54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Plans'!$BH$54:$BL$54</c:f>
              <c:numCache>
                <c:formatCode>0.0%</c:formatCode>
                <c:ptCount val="5"/>
                <c:pt idx="0">
                  <c:v>#N/A</c:v>
                </c:pt>
                <c:pt idx="1">
                  <c:v>0.73300970873786409</c:v>
                </c:pt>
                <c:pt idx="2">
                  <c:v>0.72</c:v>
                </c:pt>
                <c:pt idx="3">
                  <c:v>0.75</c:v>
                </c:pt>
                <c:pt idx="4">
                  <c:v>0.72033898305084743</c:v>
                </c:pt>
              </c:numCache>
            </c:numRef>
          </c:val>
          <c:smooth val="0"/>
        </c:ser>
        <c:ser>
          <c:idx val="22"/>
          <c:order val="15"/>
          <c:tx>
            <c:strRef>
              <c:f>'Child Protection Plans'!$AK$55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Plans'!$BH$55:$BL$55</c:f>
              <c:numCache>
                <c:formatCode>0.0%</c:formatCode>
                <c:ptCount val="5"/>
                <c:pt idx="0">
                  <c:v>0.93993993993993996</c:v>
                </c:pt>
                <c:pt idx="1">
                  <c:v>0.851123595505618</c:v>
                </c:pt>
                <c:pt idx="2">
                  <c:v>0.97249190938511332</c:v>
                </c:pt>
                <c:pt idx="3">
                  <c:v>0.97734627831715215</c:v>
                </c:pt>
                <c:pt idx="4">
                  <c:v>0.95</c:v>
                </c:pt>
              </c:numCache>
            </c:numRef>
          </c:val>
          <c:smooth val="0"/>
        </c:ser>
        <c:ser>
          <c:idx val="7"/>
          <c:order val="16"/>
          <c:tx>
            <c:strRef>
              <c:f>'Child Protection Plans'!$AK$56</c:f>
              <c:strCache>
                <c:ptCount val="1"/>
                <c:pt idx="0">
                  <c:v>Swindon</c:v>
                </c:pt>
              </c:strCache>
            </c:strRef>
          </c:tx>
          <c:spPr>
            <a:ln w="15875"/>
          </c:spPr>
          <c:marker>
            <c:symbol val="triangle"/>
            <c:size val="5"/>
            <c:spPr>
              <a:solidFill>
                <a:schemeClr val="accent2">
                  <a:lumMod val="20000"/>
                  <a:lumOff val="80000"/>
                </a:schemeClr>
              </a:solidFill>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Plans'!$BH$56:$BL$56</c:f>
              <c:numCache>
                <c:formatCode>0.0%</c:formatCode>
                <c:ptCount val="5"/>
                <c:pt idx="0">
                  <c:v>0.9838709677419355</c:v>
                </c:pt>
                <c:pt idx="1">
                  <c:v>0.93377483443708609</c:v>
                </c:pt>
                <c:pt idx="2">
                  <c:v>0.94374999999999998</c:v>
                </c:pt>
                <c:pt idx="3">
                  <c:v>0.91719745222929938</c:v>
                </c:pt>
                <c:pt idx="4">
                  <c:v>0.98473282442748089</c:v>
                </c:pt>
              </c:numCache>
            </c:numRef>
          </c:val>
          <c:smooth val="0"/>
        </c:ser>
        <c:ser>
          <c:idx val="8"/>
          <c:order val="17"/>
          <c:tx>
            <c:strRef>
              <c:f>'Child Protection Plans'!$AK$57</c:f>
              <c:strCache>
                <c:ptCount val="1"/>
                <c:pt idx="0">
                  <c:v>Torbay</c:v>
                </c:pt>
              </c:strCache>
            </c:strRef>
          </c:tx>
          <c:spPr>
            <a:ln w="15875"/>
          </c:spPr>
          <c:marker>
            <c:symbol val="circle"/>
            <c:size val="5"/>
            <c:spPr>
              <a:solidFill>
                <a:schemeClr val="accent3">
                  <a:lumMod val="20000"/>
                  <a:lumOff val="80000"/>
                </a:schemeClr>
              </a:solidFill>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Plans'!$BH$57:$BL$57</c:f>
              <c:numCache>
                <c:formatCode>0.0%</c:formatCode>
                <c:ptCount val="5"/>
                <c:pt idx="0">
                  <c:v>0.92783505154639179</c:v>
                </c:pt>
                <c:pt idx="1">
                  <c:v>0.96842105263157896</c:v>
                </c:pt>
                <c:pt idx="2">
                  <c:v>0.90566037735849059</c:v>
                </c:pt>
                <c:pt idx="3">
                  <c:v>0.80916030534351147</c:v>
                </c:pt>
                <c:pt idx="4">
                  <c:v>0.74117647058823533</c:v>
                </c:pt>
              </c:numCache>
            </c:numRef>
          </c:val>
          <c:smooth val="0"/>
        </c:ser>
        <c:ser>
          <c:idx val="23"/>
          <c:order val="18"/>
          <c:tx>
            <c:strRef>
              <c:f>'Child Protection Plans'!$AK$58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Plans'!$BH$58:$BL$58</c:f>
              <c:numCache>
                <c:formatCode>0.0%</c:formatCode>
                <c:ptCount val="5"/>
                <c:pt idx="0">
                  <c:v>0.93150684931506844</c:v>
                </c:pt>
                <c:pt idx="1">
                  <c:v>1</c:v>
                </c:pt>
                <c:pt idx="2">
                  <c:v>0.98936170212765961</c:v>
                </c:pt>
                <c:pt idx="3">
                  <c:v>0.98780487804878048</c:v>
                </c:pt>
                <c:pt idx="4">
                  <c:v>1</c:v>
                </c:pt>
              </c:numCache>
            </c:numRef>
          </c:val>
          <c:smooth val="0"/>
        </c:ser>
        <c:ser>
          <c:idx val="24"/>
          <c:order val="19"/>
          <c:tx>
            <c:strRef>
              <c:f>'Child Protection Plans'!$AK$59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Plans'!$BH$59:$BL$59</c:f>
              <c:numCache>
                <c:formatCode>0.0%</c:formatCode>
                <c:ptCount val="5"/>
                <c:pt idx="0">
                  <c:v>0.99076923076923074</c:v>
                </c:pt>
                <c:pt idx="1">
                  <c:v>0.98016997167138808</c:v>
                </c:pt>
                <c:pt idx="2">
                  <c:v>0.92086330935251803</c:v>
                </c:pt>
                <c:pt idx="3">
                  <c:v>0.83377308707124009</c:v>
                </c:pt>
                <c:pt idx="4">
                  <c:v>0.88682432432432434</c:v>
                </c:pt>
              </c:numCache>
            </c:numRef>
          </c:val>
          <c:smooth val="0"/>
        </c:ser>
        <c:ser>
          <c:idx val="25"/>
          <c:order val="20"/>
          <c:tx>
            <c:strRef>
              <c:f>'Child Protection Plans'!$AK$60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Plans'!$BH$60:$BL$60</c:f>
              <c:numCache>
                <c:formatCode>0.0%</c:formatCode>
                <c:ptCount val="5"/>
                <c:pt idx="0">
                  <c:v>0.92537313432835822</c:v>
                </c:pt>
                <c:pt idx="1">
                  <c:v>0.98039215686274506</c:v>
                </c:pt>
                <c:pt idx="2">
                  <c:v>1</c:v>
                </c:pt>
                <c:pt idx="3">
                  <c:v>0.96907216494845361</c:v>
                </c:pt>
                <c:pt idx="4">
                  <c:v>0.8</c:v>
                </c:pt>
              </c:numCache>
            </c:numRef>
          </c:val>
          <c:smooth val="0"/>
        </c:ser>
        <c:ser>
          <c:idx val="26"/>
          <c:order val="21"/>
          <c:tx>
            <c:strRef>
              <c:f>'Child Protection Plans'!$AK$61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Plans'!$BH$61:$BL$61</c:f>
              <c:numCache>
                <c:formatCode>0.0%</c:formatCode>
                <c:ptCount val="5"/>
                <c:pt idx="0">
                  <c:v>0.98484848484848486</c:v>
                </c:pt>
                <c:pt idx="1">
                  <c:v>1</c:v>
                </c:pt>
                <c:pt idx="2">
                  <c:v>0.94736842105263153</c:v>
                </c:pt>
                <c:pt idx="3">
                  <c:v>0.96551724137931039</c:v>
                </c:pt>
                <c:pt idx="4">
                  <c:v>1</c:v>
                </c:pt>
              </c:numCache>
            </c:numRef>
          </c:val>
          <c:smooth val="0"/>
        </c:ser>
        <c:ser>
          <c:idx val="4"/>
          <c:order val="22"/>
          <c:tx>
            <c:strRef>
              <c:f>'Child Protection Plans'!$AK$62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Plans'!$BH$62:$BL$62</c:f>
              <c:numCache>
                <c:formatCode>0.0%</c:formatCode>
                <c:ptCount val="5"/>
                <c:pt idx="0">
                  <c:v>0.94429599177800616</c:v>
                </c:pt>
                <c:pt idx="1">
                  <c:v>0.92727272727272725</c:v>
                </c:pt>
                <c:pt idx="2">
                  <c:v>0.93772241992882566</c:v>
                </c:pt>
                <c:pt idx="3">
                  <c:v>0.88193202146690519</c:v>
                </c:pt>
                <c:pt idx="4">
                  <c:v>0.9007633587786259</c:v>
                </c:pt>
              </c:numCache>
            </c:numRef>
          </c:val>
          <c:smooth val="0"/>
        </c:ser>
        <c:ser>
          <c:idx val="14"/>
          <c:order val="23"/>
          <c:tx>
            <c:strRef>
              <c:f>'Child Protection Plans'!$AK$63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Plans'!$BH$63:$BL$63</c:f>
              <c:numCache>
                <c:formatCode>0.0%</c:formatCode>
                <c:ptCount val="5"/>
                <c:pt idx="0">
                  <c:v>0.94561933534743203</c:v>
                </c:pt>
                <c:pt idx="1">
                  <c:v>0.94219653179190754</c:v>
                </c:pt>
                <c:pt idx="2">
                  <c:v>0.93724696356275305</c:v>
                </c:pt>
                <c:pt idx="3">
                  <c:v>0.92191075514874143</c:v>
                </c:pt>
                <c:pt idx="4">
                  <c:v>0.90516782099094295</c:v>
                </c:pt>
              </c:numCache>
            </c:numRef>
          </c:val>
          <c:smooth val="0"/>
        </c:ser>
        <c:ser>
          <c:idx val="6"/>
          <c:order val="24"/>
          <c:tx>
            <c:strRef>
              <c:f>'Child Protection Plans'!$AK$64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'Child Protection Plans'!$BH$39:$BL$39</c:f>
              <c:numCache>
                <c:formatCode>General</c:formatCode>
                <c:ptCount val="5"/>
                <c:pt idx="0">
                  <c:v>2014</c:v>
                </c:pt>
                <c:pt idx="1">
                  <c:v>2015</c:v>
                </c:pt>
                <c:pt idx="2">
                  <c:v>2016</c:v>
                </c:pt>
                <c:pt idx="3">
                  <c:v>2017</c:v>
                </c:pt>
                <c:pt idx="4">
                  <c:v>2018</c:v>
                </c:pt>
              </c:numCache>
            </c:numRef>
          </c:cat>
          <c:val>
            <c:numRef>
              <c:f>'Child Protection Plans'!$BH$64:$BL$64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40061056"/>
        <c:axId val="240067328"/>
      </c:lineChart>
      <c:catAx>
        <c:axId val="240061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0067328"/>
        <c:crosses val="autoZero"/>
        <c:auto val="1"/>
        <c:lblAlgn val="ctr"/>
        <c:lblOffset val="100"/>
        <c:tickLblSkip val="1"/>
        <c:tickMarkSkip val="1"/>
        <c:noMultiLvlLbl val="0"/>
      </c:catAx>
      <c:valAx>
        <c:axId val="240067328"/>
        <c:scaling>
          <c:orientation val="minMax"/>
          <c:max val="1.0049999999999999"/>
          <c:min val="0.60000000000000009"/>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0061056"/>
        <c:crosses val="autoZero"/>
        <c:crossBetween val="between"/>
      </c:valAx>
      <c:spPr>
        <a:noFill/>
        <a:ln w="3175">
          <a:solidFill>
            <a:srgbClr val="000000"/>
          </a:solidFill>
          <a:prstDash val="solid"/>
        </a:ln>
      </c:spPr>
    </c:plotArea>
    <c:legend>
      <c:legendPos val="r"/>
      <c:layout>
        <c:manualLayout>
          <c:xMode val="edge"/>
          <c:yMode val="edge"/>
          <c:x val="0.67109092691214423"/>
          <c:y val="6.4741533950671629E-2"/>
          <c:w val="0.31211251343072949"/>
          <c:h val="0.935258466049328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vs. IDACI</a:t>
            </a:r>
          </a:p>
        </c:rich>
      </c:tx>
      <c:layout>
        <c:manualLayout>
          <c:xMode val="edge"/>
          <c:yMode val="edge"/>
          <c:x val="0.1859037947359384"/>
          <c:y val="3.9108659277972302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'Court Applications'!$X$67</c:f>
              <c:strCache>
                <c:ptCount val="1"/>
                <c:pt idx="0">
                  <c:v>National Trend 2016</c:v>
                </c:pt>
              </c:strCache>
            </c:strRef>
          </c:tx>
          <c:spPr>
            <a:ln w="15875">
              <a:solidFill>
                <a:srgbClr val="000000"/>
              </a:solidFill>
            </a:ln>
          </c:spPr>
          <c:marker>
            <c:symbol val="none"/>
          </c:marker>
          <c:dLbls>
            <c:dLbl>
              <c:idx val="0"/>
              <c:delete val="1"/>
            </c:dLbl>
            <c:dLbl>
              <c:idx val="1"/>
              <c:layout/>
              <c:tx>
                <c:strRef>
                  <c:f>'Court Applications'!$AC$67</c:f>
                  <c:strCache>
                    <c:ptCount val="1"/>
                    <c:pt idx="0">
                      <c:v>r² = 0.25</c:v>
                    </c:pt>
                  </c:strCache>
                </c:strRef>
              </c:tx>
              <c:spPr/>
              <c:txPr>
                <a:bodyPr/>
                <a:lstStyle/>
                <a:p>
                  <a:pPr>
                    <a:defRPr sz="900"/>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xVal>
            <c:numRef>
              <c:f>'Court Applications'!$AA$67:$AA$68</c:f>
              <c:numCache>
                <c:formatCode>General</c:formatCode>
                <c:ptCount val="2"/>
                <c:pt idx="0" formatCode="#,##0.0">
                  <c:v>5</c:v>
                </c:pt>
                <c:pt idx="1">
                  <c:v>30</c:v>
                </c:pt>
              </c:numCache>
            </c:numRef>
          </c:xVal>
          <c:yVal>
            <c:numRef>
              <c:f>'Court Applications'!$AB$67:$AB$68</c:f>
              <c:numCache>
                <c:formatCode>0.0</c:formatCode>
                <c:ptCount val="2"/>
                <c:pt idx="0">
                  <c:v>6.4126198630997591</c:v>
                </c:pt>
                <c:pt idx="1">
                  <c:v>17.087623180927267</c:v>
                </c:pt>
              </c:numCache>
            </c:numRef>
          </c:yVal>
          <c:smooth val="1"/>
        </c:ser>
        <c:dLbls>
          <c:showLegendKey val="0"/>
          <c:showVal val="0"/>
          <c:showCatName val="0"/>
          <c:showSerName val="0"/>
          <c:showPercent val="0"/>
          <c:showBubbleSize val="0"/>
        </c:dLbls>
        <c:axId val="239096576"/>
        <c:axId val="239098880"/>
      </c:scatterChart>
      <c:scatterChart>
        <c:scatterStyle val="lineMarker"/>
        <c:varyColors val="0"/>
        <c:ser>
          <c:idx val="0"/>
          <c:order val="0"/>
          <c:tx>
            <c:strRef>
              <c:f>'Court Applications'!$AQ$37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5634218289085547"/>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1.4749262536873156E-2"/>
                  <c:y val="0"/>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30008055176"/>
                  <c:y val="-1.9724901603847381E-2"/>
                </c:manualLayout>
              </c:layout>
              <c:tx>
                <c:rich>
                  <a:bodyPr/>
                  <a:lstStyle/>
                  <a:p>
                    <a:r>
                      <a:rPr lang="en-US"/>
                      <a:t>Buckinghamshire</a:t>
                    </a:r>
                  </a:p>
                </c:rich>
              </c:tx>
              <c:dLblPos val="r"/>
              <c:showLegendKey val="0"/>
              <c:showVal val="0"/>
              <c:showCatName val="1"/>
              <c:showSerName val="0"/>
              <c:showPercent val="0"/>
              <c:showBubbleSize val="0"/>
            </c:dLbl>
            <c:dLbl>
              <c:idx val="3"/>
              <c:layout>
                <c:manualLayout>
                  <c:x val="-1.5576323987538941E-2"/>
                  <c:y val="1.4914239599255556E-2"/>
                </c:manualLayout>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dLblPos val="l"/>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dLblPos val="r"/>
              <c:showLegendKey val="0"/>
              <c:showVal val="0"/>
              <c:showCatName val="1"/>
              <c:showSerName val="0"/>
              <c:showPercent val="0"/>
              <c:showBubbleSize val="0"/>
            </c:dLbl>
            <c:dLbl>
              <c:idx val="8"/>
              <c:layout/>
              <c:tx>
                <c:rich>
                  <a:bodyPr/>
                  <a:lstStyle/>
                  <a:p>
                    <a:r>
                      <a:rPr lang="en-US"/>
                      <a:t>Milton Keynes</a:t>
                    </a:r>
                  </a:p>
                </c:rich>
              </c:tx>
              <c:dLblPos val="r"/>
              <c:showLegendKey val="0"/>
              <c:showVal val="0"/>
              <c:showCatName val="1"/>
              <c:showSerName val="0"/>
              <c:showPercent val="0"/>
              <c:showBubbleSize val="0"/>
            </c:dLbl>
            <c:dLbl>
              <c:idx val="9"/>
              <c:layout/>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layout/>
              <c:tx>
                <c:rich>
                  <a:bodyPr/>
                  <a:lstStyle/>
                  <a:p>
                    <a:r>
                      <a:rPr lang="en-US"/>
                      <a:t>Reading</a:t>
                    </a:r>
                  </a:p>
                </c:rich>
              </c:tx>
              <c:dLblPos val="r"/>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dLblPos val="l"/>
              <c:showLegendKey val="0"/>
              <c:showVal val="0"/>
              <c:showCatName val="1"/>
              <c:showSerName val="0"/>
              <c:showPercent val="0"/>
              <c:showBubbleSize val="0"/>
            </c:dLbl>
            <c:dLbl>
              <c:idx val="14"/>
              <c:layout/>
              <c:tx>
                <c:rich>
                  <a:bodyPr/>
                  <a:lstStyle/>
                  <a:p>
                    <a:r>
                      <a:rPr lang="en-US"/>
                      <a:t>Surrey</a:t>
                    </a:r>
                  </a:p>
                </c:rich>
              </c:tx>
              <c:dLblPos val="l"/>
              <c:showLegendKey val="0"/>
              <c:showVal val="0"/>
              <c:showCatName val="1"/>
              <c:showSerName val="0"/>
              <c:showPercent val="0"/>
              <c:showBubbleSize val="0"/>
            </c:dLbl>
            <c:dLbl>
              <c:idx val="15"/>
              <c:layout/>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800544710491783"/>
                  <c:y val="1.3242527825470671E-2"/>
                </c:manualLayout>
              </c:layout>
              <c:tx>
                <c:rich>
                  <a:bodyPr/>
                  <a:lstStyle/>
                  <a:p>
                    <a:r>
                      <a:rPr lang="en-US"/>
                      <a:t>Windsor &amp; Maidenhead</a:t>
                    </a:r>
                  </a:p>
                </c:rich>
              </c:tx>
              <c:dLblPos val="r"/>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('Court Applications'!$AQ$40:$AQ$52,'Court Applications'!$AQ$54:$AQ$55,'Court Applications'!$AQ$58:$AQ$61)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('Court Applications'!$AP$40:$AP$52,'Court Applications'!$AP$54:$AP$55,'Court Applications'!$AP$58:$AP$61)</c:f>
              <c:numCache>
                <c:formatCode>0.0</c:formatCode>
                <c:ptCount val="19"/>
                <c:pt idx="0">
                  <c:v>19.59317445050052</c:v>
                </c:pt>
                <c:pt idx="1">
                  <c:v>15.103666071673761</c:v>
                </c:pt>
                <c:pt idx="2">
                  <c:v>7.0688604509445465</c:v>
                </c:pt>
                <c:pt idx="3">
                  <c:v>8.486963081710595</c:v>
                </c:pt>
                <c:pt idx="4">
                  <c:v>9.1418002640180163</c:v>
                </c:pt>
                <c:pt idx="5">
                  <c:v>16.363999201756137</c:v>
                </c:pt>
                <c:pt idx="6">
                  <c:v>8.8071647475378629</c:v>
                </c:pt>
                <c:pt idx="7">
                  <c:v>13.136699873324678</c:v>
                </c:pt>
                <c:pt idx="8">
                  <c:v>8.7217467145623608</c:v>
                </c:pt>
                <c:pt idx="9">
                  <c:v>9.4113382225816355</c:v>
                </c:pt>
                <c:pt idx="10">
                  <c:v>16.518826937002171</c:v>
                </c:pt>
                <c:pt idx="11">
                  <c:v>16.984336667295715</c:v>
                </c:pt>
                <c:pt idx="12">
                  <c:v>13.513513513513514</c:v>
                </c:pt>
                <c:pt idx="13">
                  <c:v>17.890865719113407</c:v>
                </c:pt>
                <c:pt idx="14">
                  <c:v>7.8753769616411526</c:v>
                </c:pt>
                <c:pt idx="15">
                  <c:v>10.058675607711651</c:v>
                </c:pt>
                <c:pt idx="16">
                  <c:v>9.4643959810942917</c:v>
                </c:pt>
                <c:pt idx="17">
                  <c:v>5.5309734513274336</c:v>
                </c:pt>
                <c:pt idx="18">
                  <c:v>5.426076171774068</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layout/>
              <c:tx>
                <c:rich>
                  <a:bodyPr/>
                  <a:lstStyle/>
                  <a:p>
                    <a:r>
                      <a:rPr lang="en-GB"/>
                      <a:t>Somerset</a:t>
                    </a:r>
                  </a:p>
                </c:rich>
              </c:tx>
              <c:showLegendKey val="0"/>
              <c:showVal val="0"/>
              <c:showCatName val="0"/>
              <c:showSerName val="1"/>
              <c:showPercent val="0"/>
              <c:showBubbleSize val="0"/>
            </c:dLbl>
            <c:dLbl>
              <c:idx val="1"/>
              <c:layout/>
              <c:tx>
                <c:rich>
                  <a:bodyPr/>
                  <a:lstStyle/>
                  <a:p>
                    <a:r>
                      <a:rPr lang="en-GB"/>
                      <a:t>Swindon</a:t>
                    </a:r>
                  </a:p>
                </c:rich>
              </c:tx>
              <c:dLblPos val="l"/>
              <c:showLegendKey val="0"/>
              <c:showVal val="0"/>
              <c:showCatName val="0"/>
              <c:showSerName val="1"/>
              <c:showPercent val="0"/>
              <c:showBubbleSize val="0"/>
            </c:dLbl>
            <c:dLbl>
              <c:idx val="2"/>
              <c:layout/>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('Court Applications'!$AQ$53,'Court Applications'!$AQ$56,'Court Applications'!$AQ$57)</c:f>
              <c:numCache>
                <c:formatCode>0.0</c:formatCode>
                <c:ptCount val="3"/>
                <c:pt idx="0">
                  <c:v>14.8</c:v>
                </c:pt>
                <c:pt idx="1">
                  <c:v>17.2</c:v>
                </c:pt>
                <c:pt idx="2">
                  <c:v>24.1</c:v>
                </c:pt>
              </c:numCache>
            </c:numRef>
          </c:xVal>
          <c:yVal>
            <c:numRef>
              <c:f>('Court Applications'!$AP$53,'Court Applications'!$AP$56,'Court Applications'!$AP$57)</c:f>
              <c:numCache>
                <c:formatCode>0.0</c:formatCode>
                <c:ptCount val="3"/>
                <c:pt idx="0">
                  <c:v>11.990843355982703</c:v>
                </c:pt>
                <c:pt idx="1">
                  <c:v>17.025879336591618</c:v>
                </c:pt>
                <c:pt idx="2">
                  <c:v>23.606247786914267</c:v>
                </c:pt>
              </c:numCache>
            </c:numRef>
          </c:yVal>
          <c:smooth val="0"/>
        </c:ser>
        <c:ser>
          <c:idx val="1"/>
          <c:order val="2"/>
          <c:tx>
            <c:strRef>
              <c:f>'Court Applications'!$Z$4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'Court Applications'!$Y$40</c:f>
              <c:numCache>
                <c:formatCode>0.00</c:formatCode>
                <c:ptCount val="1"/>
                <c:pt idx="0">
                  <c:v>#N/A</c:v>
                </c:pt>
              </c:numCache>
            </c:numRef>
          </c:xVal>
          <c:yVal>
            <c:numRef>
              <c:f>'Court Applications'!$Z$40</c:f>
              <c:numCache>
                <c:formatCode>0.00</c:formatCode>
                <c:ptCount val="1"/>
                <c:pt idx="0">
                  <c:v>#N/A</c:v>
                </c:pt>
              </c:numCache>
            </c:numRef>
          </c:yVal>
          <c:smooth val="0"/>
        </c:ser>
        <c:ser>
          <c:idx val="2"/>
          <c:order val="3"/>
          <c:tx>
            <c:strRef>
              <c:f>'Court Applications'!$X$65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2.6177462082973894E-2"/>
                  <c:y val="2.2926122137992652E-2"/>
                </c:manualLayout>
              </c:layout>
              <c:tx>
                <c:rich>
                  <a:bodyPr/>
                  <a:lstStyle/>
                  <a:p>
                    <a:r>
                      <a:rPr lang="en-US" sz="900">
                        <a:solidFill>
                          <a:srgbClr val="C00000"/>
                        </a:solidFill>
                      </a:rPr>
                      <a:t>r² = 0.4208</a:t>
                    </a:r>
                    <a:endParaRPr lang="en-US"/>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'Court Applications'!$AA$65:$AA$66</c:f>
              <c:numCache>
                <c:formatCode>General</c:formatCode>
                <c:ptCount val="2"/>
                <c:pt idx="0" formatCode="#,##0.0">
                  <c:v>5</c:v>
                </c:pt>
                <c:pt idx="1">
                  <c:v>30</c:v>
                </c:pt>
              </c:numCache>
            </c:numRef>
          </c:xVal>
          <c:yVal>
            <c:numRef>
              <c:f>'Court Applications'!$AB$65:$AB$66</c:f>
              <c:numCache>
                <c:formatCode>0.0</c:formatCode>
                <c:ptCount val="2"/>
                <c:pt idx="0">
                  <c:v>6.1265999999999998</c:v>
                </c:pt>
                <c:pt idx="1">
                  <c:v>18.879100000000001</c:v>
                </c:pt>
              </c:numCache>
            </c:numRef>
          </c:yVal>
          <c:smooth val="0"/>
        </c:ser>
        <c:ser>
          <c:idx val="4"/>
          <c:order val="4"/>
          <c:tx>
            <c:strRef>
              <c:f>'Court Applications'!$B$31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'Court Applications'!$R$31</c:f>
              <c:numCache>
                <c:formatCode>0.0</c:formatCode>
                <c:ptCount val="1"/>
                <c:pt idx="0">
                  <c:v>14.45223640702325</c:v>
                </c:pt>
              </c:numCache>
            </c:numRef>
          </c:xVal>
          <c:yVal>
            <c:numRef>
              <c:f>'Court Applications'!$O$31</c:f>
              <c:numCache>
                <c:formatCode>0.0</c:formatCode>
                <c:ptCount val="1"/>
                <c:pt idx="0">
                  <c:v>9.8309296170258751</c:v>
                </c:pt>
              </c:numCache>
            </c:numRef>
          </c:yVal>
          <c:smooth val="0"/>
        </c:ser>
        <c:dLbls>
          <c:showLegendKey val="0"/>
          <c:showVal val="0"/>
          <c:showCatName val="0"/>
          <c:showSerName val="0"/>
          <c:showPercent val="0"/>
          <c:showBubbleSize val="0"/>
        </c:dLbls>
        <c:axId val="239096576"/>
        <c:axId val="239098880"/>
      </c:scatterChart>
      <c:valAx>
        <c:axId val="239096576"/>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098880"/>
        <c:crosses val="autoZero"/>
        <c:crossBetween val="midCat"/>
      </c:valAx>
      <c:valAx>
        <c:axId val="239098880"/>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Care Applications to Court per 10,000 0-17 year olds</a:t>
                </a:r>
              </a:p>
            </c:rich>
          </c:tx>
          <c:layout>
            <c:manualLayout>
              <c:xMode val="edge"/>
              <c:yMode val="edge"/>
              <c:x val="6.6789763167715926E-2"/>
              <c:y val="0.120101200748953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909657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per 10,000 0-17 year olds</a:t>
            </a:r>
          </a:p>
        </c:rich>
      </c:tx>
      <c:layout>
        <c:manualLayout>
          <c:xMode val="edge"/>
          <c:yMode val="edge"/>
          <c:x val="0.11894722645835276"/>
          <c:y val="2.0819758371612838E-2"/>
        </c:manualLayout>
      </c:layout>
      <c:overlay val="0"/>
      <c:spPr>
        <a:noFill/>
        <a:ln w="25400">
          <a:noFill/>
        </a:ln>
      </c:spPr>
    </c:title>
    <c:autoTitleDeleted val="0"/>
    <c:plotArea>
      <c:layout>
        <c:manualLayout>
          <c:layoutTarget val="inner"/>
          <c:xMode val="edge"/>
          <c:yMode val="edge"/>
          <c:x val="7.1224466506904033E-2"/>
          <c:y val="7.5616446156444389E-2"/>
          <c:w val="0.57508230927201043"/>
          <c:h val="0.86104944187090848"/>
        </c:manualLayout>
      </c:layout>
      <c:lineChart>
        <c:grouping val="standard"/>
        <c:varyColors val="0"/>
        <c:ser>
          <c:idx val="0"/>
          <c:order val="0"/>
          <c:tx>
            <c:strRef>
              <c:f>'Court Applications'!$AK$40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'Court Applications'!$D$8:$H$8</c:f>
              <c:numCache>
                <c:formatCode>General</c:formatCode>
                <c:ptCount val="5"/>
                <c:pt idx="0">
                  <c:v>2014</c:v>
                </c:pt>
                <c:pt idx="1">
                  <c:v>2015</c:v>
                </c:pt>
                <c:pt idx="2">
                  <c:v>2016</c:v>
                </c:pt>
                <c:pt idx="3">
                  <c:v>2017</c:v>
                </c:pt>
                <c:pt idx="4">
                  <c:v>2018</c:v>
                </c:pt>
              </c:numCache>
            </c:numRef>
          </c:cat>
          <c:val>
            <c:numRef>
              <c:f>'Court Applications'!$AL$40:$AP$40</c:f>
              <c:numCache>
                <c:formatCode>0.0</c:formatCode>
                <c:ptCount val="5"/>
                <c:pt idx="0">
                  <c:v>8.1180811808118083</c:v>
                </c:pt>
                <c:pt idx="1">
                  <c:v>5.7553956834532372</c:v>
                </c:pt>
                <c:pt idx="2">
                  <c:v>12.411347517730498</c:v>
                </c:pt>
                <c:pt idx="3">
                  <c:v>12.422801164193938</c:v>
                </c:pt>
                <c:pt idx="4">
                  <c:v>19.59317445050052</c:v>
                </c:pt>
              </c:numCache>
            </c:numRef>
          </c:val>
          <c:smooth val="0"/>
        </c:ser>
        <c:ser>
          <c:idx val="1"/>
          <c:order val="1"/>
          <c:tx>
            <c:strRef>
              <c:f>'Court Applications'!$AK$41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Applications'!$AL$41:$AP$41</c:f>
              <c:numCache>
                <c:formatCode>0.0</c:formatCode>
                <c:ptCount val="5"/>
                <c:pt idx="0">
                  <c:v>13.663366336633663</c:v>
                </c:pt>
                <c:pt idx="1">
                  <c:v>15.686274509803921</c:v>
                </c:pt>
                <c:pt idx="2">
                  <c:v>19.3359375</c:v>
                </c:pt>
                <c:pt idx="3">
                  <c:v>20.280415748522845</c:v>
                </c:pt>
                <c:pt idx="4">
                  <c:v>15.103666071673761</c:v>
                </c:pt>
              </c:numCache>
            </c:numRef>
          </c:val>
          <c:smooth val="0"/>
        </c:ser>
        <c:ser>
          <c:idx val="2"/>
          <c:order val="2"/>
          <c:tx>
            <c:strRef>
              <c:f>'Court Applications'!$AK$42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Applications'!$AL$42:$AP$42</c:f>
              <c:numCache>
                <c:formatCode>0.0</c:formatCode>
                <c:ptCount val="5"/>
                <c:pt idx="0">
                  <c:v>5.1870748299319729</c:v>
                </c:pt>
                <c:pt idx="1">
                  <c:v>4.6257359125315389</c:v>
                </c:pt>
                <c:pt idx="2">
                  <c:v>9.9502487562189046</c:v>
                </c:pt>
                <c:pt idx="3">
                  <c:v>8.346630661593224</c:v>
                </c:pt>
                <c:pt idx="4">
                  <c:v>7.0688604509445465</c:v>
                </c:pt>
              </c:numCache>
            </c:numRef>
          </c:val>
          <c:smooth val="0"/>
        </c:ser>
        <c:ser>
          <c:idx val="5"/>
          <c:order val="3"/>
          <c:tx>
            <c:strRef>
              <c:f>'Court Applications'!$AK$43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Applications'!$AL$43:$AP$43</c:f>
              <c:numCache>
                <c:formatCode>0.0</c:formatCode>
                <c:ptCount val="5"/>
                <c:pt idx="0">
                  <c:v>7.3473282442748094</c:v>
                </c:pt>
                <c:pt idx="1">
                  <c:v>6.0721062618595827</c:v>
                </c:pt>
                <c:pt idx="2">
                  <c:v>7.7431539187913128</c:v>
                </c:pt>
                <c:pt idx="3">
                  <c:v>9.3464120162759734</c:v>
                </c:pt>
                <c:pt idx="4">
                  <c:v>8.486963081710595</c:v>
                </c:pt>
              </c:numCache>
            </c:numRef>
          </c:val>
          <c:smooth val="0"/>
        </c:ser>
        <c:ser>
          <c:idx val="9"/>
          <c:order val="4"/>
          <c:tx>
            <c:strRef>
              <c:f>'Court Applications'!$AK$44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Applications'!$AL$44:$AP$44</c:f>
              <c:numCache>
                <c:formatCode>0.0</c:formatCode>
                <c:ptCount val="5"/>
                <c:pt idx="0">
                  <c:v>5.9240865555161406</c:v>
                </c:pt>
                <c:pt idx="1">
                  <c:v>6.1456483126110122</c:v>
                </c:pt>
                <c:pt idx="2">
                  <c:v>6.8818730046115641</c:v>
                </c:pt>
                <c:pt idx="3">
                  <c:v>8.0271295762594992</c:v>
                </c:pt>
                <c:pt idx="4">
                  <c:v>9.1418002640180163</c:v>
                </c:pt>
              </c:numCache>
            </c:numRef>
          </c:val>
          <c:smooth val="0"/>
        </c:ser>
        <c:ser>
          <c:idx val="10"/>
          <c:order val="5"/>
          <c:tx>
            <c:strRef>
              <c:f>'Court Applications'!$AK$45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Applications'!$AL$45:$AP$45</c:f>
              <c:numCache>
                <c:formatCode>0.0</c:formatCode>
                <c:ptCount val="5"/>
                <c:pt idx="0">
                  <c:v>15.116279069767442</c:v>
                </c:pt>
                <c:pt idx="1">
                  <c:v>14.901960784313726</c:v>
                </c:pt>
                <c:pt idx="2">
                  <c:v>12.648221343873518</c:v>
                </c:pt>
                <c:pt idx="3">
                  <c:v>17.063492063492063</c:v>
                </c:pt>
                <c:pt idx="4">
                  <c:v>16.363999201756137</c:v>
                </c:pt>
              </c:numCache>
            </c:numRef>
          </c:val>
          <c:smooth val="0"/>
        </c:ser>
        <c:ser>
          <c:idx val="11"/>
          <c:order val="6"/>
          <c:tx>
            <c:strRef>
              <c:f>'Court Applications'!$AK$46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Applications'!$AL$46:$AP$46</c:f>
              <c:numCache>
                <c:formatCode>0.0</c:formatCode>
                <c:ptCount val="5"/>
                <c:pt idx="0">
                  <c:v>8.3538083538083541</c:v>
                </c:pt>
                <c:pt idx="1">
                  <c:v>7.4626865671641793</c:v>
                </c:pt>
                <c:pt idx="2">
                  <c:v>7.8692493946731235</c:v>
                </c:pt>
                <c:pt idx="3">
                  <c:v>9.1579216021858905</c:v>
                </c:pt>
                <c:pt idx="4">
                  <c:v>8.8071647475378629</c:v>
                </c:pt>
              </c:numCache>
            </c:numRef>
          </c:val>
          <c:smooth val="0"/>
        </c:ser>
        <c:ser>
          <c:idx val="12"/>
          <c:order val="7"/>
          <c:tx>
            <c:strRef>
              <c:f>'Court Applications'!$AK$47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Applications'!$AL$47:$AP$47</c:f>
              <c:numCache>
                <c:formatCode>0.0</c:formatCode>
                <c:ptCount val="5"/>
                <c:pt idx="0">
                  <c:v>7.954545454545455</c:v>
                </c:pt>
                <c:pt idx="1">
                  <c:v>14.4</c:v>
                </c:pt>
                <c:pt idx="2">
                  <c:v>22.468354430379748</c:v>
                </c:pt>
                <c:pt idx="3">
                  <c:v>9.2626026343469867</c:v>
                </c:pt>
                <c:pt idx="4">
                  <c:v>13.136699873324678</c:v>
                </c:pt>
              </c:numCache>
            </c:numRef>
          </c:val>
          <c:smooth val="0"/>
        </c:ser>
        <c:ser>
          <c:idx val="13"/>
          <c:order val="8"/>
          <c:tx>
            <c:strRef>
              <c:f>'Court Applications'!$AK$48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Applications'!$AL$48:$AP$48</c:f>
              <c:numCache>
                <c:formatCode>0.0</c:formatCode>
                <c:ptCount val="5"/>
                <c:pt idx="0">
                  <c:v>7.65625</c:v>
                </c:pt>
                <c:pt idx="1">
                  <c:v>5.9815950920245395</c:v>
                </c:pt>
                <c:pt idx="2">
                  <c:v>9.2284417549167923</c:v>
                </c:pt>
                <c:pt idx="3">
                  <c:v>12.212194322818931</c:v>
                </c:pt>
                <c:pt idx="4">
                  <c:v>8.7217467145623608</c:v>
                </c:pt>
              </c:numCache>
            </c:numRef>
          </c:val>
          <c:smooth val="0"/>
        </c:ser>
        <c:ser>
          <c:idx val="15"/>
          <c:order val="9"/>
          <c:tx>
            <c:strRef>
              <c:f>'Court Applications'!$AK$49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Applications'!$AL$49:$AP$49</c:f>
              <c:numCache>
                <c:formatCode>0.0</c:formatCode>
                <c:ptCount val="5"/>
                <c:pt idx="0">
                  <c:v>6.2722736992159653</c:v>
                </c:pt>
                <c:pt idx="1">
                  <c:v>7.9320113314447589</c:v>
                </c:pt>
                <c:pt idx="2">
                  <c:v>10.860366713681241</c:v>
                </c:pt>
                <c:pt idx="3">
                  <c:v>11.12689559612868</c:v>
                </c:pt>
                <c:pt idx="4">
                  <c:v>9.4113382225816355</c:v>
                </c:pt>
              </c:numCache>
            </c:numRef>
          </c:val>
          <c:smooth val="0"/>
        </c:ser>
        <c:ser>
          <c:idx val="16"/>
          <c:order val="10"/>
          <c:tx>
            <c:strRef>
              <c:f>'Court Applications'!$AK$50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Applications'!$AL$50:$AP$50</c:f>
              <c:numCache>
                <c:formatCode>0.0</c:formatCode>
                <c:ptCount val="5"/>
                <c:pt idx="0">
                  <c:v>11.03286384976526</c:v>
                </c:pt>
                <c:pt idx="1">
                  <c:v>13.59447004608295</c:v>
                </c:pt>
                <c:pt idx="2">
                  <c:v>10.273972602739725</c:v>
                </c:pt>
                <c:pt idx="3">
                  <c:v>10.90909090909091</c:v>
                </c:pt>
                <c:pt idx="4">
                  <c:v>16.518826937002171</c:v>
                </c:pt>
              </c:numCache>
            </c:numRef>
          </c:val>
          <c:smooth val="0"/>
        </c:ser>
        <c:ser>
          <c:idx val="17"/>
          <c:order val="11"/>
          <c:tx>
            <c:strRef>
              <c:f>'Court Applications'!$AK$51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Applications'!$AL$51:$AP$51</c:f>
              <c:numCache>
                <c:formatCode>0.0</c:formatCode>
                <c:ptCount val="5"/>
                <c:pt idx="0">
                  <c:v>7.2046109510086449</c:v>
                </c:pt>
                <c:pt idx="1">
                  <c:v>10.863509749303622</c:v>
                </c:pt>
                <c:pt idx="2">
                  <c:v>18.406593406593409</c:v>
                </c:pt>
                <c:pt idx="3">
                  <c:v>21.287628612756201</c:v>
                </c:pt>
                <c:pt idx="4">
                  <c:v>16.984336667295715</c:v>
                </c:pt>
              </c:numCache>
            </c:numRef>
          </c:val>
          <c:smooth val="0"/>
        </c:ser>
        <c:ser>
          <c:idx val="19"/>
          <c:order val="12"/>
          <c:tx>
            <c:strRef>
              <c:f>'Court Applications'!$AK$52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Applications'!$AL$52:$AP$52</c:f>
              <c:numCache>
                <c:formatCode>0.0</c:formatCode>
                <c:ptCount val="5"/>
                <c:pt idx="0">
                  <c:v>10.025706940874036</c:v>
                </c:pt>
                <c:pt idx="1">
                  <c:v>9.2731829573934839</c:v>
                </c:pt>
                <c:pt idx="2">
                  <c:v>14.039408866995075</c:v>
                </c:pt>
                <c:pt idx="3">
                  <c:v>12.558566391344248</c:v>
                </c:pt>
                <c:pt idx="4">
                  <c:v>13.513513513513514</c:v>
                </c:pt>
              </c:numCache>
            </c:numRef>
          </c:val>
          <c:smooth val="0"/>
        </c:ser>
        <c:ser>
          <c:idx val="3"/>
          <c:order val="13"/>
          <c:tx>
            <c:strRef>
              <c:f>'Court Applications'!$AK$53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Applications'!$AL$53:$AP$53</c:f>
              <c:numCache>
                <c:formatCode>0.0</c:formatCode>
                <c:ptCount val="5"/>
                <c:pt idx="0">
                  <c:v>9.5588235294117645</c:v>
                </c:pt>
                <c:pt idx="1">
                  <c:v>12.029384756657484</c:v>
                </c:pt>
                <c:pt idx="2">
                  <c:v>13.644688644688646</c:v>
                </c:pt>
                <c:pt idx="3">
                  <c:v>13.314243504746619</c:v>
                </c:pt>
                <c:pt idx="4">
                  <c:v>11.990843355982703</c:v>
                </c:pt>
              </c:numCache>
            </c:numRef>
          </c:val>
          <c:smooth val="0"/>
        </c:ser>
        <c:ser>
          <c:idx val="20"/>
          <c:order val="14"/>
          <c:tx>
            <c:strRef>
              <c:f>'Court Applications'!$AK$54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Applications'!$AL$54:$AP$54</c:f>
              <c:numCache>
                <c:formatCode>0.0</c:formatCode>
                <c:ptCount val="5"/>
                <c:pt idx="0">
                  <c:v>21.308016877637129</c:v>
                </c:pt>
                <c:pt idx="1">
                  <c:v>19.753086419753085</c:v>
                </c:pt>
                <c:pt idx="2">
                  <c:v>18.902439024390244</c:v>
                </c:pt>
                <c:pt idx="3">
                  <c:v>17.434520350293582</c:v>
                </c:pt>
                <c:pt idx="4">
                  <c:v>17.890865719113407</c:v>
                </c:pt>
              </c:numCache>
            </c:numRef>
          </c:val>
          <c:smooth val="0"/>
        </c:ser>
        <c:ser>
          <c:idx val="22"/>
          <c:order val="15"/>
          <c:tx>
            <c:strRef>
              <c:f>'Court Applications'!$AK$55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Applications'!$AL$55:$AP$55</c:f>
              <c:numCache>
                <c:formatCode>0.0</c:formatCode>
                <c:ptCount val="5"/>
                <c:pt idx="0">
                  <c:v>4.7222222222222223</c:v>
                </c:pt>
                <c:pt idx="1">
                  <c:v>4.2812254516889237</c:v>
                </c:pt>
                <c:pt idx="2">
                  <c:v>5.4992199687987515</c:v>
                </c:pt>
                <c:pt idx="3">
                  <c:v>6.9498337831420196</c:v>
                </c:pt>
                <c:pt idx="4">
                  <c:v>7.8753769616411526</c:v>
                </c:pt>
              </c:numCache>
            </c:numRef>
          </c:val>
          <c:smooth val="0"/>
        </c:ser>
        <c:ser>
          <c:idx val="7"/>
          <c:order val="16"/>
          <c:tx>
            <c:strRef>
              <c:f>'Court Applications'!$AK$56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'Court Applications'!$AL$56:$AP$56</c:f>
              <c:numCache>
                <c:formatCode>0.0</c:formatCode>
                <c:ptCount val="5"/>
                <c:pt idx="0">
                  <c:v>9.3945720250521916</c:v>
                </c:pt>
                <c:pt idx="1">
                  <c:v>9.6707818930041149</c:v>
                </c:pt>
                <c:pt idx="2">
                  <c:v>10.816326530612246</c:v>
                </c:pt>
                <c:pt idx="3">
                  <c:v>15.769681775908778</c:v>
                </c:pt>
                <c:pt idx="4">
                  <c:v>17.025879336591618</c:v>
                </c:pt>
              </c:numCache>
            </c:numRef>
          </c:val>
          <c:smooth val="0"/>
        </c:ser>
        <c:ser>
          <c:idx val="8"/>
          <c:order val="17"/>
          <c:tx>
            <c:strRef>
              <c:f>'Court Applications'!$AK$57</c:f>
              <c:strCache>
                <c:ptCount val="1"/>
                <c:pt idx="0">
                  <c:v>Torbay</c:v>
                </c:pt>
              </c:strCache>
            </c:strRef>
          </c:tx>
          <c:spPr>
            <a:ln w="15875"/>
          </c:spPr>
          <c:marker>
            <c:symbol val="circle"/>
            <c:size val="5"/>
            <c:spPr>
              <a:solidFill>
                <a:schemeClr val="accent3">
                  <a:lumMod val="20000"/>
                  <a:lumOff val="80000"/>
                </a:schemeClr>
              </a:solidFill>
            </c:spPr>
          </c:marker>
          <c:val>
            <c:numRef>
              <c:f>'Court Applications'!$AL$57:$AP$57</c:f>
              <c:numCache>
                <c:formatCode>0.0</c:formatCode>
                <c:ptCount val="5"/>
                <c:pt idx="0">
                  <c:v>23.79032258064516</c:v>
                </c:pt>
                <c:pt idx="1">
                  <c:v>23.107569721115539</c:v>
                </c:pt>
                <c:pt idx="2">
                  <c:v>21.825396825396826</c:v>
                </c:pt>
                <c:pt idx="3">
                  <c:v>22.070705080203364</c:v>
                </c:pt>
                <c:pt idx="4">
                  <c:v>23.606247786914267</c:v>
                </c:pt>
              </c:numCache>
            </c:numRef>
          </c:val>
          <c:smooth val="0"/>
        </c:ser>
        <c:ser>
          <c:idx val="23"/>
          <c:order val="18"/>
          <c:tx>
            <c:strRef>
              <c:f>'Court Applications'!$AK$58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Applications'!$AL$58:$AP$58</c:f>
              <c:numCache>
                <c:formatCode>0.0</c:formatCode>
                <c:ptCount val="5"/>
                <c:pt idx="0">
                  <c:v>5.8823529411764701</c:v>
                </c:pt>
                <c:pt idx="1">
                  <c:v>8.4269662921348321</c:v>
                </c:pt>
                <c:pt idx="2">
                  <c:v>13.725490196078432</c:v>
                </c:pt>
                <c:pt idx="3">
                  <c:v>10.85413709610086</c:v>
                </c:pt>
                <c:pt idx="4">
                  <c:v>10.058675607711651</c:v>
                </c:pt>
              </c:numCache>
            </c:numRef>
          </c:val>
          <c:smooth val="0"/>
        </c:ser>
        <c:ser>
          <c:idx val="24"/>
          <c:order val="19"/>
          <c:tx>
            <c:strRef>
              <c:f>'Court Applications'!$AK$59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Applications'!$AL$59:$AP$59</c:f>
              <c:numCache>
                <c:formatCode>0.0</c:formatCode>
                <c:ptCount val="5"/>
                <c:pt idx="0">
                  <c:v>4.0119760479041915</c:v>
                </c:pt>
                <c:pt idx="1">
                  <c:v>5.2132701421800949</c:v>
                </c:pt>
                <c:pt idx="2">
                  <c:v>8.0985915492957741</c:v>
                </c:pt>
                <c:pt idx="3">
                  <c:v>9.3734899074877305</c:v>
                </c:pt>
                <c:pt idx="4">
                  <c:v>9.4643959810942917</c:v>
                </c:pt>
              </c:numCache>
            </c:numRef>
          </c:val>
          <c:smooth val="0"/>
        </c:ser>
        <c:ser>
          <c:idx val="25"/>
          <c:order val="20"/>
          <c:tx>
            <c:strRef>
              <c:f>'Court Applications'!$AK$60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Applications'!$AL$60:$AP$60</c:f>
              <c:numCache>
                <c:formatCode>0.0</c:formatCode>
                <c:ptCount val="5"/>
                <c:pt idx="0">
                  <c:v>5.4054054054054053</c:v>
                </c:pt>
                <c:pt idx="1">
                  <c:v>3.5928143712574849</c:v>
                </c:pt>
                <c:pt idx="2">
                  <c:v>5.0445103857566771</c:v>
                </c:pt>
                <c:pt idx="3">
                  <c:v>7.6076779026217229</c:v>
                </c:pt>
                <c:pt idx="4">
                  <c:v>5.5309734513274336</c:v>
                </c:pt>
              </c:numCache>
            </c:numRef>
          </c:val>
          <c:smooth val="0"/>
        </c:ser>
        <c:ser>
          <c:idx val="26"/>
          <c:order val="21"/>
          <c:tx>
            <c:strRef>
              <c:f>'Court Applications'!$AK$61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Applications'!$AL$61:$AP$61</c:f>
              <c:numCache>
                <c:formatCode>0.0</c:formatCode>
                <c:ptCount val="5"/>
                <c:pt idx="0">
                  <c:v>5.2486187845303869</c:v>
                </c:pt>
                <c:pt idx="1">
                  <c:v>3.2520325203252032</c:v>
                </c:pt>
                <c:pt idx="2">
                  <c:v>5.6300268096514747</c:v>
                </c:pt>
                <c:pt idx="3">
                  <c:v>4.7344748678292436</c:v>
                </c:pt>
                <c:pt idx="4">
                  <c:v>5.426076171774068</c:v>
                </c:pt>
              </c:numCache>
            </c:numRef>
          </c:val>
          <c:smooth val="0"/>
        </c:ser>
        <c:ser>
          <c:idx val="4"/>
          <c:order val="22"/>
          <c:tx>
            <c:strRef>
              <c:f>'Court Applications'!$AK$62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Applications'!$AL$62:$AP$62</c:f>
              <c:numCache>
                <c:formatCode>0.0</c:formatCode>
                <c:ptCount val="5"/>
                <c:pt idx="0">
                  <c:v>7.1496714013143947</c:v>
                </c:pt>
                <c:pt idx="1">
                  <c:v>7.3206595945804009</c:v>
                </c:pt>
                <c:pt idx="2">
                  <c:v>9.4207809811792913</c:v>
                </c:pt>
                <c:pt idx="3">
                  <c:v>9.8489907629502067</c:v>
                </c:pt>
                <c:pt idx="4">
                  <c:v>9.8309296170258751</c:v>
                </c:pt>
              </c:numCache>
            </c:numRef>
          </c:val>
          <c:smooth val="0"/>
        </c:ser>
        <c:ser>
          <c:idx val="14"/>
          <c:order val="23"/>
          <c:tx>
            <c:strRef>
              <c:f>'Court Applications'!$AK$63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'Court Applications'!$AL$63:$AP$63</c:f>
              <c:numCache>
                <c:formatCode>0.0</c:formatCode>
                <c:ptCount val="5"/>
                <c:pt idx="0">
                  <c:v>9.2203956825131321</c:v>
                </c:pt>
                <c:pt idx="1">
                  <c:v>9.6275783534770571</c:v>
                </c:pt>
                <c:pt idx="2">
                  <c:v>10.954024268061895</c:v>
                </c:pt>
                <c:pt idx="3">
                  <c:v>12.38748991644405</c:v>
                </c:pt>
                <c:pt idx="4">
                  <c:v>11.981167539412167</c:v>
                </c:pt>
              </c:numCache>
            </c:numRef>
          </c:val>
          <c:smooth val="0"/>
        </c:ser>
        <c:ser>
          <c:idx val="6"/>
          <c:order val="24"/>
          <c:tx>
            <c:strRef>
              <c:f>'Court Applications'!$AK$64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'Court Applications'!$D$8:$H$8</c:f>
              <c:numCache>
                <c:formatCode>General</c:formatCode>
                <c:ptCount val="5"/>
                <c:pt idx="0">
                  <c:v>2014</c:v>
                </c:pt>
                <c:pt idx="1">
                  <c:v>2015</c:v>
                </c:pt>
                <c:pt idx="2">
                  <c:v>2016</c:v>
                </c:pt>
                <c:pt idx="3">
                  <c:v>2017</c:v>
                </c:pt>
                <c:pt idx="4">
                  <c:v>2018</c:v>
                </c:pt>
              </c:numCache>
            </c:numRef>
          </c:cat>
          <c:val>
            <c:numRef>
              <c:f>'Court Applications'!$AL$64:$AP$64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7200768"/>
        <c:axId val="117211136"/>
      </c:lineChart>
      <c:catAx>
        <c:axId val="1172007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17211136"/>
        <c:crosses val="autoZero"/>
        <c:auto val="1"/>
        <c:lblAlgn val="ctr"/>
        <c:lblOffset val="100"/>
        <c:tickLblSkip val="1"/>
        <c:tickMarkSkip val="1"/>
        <c:noMultiLvlLbl val="0"/>
      </c:catAx>
      <c:valAx>
        <c:axId val="11721113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1720076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3322357432593657"/>
          <c:y val="3.8613923259592556E-3"/>
        </c:manualLayout>
      </c:layout>
      <c:overlay val="0"/>
      <c:spPr>
        <a:noFill/>
        <a:ln w="25400">
          <a:noFill/>
        </a:ln>
      </c:spPr>
    </c:title>
    <c:autoTitleDeleted val="0"/>
    <c:plotArea>
      <c:layout>
        <c:manualLayout>
          <c:layoutTarget val="inner"/>
          <c:xMode val="edge"/>
          <c:yMode val="edge"/>
          <c:x val="9.6909984154078643E-2"/>
          <c:y val="0.21104924384451942"/>
          <c:w val="0.65146216862752293"/>
          <c:h val="0.61574553180852398"/>
        </c:manualLayout>
      </c:layout>
      <c:barChart>
        <c:barDir val="col"/>
        <c:grouping val="clustered"/>
        <c:varyColors val="0"/>
        <c:ser>
          <c:idx val="6"/>
          <c:order val="0"/>
          <c:tx>
            <c:strRef>
              <c:f>'Court Applications'!$Z$4</c:f>
              <c:strCache>
                <c:ptCount val="1"/>
                <c:pt idx="0">
                  <c:v>Selected LA- (none)</c:v>
                </c:pt>
              </c:strCache>
            </c:strRef>
          </c:tx>
          <c:spPr>
            <a:solidFill>
              <a:srgbClr val="66FF99"/>
            </a:solidFill>
            <a:ln>
              <a:solidFill>
                <a:schemeClr val="tx1">
                  <a:lumMod val="75000"/>
                  <a:lumOff val="25000"/>
                </a:schemeClr>
              </a:solidFill>
            </a:ln>
          </c:spPr>
          <c:invertIfNegative val="0"/>
          <c:val>
            <c:numRef>
              <c:f>'Court Applications'!$X$70:$AB$70</c:f>
              <c:numCache>
                <c:formatCode>0.0</c:formatCode>
                <c:ptCount val="5"/>
                <c:pt idx="0">
                  <c:v>#N/A</c:v>
                </c:pt>
                <c:pt idx="1">
                  <c:v>#N/A</c:v>
                </c:pt>
                <c:pt idx="2">
                  <c:v>#N/A</c:v>
                </c:pt>
                <c:pt idx="3">
                  <c:v>#N/A</c:v>
                </c:pt>
                <c:pt idx="4">
                  <c:v>#N/A</c:v>
                </c:pt>
              </c:numCache>
            </c:numRef>
          </c:val>
        </c:ser>
        <c:ser>
          <c:idx val="4"/>
          <c:order val="1"/>
          <c:tx>
            <c:strRef>
              <c:f>'Court Applications'!$B$31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'Court Applications'!$K$8:$O$8</c:f>
              <c:numCache>
                <c:formatCode>General</c:formatCode>
                <c:ptCount val="5"/>
                <c:pt idx="0">
                  <c:v>2014</c:v>
                </c:pt>
                <c:pt idx="1">
                  <c:v>2015</c:v>
                </c:pt>
                <c:pt idx="2">
                  <c:v>2016</c:v>
                </c:pt>
                <c:pt idx="3">
                  <c:v>2017</c:v>
                </c:pt>
                <c:pt idx="4">
                  <c:v>2018</c:v>
                </c:pt>
              </c:numCache>
            </c:numRef>
          </c:cat>
          <c:val>
            <c:numRef>
              <c:f>'Court Applications'!$K$31:$O$31</c:f>
              <c:numCache>
                <c:formatCode>0.0</c:formatCode>
                <c:ptCount val="5"/>
                <c:pt idx="0">
                  <c:v>7.1496714013143947</c:v>
                </c:pt>
                <c:pt idx="1">
                  <c:v>7.3206595945804009</c:v>
                </c:pt>
                <c:pt idx="2">
                  <c:v>9.4207809811792913</c:v>
                </c:pt>
                <c:pt idx="3">
                  <c:v>9.8489907629502067</c:v>
                </c:pt>
                <c:pt idx="4">
                  <c:v>9.8309296170258751</c:v>
                </c:pt>
              </c:numCache>
            </c:numRef>
          </c:val>
        </c:ser>
        <c:ser>
          <c:idx val="0"/>
          <c:order val="2"/>
          <c:tx>
            <c:strRef>
              <c:f>'Court Applications'!$B$32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'Court Applications'!$K$32:$O$32</c:f>
              <c:numCache>
                <c:formatCode>0.0</c:formatCode>
                <c:ptCount val="5"/>
                <c:pt idx="0">
                  <c:v>9.2203956825131321</c:v>
                </c:pt>
                <c:pt idx="1">
                  <c:v>9.6275783534770571</c:v>
                </c:pt>
                <c:pt idx="2">
                  <c:v>10.954024268061895</c:v>
                </c:pt>
                <c:pt idx="3">
                  <c:v>12.38748991644405</c:v>
                </c:pt>
                <c:pt idx="4">
                  <c:v>11.981167539412167</c:v>
                </c:pt>
              </c:numCache>
            </c:numRef>
          </c:val>
        </c:ser>
        <c:dLbls>
          <c:showLegendKey val="0"/>
          <c:showVal val="0"/>
          <c:showCatName val="0"/>
          <c:showSerName val="0"/>
          <c:showPercent val="0"/>
          <c:showBubbleSize val="0"/>
        </c:dLbls>
        <c:gapWidth val="100"/>
        <c:axId val="240334720"/>
        <c:axId val="240336256"/>
      </c:barChart>
      <c:catAx>
        <c:axId val="240334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0336256"/>
        <c:crosses val="autoZero"/>
        <c:auto val="1"/>
        <c:lblAlgn val="ctr"/>
        <c:lblOffset val="100"/>
        <c:noMultiLvlLbl val="0"/>
      </c:catAx>
      <c:valAx>
        <c:axId val="24033625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0334720"/>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Care Applications to Court</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'Court Applications'!$T$8</c:f>
              <c:strCache>
                <c:ptCount val="1"/>
                <c:pt idx="0">
                  <c:v>Distance</c:v>
                </c:pt>
              </c:strCache>
            </c:strRef>
          </c:tx>
          <c:spPr>
            <a:solidFill>
              <a:srgbClr val="FB994F"/>
            </a:solidFill>
            <a:ln w="25400">
              <a:noFill/>
            </a:ln>
          </c:spPr>
          <c:invertIfNegative val="0"/>
          <c:cat>
            <c:strRef>
              <c:f>'Court Applications'!$X$76:$X$99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Applications'!$T$9:$T$32</c:f>
              <c:numCache>
                <c:formatCode>0.0</c:formatCode>
                <c:ptCount val="24"/>
                <c:pt idx="0">
                  <c:v>10.61855379112216</c:v>
                </c:pt>
                <c:pt idx="1">
                  <c:v>3.0119444434897673</c:v>
                </c:pt>
                <c:pt idx="2">
                  <c:v>-1.393360049178094</c:v>
                </c:pt>
                <c:pt idx="3">
                  <c:v>-3.2204584270316072</c:v>
                </c:pt>
                <c:pt idx="4">
                  <c:v>-0.17442050153082533</c:v>
                </c:pt>
                <c:pt idx="5">
                  <c:v>3.375577294874633</c:v>
                </c:pt>
                <c:pt idx="6">
                  <c:v>-3.0710568142895802</c:v>
                </c:pt>
                <c:pt idx="7">
                  <c:v>-0.53492224589778559</c:v>
                </c:pt>
                <c:pt idx="8">
                  <c:v>-3.9677750994199723</c:v>
                </c:pt>
                <c:pt idx="9">
                  <c:v>9.5117457032793951E-2</c:v>
                </c:pt>
                <c:pt idx="10">
                  <c:v>2.078604578896126</c:v>
                </c:pt>
                <c:pt idx="11">
                  <c:v>4.2521148400420703</c:v>
                </c:pt>
                <c:pt idx="12">
                  <c:v>0.90939172607379959</c:v>
                </c:pt>
                <c:pt idx="13">
                  <c:v>1.3936221922945595</c:v>
                </c:pt>
                <c:pt idx="14">
                  <c:v>2.9382432017516411</c:v>
                </c:pt>
                <c:pt idx="15">
                  <c:v>-0.5441435252101785</c:v>
                </c:pt>
                <c:pt idx="16">
                  <c:v>5.4038578543920366</c:v>
                </c:pt>
                <c:pt idx="17">
                  <c:v>9.0379253889942905</c:v>
                </c:pt>
                <c:pt idx="18">
                  <c:v>1.3402550279611507</c:v>
                </c:pt>
                <c:pt idx="19">
                  <c:v>-0.3215249304389598</c:v>
                </c:pt>
                <c:pt idx="20">
                  <c:v>-2.3334468629968672</c:v>
                </c:pt>
                <c:pt idx="21">
                  <c:v>-1.7551439302092717</c:v>
                </c:pt>
                <c:pt idx="22">
                  <c:v>-0.61779644630840913</c:v>
                </c:pt>
                <c:pt idx="23">
                  <c:v>-0.79486944957454142</c:v>
                </c:pt>
              </c:numCache>
            </c:numRef>
          </c:val>
        </c:ser>
        <c:ser>
          <c:idx val="0"/>
          <c:order val="1"/>
          <c:tx>
            <c:strRef>
              <c:f>'Court Applications'!$Z$75</c:f>
              <c:strCache>
                <c:ptCount val="1"/>
                <c:pt idx="0">
                  <c:v>Distance from Expected Chart Highlight</c:v>
                </c:pt>
              </c:strCache>
            </c:strRef>
          </c:tx>
          <c:spPr>
            <a:solidFill>
              <a:srgbClr val="66FF99"/>
            </a:solidFill>
            <a:ln w="12700">
              <a:solidFill>
                <a:srgbClr val="000000"/>
              </a:solidFill>
              <a:prstDash val="solid"/>
            </a:ln>
          </c:spPr>
          <c:invertIfNegative val="0"/>
          <c:cat>
            <c:strRef>
              <c:f>'Court Applications'!$X$76:$X$99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40403584"/>
        <c:axId val="240405120"/>
      </c:barChart>
      <c:catAx>
        <c:axId val="2404035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0405120"/>
        <c:crossesAt val="0"/>
        <c:auto val="1"/>
        <c:lblAlgn val="ctr"/>
        <c:lblOffset val="100"/>
        <c:noMultiLvlLbl val="0"/>
      </c:catAx>
      <c:valAx>
        <c:axId val="240405120"/>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0403584"/>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Care Applications to Court 2015-2018</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'Court Applications'!$I$7</c:f>
              <c:strCache>
                <c:ptCount val="1"/>
                <c:pt idx="0">
                  <c:v>% Change 2015-18</c:v>
                </c:pt>
              </c:strCache>
            </c:strRef>
          </c:tx>
          <c:spPr>
            <a:solidFill>
              <a:srgbClr val="FB994F"/>
            </a:solidFill>
            <a:ln w="25400">
              <a:noFill/>
            </a:ln>
          </c:spPr>
          <c:invertIfNegative val="0"/>
          <c:cat>
            <c:strRef>
              <c:f>'Court Applications'!$B$9:$B$32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Applications'!$I$9:$I$32</c:f>
              <c:numCache>
                <c:formatCode>0.0%</c:formatCode>
                <c:ptCount val="24"/>
                <c:pt idx="0">
                  <c:v>2.4375</c:v>
                </c:pt>
                <c:pt idx="1">
                  <c:v>-3.7499999999999999E-2</c:v>
                </c:pt>
                <c:pt idx="2">
                  <c:v>0.58181818181818179</c:v>
                </c:pt>
                <c:pt idx="3">
                  <c:v>0.40625</c:v>
                </c:pt>
                <c:pt idx="4">
                  <c:v>0.49710982658959535</c:v>
                </c:pt>
                <c:pt idx="5">
                  <c:v>7.8947368421052627E-2</c:v>
                </c:pt>
                <c:pt idx="6">
                  <c:v>0.20816326530612245</c:v>
                </c:pt>
                <c:pt idx="7">
                  <c:v>-6.6666666666666666E-2</c:v>
                </c:pt>
                <c:pt idx="8">
                  <c:v>0.51282051282051277</c:v>
                </c:pt>
                <c:pt idx="9">
                  <c:v>0.20535714285714285</c:v>
                </c:pt>
                <c:pt idx="10">
                  <c:v>0.23728813559322035</c:v>
                </c:pt>
                <c:pt idx="11">
                  <c:v>0.61538461538461542</c:v>
                </c:pt>
                <c:pt idx="12">
                  <c:v>0.54054054054054057</c:v>
                </c:pt>
                <c:pt idx="13">
                  <c:v>7.6335877862595417E-3</c:v>
                </c:pt>
                <c:pt idx="14">
                  <c:v>-6.25E-2</c:v>
                </c:pt>
                <c:pt idx="15">
                  <c:v>0.88073394495412849</c:v>
                </c:pt>
                <c:pt idx="16">
                  <c:v>0.80851063829787229</c:v>
                </c:pt>
                <c:pt idx="17">
                  <c:v>3.4482758620689655E-2</c:v>
                </c:pt>
                <c:pt idx="18">
                  <c:v>0.2</c:v>
                </c:pt>
                <c:pt idx="19">
                  <c:v>0.86363636363636365</c:v>
                </c:pt>
                <c:pt idx="20">
                  <c:v>0.58333333333333337</c:v>
                </c:pt>
                <c:pt idx="21">
                  <c:v>0.75</c:v>
                </c:pt>
                <c:pt idx="22">
                  <c:v>0.37087517934002867</c:v>
                </c:pt>
                <c:pt idx="23">
                  <c:v>0.27401433691756272</c:v>
                </c:pt>
              </c:numCache>
            </c:numRef>
          </c:val>
        </c:ser>
        <c:ser>
          <c:idx val="1"/>
          <c:order val="1"/>
          <c:tx>
            <c:strRef>
              <c:f>'Court Applications'!$Y$75</c:f>
              <c:strCache>
                <c:ptCount val="1"/>
                <c:pt idx="0">
                  <c:v>Percentage Change Chart Highlight</c:v>
                </c:pt>
              </c:strCache>
            </c:strRef>
          </c:tx>
          <c:spPr>
            <a:solidFill>
              <a:srgbClr val="66FF99"/>
            </a:solidFill>
            <a:ln w="12700">
              <a:solidFill>
                <a:srgbClr val="000000"/>
              </a:solidFill>
              <a:prstDash val="solid"/>
            </a:ln>
          </c:spPr>
          <c:invertIfNegative val="0"/>
          <c:cat>
            <c:strRef>
              <c:f>'Court Applications'!$B$9:$B$32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40422272"/>
        <c:axId val="240432256"/>
      </c:barChart>
      <c:catAx>
        <c:axId val="24042227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0432256"/>
        <c:crosses val="autoZero"/>
        <c:auto val="1"/>
        <c:lblAlgn val="ctr"/>
        <c:lblOffset val="100"/>
        <c:noMultiLvlLbl val="0"/>
      </c:catAx>
      <c:valAx>
        <c:axId val="24043225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0422272"/>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going on to Assessment</a:t>
            </a:r>
          </a:p>
        </c:rich>
      </c:tx>
      <c:layout>
        <c:manualLayout>
          <c:xMode val="edge"/>
          <c:yMode val="edge"/>
          <c:x val="0.18642605388612135"/>
          <c:y val="2.0819658022471477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Referrals!$AK$40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Referrals!$D$8:$H$8</c:f>
              <c:numCache>
                <c:formatCode>General</c:formatCode>
                <c:ptCount val="5"/>
                <c:pt idx="0">
                  <c:v>2014</c:v>
                </c:pt>
                <c:pt idx="1">
                  <c:v>2015</c:v>
                </c:pt>
                <c:pt idx="2">
                  <c:v>2016</c:v>
                </c:pt>
                <c:pt idx="3">
                  <c:v>2017</c:v>
                </c:pt>
                <c:pt idx="4">
                  <c:v>2018</c:v>
                </c:pt>
              </c:numCache>
            </c:numRef>
          </c:cat>
          <c:val>
            <c:numRef>
              <c:f>Referrals!$AR$40:$AV$40</c:f>
              <c:numCache>
                <c:formatCode>0.0%</c:formatCode>
                <c:ptCount val="5"/>
                <c:pt idx="0">
                  <c:v>0.83714788732394363</c:v>
                </c:pt>
                <c:pt idx="1">
                  <c:v>0.89339622641509431</c:v>
                </c:pt>
                <c:pt idx="2">
                  <c:v>0.82695252679938747</c:v>
                </c:pt>
                <c:pt idx="3">
                  <c:v>0.87591240875912413</c:v>
                </c:pt>
                <c:pt idx="4">
                  <c:v>0.9279824079164376</c:v>
                </c:pt>
              </c:numCache>
            </c:numRef>
          </c:val>
          <c:smooth val="0"/>
        </c:ser>
        <c:ser>
          <c:idx val="1"/>
          <c:order val="1"/>
          <c:tx>
            <c:strRef>
              <c:f>Referrals!$AK$41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Referrals!$AR$41:$AV$41</c:f>
              <c:numCache>
                <c:formatCode>0.0%</c:formatCode>
                <c:ptCount val="5"/>
                <c:pt idx="0">
                  <c:v>0.64555765595463133</c:v>
                </c:pt>
                <c:pt idx="1">
                  <c:v>0.48816203640344874</c:v>
                </c:pt>
                <c:pt idx="2">
                  <c:v>0.90455341506129594</c:v>
                </c:pt>
                <c:pt idx="3">
                  <c:v>0.90249632892804699</c:v>
                </c:pt>
                <c:pt idx="4">
                  <c:v>0.9087918660287081</c:v>
                </c:pt>
              </c:numCache>
            </c:numRef>
          </c:val>
          <c:smooth val="0"/>
        </c:ser>
        <c:ser>
          <c:idx val="2"/>
          <c:order val="2"/>
          <c:tx>
            <c:strRef>
              <c:f>Referrals!$AK$42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Referrals!$AR$42:$AV$42</c:f>
              <c:numCache>
                <c:formatCode>0.0%</c:formatCode>
                <c:ptCount val="5"/>
                <c:pt idx="0">
                  <c:v>0.55637556375563757</c:v>
                </c:pt>
                <c:pt idx="1">
                  <c:v>0.97426398908169232</c:v>
                </c:pt>
                <c:pt idx="2">
                  <c:v>0.83702213279678073</c:v>
                </c:pt>
                <c:pt idx="3">
                  <c:v>0.89710995219469791</c:v>
                </c:pt>
                <c:pt idx="4">
                  <c:v>0.74102737738221924</c:v>
                </c:pt>
              </c:numCache>
            </c:numRef>
          </c:val>
          <c:smooth val="0"/>
        </c:ser>
        <c:ser>
          <c:idx val="5"/>
          <c:order val="3"/>
          <c:tx>
            <c:strRef>
              <c:f>Referrals!$AK$43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Referrals!$AR$43:$AV$43</c:f>
              <c:numCache>
                <c:formatCode>0.0%</c:formatCode>
                <c:ptCount val="5"/>
                <c:pt idx="0">
                  <c:v>0.84024226110363387</c:v>
                </c:pt>
                <c:pt idx="1">
                  <c:v>0.94260651629072678</c:v>
                </c:pt>
                <c:pt idx="2">
                  <c:v>0.97467166979362097</c:v>
                </c:pt>
                <c:pt idx="3">
                  <c:v>0.98150163220892273</c:v>
                </c:pt>
                <c:pt idx="4">
                  <c:v>0.9814517975727044</c:v>
                </c:pt>
              </c:numCache>
            </c:numRef>
          </c:val>
          <c:smooth val="0"/>
        </c:ser>
        <c:ser>
          <c:idx val="9"/>
          <c:order val="4"/>
          <c:tx>
            <c:strRef>
              <c:f>Referrals!$AK$44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Referrals!$AR$44:$AV$44</c:f>
              <c:numCache>
                <c:formatCode>0.0%</c:formatCode>
                <c:ptCount val="5"/>
                <c:pt idx="0">
                  <c:v>0.9092647421662966</c:v>
                </c:pt>
                <c:pt idx="1">
                  <c:v>0.89671025135829008</c:v>
                </c:pt>
                <c:pt idx="2">
                  <c:v>0.89961598463938552</c:v>
                </c:pt>
                <c:pt idx="3">
                  <c:v>0.82588114226910214</c:v>
                </c:pt>
                <c:pt idx="4">
                  <c:v>0.83599131244182434</c:v>
                </c:pt>
              </c:numCache>
            </c:numRef>
          </c:val>
          <c:smooth val="0"/>
        </c:ser>
        <c:ser>
          <c:idx val="10"/>
          <c:order val="5"/>
          <c:tx>
            <c:strRef>
              <c:f>Referrals!$AK$45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Referrals!$AR$45:$AV$45</c:f>
              <c:numCache>
                <c:formatCode>0.0%</c:formatCode>
                <c:ptCount val="5"/>
                <c:pt idx="0">
                  <c:v>0.80325644504748983</c:v>
                </c:pt>
                <c:pt idx="1">
                  <c:v>0.85978947368421055</c:v>
                </c:pt>
                <c:pt idx="2">
                  <c:v>0.89284219338635418</c:v>
                </c:pt>
                <c:pt idx="3">
                  <c:v>0.83773440489858397</c:v>
                </c:pt>
                <c:pt idx="4">
                  <c:v>0.80605786618444841</c:v>
                </c:pt>
              </c:numCache>
            </c:numRef>
          </c:val>
          <c:smooth val="0"/>
        </c:ser>
        <c:ser>
          <c:idx val="11"/>
          <c:order val="6"/>
          <c:tx>
            <c:strRef>
              <c:f>Referrals!$AK$46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Referrals!$AR$46:$AV$46</c:f>
              <c:numCache>
                <c:formatCode>0.0%</c:formatCode>
                <c:ptCount val="5"/>
                <c:pt idx="0">
                  <c:v>0.689939469839282</c:v>
                </c:pt>
                <c:pt idx="1">
                  <c:v>0.72127775425010587</c:v>
                </c:pt>
                <c:pt idx="2">
                  <c:v>0.99302568113674883</c:v>
                </c:pt>
                <c:pt idx="3">
                  <c:v>0.99462195507750717</c:v>
                </c:pt>
                <c:pt idx="4">
                  <c:v>0.99236050172921075</c:v>
                </c:pt>
              </c:numCache>
            </c:numRef>
          </c:val>
          <c:smooth val="0"/>
        </c:ser>
        <c:ser>
          <c:idx val="12"/>
          <c:order val="7"/>
          <c:tx>
            <c:strRef>
              <c:f>Referrals!$AK$47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Referrals!$AR$47:$AV$47</c:f>
              <c:numCache>
                <c:formatCode>0.0%</c:formatCode>
                <c:ptCount val="5"/>
                <c:pt idx="0">
                  <c:v>0.87884479924864989</c:v>
                </c:pt>
                <c:pt idx="1">
                  <c:v>0.95292207792207795</c:v>
                </c:pt>
                <c:pt idx="2">
                  <c:v>0.88004750593824232</c:v>
                </c:pt>
                <c:pt idx="3">
                  <c:v>0.91617862371888725</c:v>
                </c:pt>
                <c:pt idx="4">
                  <c:v>0.92534456355283312</c:v>
                </c:pt>
              </c:numCache>
            </c:numRef>
          </c:val>
          <c:smooth val="0"/>
        </c:ser>
        <c:ser>
          <c:idx val="13"/>
          <c:order val="8"/>
          <c:tx>
            <c:strRef>
              <c:f>Referrals!$AK$48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Referrals!$AR$48:$AV$48</c:f>
              <c:numCache>
                <c:formatCode>0.0%</c:formatCode>
                <c:ptCount val="5"/>
                <c:pt idx="0">
                  <c:v>0.65232632249840661</c:v>
                </c:pt>
                <c:pt idx="1">
                  <c:v>0.79174776177500972</c:v>
                </c:pt>
                <c:pt idx="2">
                  <c:v>0.76778620440592271</c:v>
                </c:pt>
                <c:pt idx="3">
                  <c:v>0.81673694453454426</c:v>
                </c:pt>
                <c:pt idx="4">
                  <c:v>0.81644764730818142</c:v>
                </c:pt>
              </c:numCache>
            </c:numRef>
          </c:val>
          <c:smooth val="0"/>
        </c:ser>
        <c:ser>
          <c:idx val="15"/>
          <c:order val="9"/>
          <c:tx>
            <c:strRef>
              <c:f>Referrals!$AK$49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Referrals!$AR$49:$AV$49</c:f>
              <c:numCache>
                <c:formatCode>0.0%</c:formatCode>
                <c:ptCount val="5"/>
                <c:pt idx="0">
                  <c:v>0.61574936494496191</c:v>
                </c:pt>
                <c:pt idx="1">
                  <c:v>0.70174819000529753</c:v>
                </c:pt>
                <c:pt idx="2">
                  <c:v>0.91629629629629628</c:v>
                </c:pt>
                <c:pt idx="3">
                  <c:v>0.93362581375601472</c:v>
                </c:pt>
                <c:pt idx="4">
                  <c:v>0.79439389492221901</c:v>
                </c:pt>
              </c:numCache>
            </c:numRef>
          </c:val>
          <c:smooth val="0"/>
        </c:ser>
        <c:ser>
          <c:idx val="16"/>
          <c:order val="10"/>
          <c:tx>
            <c:strRef>
              <c:f>Referrals!$AK$50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Referrals!$AR$50:$AV$50</c:f>
              <c:numCache>
                <c:formatCode>0.0%</c:formatCode>
                <c:ptCount val="5"/>
                <c:pt idx="0">
                  <c:v>0.88199780461031829</c:v>
                </c:pt>
                <c:pt idx="1">
                  <c:v>0.95731389901093178</c:v>
                </c:pt>
                <c:pt idx="2">
                  <c:v>0.97515527950310554</c:v>
                </c:pt>
                <c:pt idx="3">
                  <c:v>0.9545637314032972</c:v>
                </c:pt>
                <c:pt idx="4">
                  <c:v>0.98137082601054482</c:v>
                </c:pt>
              </c:numCache>
            </c:numRef>
          </c:val>
          <c:smooth val="0"/>
        </c:ser>
        <c:ser>
          <c:idx val="17"/>
          <c:order val="11"/>
          <c:tx>
            <c:strRef>
              <c:f>Referrals!$AK$51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Referrals!$AR$51:$AV$51</c:f>
              <c:numCache>
                <c:formatCode>0.0%</c:formatCode>
                <c:ptCount val="5"/>
                <c:pt idx="0">
                  <c:v>0.98267898383371821</c:v>
                </c:pt>
                <c:pt idx="1">
                  <c:v>0.79438135086670647</c:v>
                </c:pt>
                <c:pt idx="2">
                  <c:v>0.89993502274204029</c:v>
                </c:pt>
                <c:pt idx="3">
                  <c:v>0.95102540557086013</c:v>
                </c:pt>
                <c:pt idx="4">
                  <c:v>0.98820395738203959</c:v>
                </c:pt>
              </c:numCache>
            </c:numRef>
          </c:val>
          <c:smooth val="0"/>
        </c:ser>
        <c:ser>
          <c:idx val="19"/>
          <c:order val="12"/>
          <c:tx>
            <c:strRef>
              <c:f>Referrals!$AK$52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Referrals!$AR$52:$AV$52</c:f>
              <c:numCache>
                <c:formatCode>0.0%</c:formatCode>
                <c:ptCount val="5"/>
                <c:pt idx="0">
                  <c:v>0.97008376545672115</c:v>
                </c:pt>
                <c:pt idx="1">
                  <c:v>0.97896581945661698</c:v>
                </c:pt>
                <c:pt idx="2">
                  <c:v>0.9895457822638789</c:v>
                </c:pt>
                <c:pt idx="3">
                  <c:v>0.39170182841068918</c:v>
                </c:pt>
                <c:pt idx="4">
                  <c:v>0.99245757385292266</c:v>
                </c:pt>
              </c:numCache>
            </c:numRef>
          </c:val>
          <c:smooth val="0"/>
        </c:ser>
        <c:ser>
          <c:idx val="3"/>
          <c:order val="13"/>
          <c:tx>
            <c:strRef>
              <c:f>Referrals!$AK$53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Referrals!$AR$53:$AV$53</c:f>
              <c:numCache>
                <c:formatCode>0.0%</c:formatCode>
                <c:ptCount val="5"/>
                <c:pt idx="0">
                  <c:v>0.96443172526573995</c:v>
                </c:pt>
                <c:pt idx="1">
                  <c:v>0.98676444285458775</c:v>
                </c:pt>
                <c:pt idx="2">
                  <c:v>0.99395112509073313</c:v>
                </c:pt>
                <c:pt idx="3">
                  <c:v>0.99267322587397944</c:v>
                </c:pt>
                <c:pt idx="4">
                  <c:v>0.97715392061955475</c:v>
                </c:pt>
              </c:numCache>
            </c:numRef>
          </c:val>
          <c:smooth val="0"/>
        </c:ser>
        <c:ser>
          <c:idx val="20"/>
          <c:order val="14"/>
          <c:tx>
            <c:strRef>
              <c:f>Referrals!$AK$54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Referrals!$AR$54:$AV$54</c:f>
              <c:numCache>
                <c:formatCode>0.0%</c:formatCode>
                <c:ptCount val="5"/>
                <c:pt idx="0">
                  <c:v>0.93892250072025352</c:v>
                </c:pt>
                <c:pt idx="1">
                  <c:v>0.88044326517871074</c:v>
                </c:pt>
                <c:pt idx="2">
                  <c:v>1</c:v>
                </c:pt>
                <c:pt idx="3">
                  <c:v>0.99737187910643887</c:v>
                </c:pt>
                <c:pt idx="4">
                  <c:v>0.99540757749712971</c:v>
                </c:pt>
              </c:numCache>
            </c:numRef>
          </c:val>
          <c:smooth val="0"/>
        </c:ser>
        <c:ser>
          <c:idx val="22"/>
          <c:order val="15"/>
          <c:tx>
            <c:strRef>
              <c:f>Referrals!$AK$55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Referrals!$AR$55:$AV$55</c:f>
              <c:numCache>
                <c:formatCode>0.0%</c:formatCode>
                <c:ptCount val="5"/>
                <c:pt idx="0">
                  <c:v>0.63646399456521741</c:v>
                </c:pt>
                <c:pt idx="1">
                  <c:v>0.96783244814109626</c:v>
                </c:pt>
                <c:pt idx="2">
                  <c:v>0.9845343303874915</c:v>
                </c:pt>
                <c:pt idx="3">
                  <c:v>0.99075263293090166</c:v>
                </c:pt>
                <c:pt idx="4">
                  <c:v>0.99288125642154701</c:v>
                </c:pt>
              </c:numCache>
            </c:numRef>
          </c:val>
          <c:smooth val="0"/>
        </c:ser>
        <c:ser>
          <c:idx val="7"/>
          <c:order val="16"/>
          <c:tx>
            <c:strRef>
              <c:f>Referrals!$AK$56</c:f>
              <c:strCache>
                <c:ptCount val="1"/>
                <c:pt idx="0">
                  <c:v>Swindon</c:v>
                </c:pt>
              </c:strCache>
            </c:strRef>
          </c:tx>
          <c:spPr>
            <a:ln w="15875"/>
          </c:spPr>
          <c:marker>
            <c:symbol val="triangle"/>
            <c:size val="5"/>
            <c:spPr>
              <a:solidFill>
                <a:schemeClr val="accent2">
                  <a:lumMod val="20000"/>
                  <a:lumOff val="80000"/>
                </a:schemeClr>
              </a:solidFill>
            </c:spPr>
          </c:marker>
          <c:cat>
            <c:numRef>
              <c:f>Referrals!$D$8:$H$8</c:f>
              <c:numCache>
                <c:formatCode>General</c:formatCode>
                <c:ptCount val="5"/>
                <c:pt idx="0">
                  <c:v>2014</c:v>
                </c:pt>
                <c:pt idx="1">
                  <c:v>2015</c:v>
                </c:pt>
                <c:pt idx="2">
                  <c:v>2016</c:v>
                </c:pt>
                <c:pt idx="3">
                  <c:v>2017</c:v>
                </c:pt>
                <c:pt idx="4">
                  <c:v>2018</c:v>
                </c:pt>
              </c:numCache>
            </c:numRef>
          </c:cat>
          <c:val>
            <c:numRef>
              <c:f>Referrals!$AR$56:$AV$56</c:f>
              <c:numCache>
                <c:formatCode>0.0%</c:formatCode>
                <c:ptCount val="5"/>
                <c:pt idx="0">
                  <c:v>0.80612244897959184</c:v>
                </c:pt>
                <c:pt idx="1">
                  <c:v>0.95245283018867921</c:v>
                </c:pt>
                <c:pt idx="2">
                  <c:v>0.87900146842878124</c:v>
                </c:pt>
                <c:pt idx="3">
                  <c:v>0.96722939424031773</c:v>
                </c:pt>
                <c:pt idx="4">
                  <c:v>0.92390405293631095</c:v>
                </c:pt>
              </c:numCache>
            </c:numRef>
          </c:val>
          <c:smooth val="0"/>
        </c:ser>
        <c:ser>
          <c:idx val="8"/>
          <c:order val="17"/>
          <c:tx>
            <c:strRef>
              <c:f>Referrals!$AK$57</c:f>
              <c:strCache>
                <c:ptCount val="1"/>
                <c:pt idx="0">
                  <c:v>Torbay</c:v>
                </c:pt>
              </c:strCache>
            </c:strRef>
          </c:tx>
          <c:spPr>
            <a:ln w="15875"/>
          </c:spPr>
          <c:marker>
            <c:symbol val="circle"/>
            <c:size val="5"/>
            <c:spPr>
              <a:solidFill>
                <a:schemeClr val="accent3">
                  <a:lumMod val="20000"/>
                  <a:lumOff val="80000"/>
                </a:schemeClr>
              </a:solidFill>
            </c:spPr>
          </c:marker>
          <c:cat>
            <c:numRef>
              <c:f>Referrals!$D$8:$H$8</c:f>
              <c:numCache>
                <c:formatCode>General</c:formatCode>
                <c:ptCount val="5"/>
                <c:pt idx="0">
                  <c:v>2014</c:v>
                </c:pt>
                <c:pt idx="1">
                  <c:v>2015</c:v>
                </c:pt>
                <c:pt idx="2">
                  <c:v>2016</c:v>
                </c:pt>
                <c:pt idx="3">
                  <c:v>2017</c:v>
                </c:pt>
                <c:pt idx="4">
                  <c:v>2018</c:v>
                </c:pt>
              </c:numCache>
            </c:numRef>
          </c:cat>
          <c:val>
            <c:numRef>
              <c:f>Referrals!$AR$57:$AV$57</c:f>
              <c:numCache>
                <c:formatCode>0.0%</c:formatCode>
                <c:ptCount val="5"/>
                <c:pt idx="0">
                  <c:v>0.81021594684385378</c:v>
                </c:pt>
                <c:pt idx="1">
                  <c:v>0.66776007497656986</c:v>
                </c:pt>
                <c:pt idx="2">
                  <c:v>0.85412474849094566</c:v>
                </c:pt>
                <c:pt idx="3">
                  <c:v>0.85767326732673266</c:v>
                </c:pt>
                <c:pt idx="4">
                  <c:v>0.87922437673130194</c:v>
                </c:pt>
              </c:numCache>
            </c:numRef>
          </c:val>
          <c:smooth val="0"/>
        </c:ser>
        <c:ser>
          <c:idx val="23"/>
          <c:order val="18"/>
          <c:tx>
            <c:strRef>
              <c:f>Referrals!$AK$58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Referrals!$AR$58:$AV$58</c:f>
              <c:numCache>
                <c:formatCode>0.0%</c:formatCode>
                <c:ptCount val="5"/>
                <c:pt idx="0">
                  <c:v>1</c:v>
                </c:pt>
                <c:pt idx="1">
                  <c:v>1</c:v>
                </c:pt>
                <c:pt idx="2">
                  <c:v>1</c:v>
                </c:pt>
                <c:pt idx="3">
                  <c:v>1</c:v>
                </c:pt>
                <c:pt idx="4">
                  <c:v>1</c:v>
                </c:pt>
              </c:numCache>
            </c:numRef>
          </c:val>
          <c:smooth val="0"/>
        </c:ser>
        <c:ser>
          <c:idx val="24"/>
          <c:order val="19"/>
          <c:tx>
            <c:strRef>
              <c:f>Referrals!$AK$59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Referrals!$AR$59:$AV$59</c:f>
              <c:numCache>
                <c:formatCode>0.0%</c:formatCode>
                <c:ptCount val="5"/>
                <c:pt idx="0">
                  <c:v>0.93383800151400453</c:v>
                </c:pt>
                <c:pt idx="1">
                  <c:v>0.90530576839670374</c:v>
                </c:pt>
                <c:pt idx="2">
                  <c:v>0.87786915428992263</c:v>
                </c:pt>
                <c:pt idx="3">
                  <c:v>0.87106738359455438</c:v>
                </c:pt>
                <c:pt idx="4">
                  <c:v>1</c:v>
                </c:pt>
              </c:numCache>
            </c:numRef>
          </c:val>
          <c:smooth val="0"/>
        </c:ser>
        <c:ser>
          <c:idx val="25"/>
          <c:order val="20"/>
          <c:tx>
            <c:strRef>
              <c:f>Referrals!$AK$60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Referrals!$AR$60:$AV$60</c:f>
              <c:numCache>
                <c:formatCode>0.0%</c:formatCode>
                <c:ptCount val="5"/>
                <c:pt idx="0">
                  <c:v>0.92329817833173533</c:v>
                </c:pt>
                <c:pt idx="1">
                  <c:v>0.94179389312977102</c:v>
                </c:pt>
                <c:pt idx="2">
                  <c:v>0.81434977578475332</c:v>
                </c:pt>
                <c:pt idx="3">
                  <c:v>0.88306451612903225</c:v>
                </c:pt>
                <c:pt idx="4">
                  <c:v>0.85768143261074459</c:v>
                </c:pt>
              </c:numCache>
            </c:numRef>
          </c:val>
          <c:smooth val="0"/>
        </c:ser>
        <c:ser>
          <c:idx val="26"/>
          <c:order val="21"/>
          <c:tx>
            <c:strRef>
              <c:f>Referrals!$AK$61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Referrals!$AR$61:$AV$61</c:f>
              <c:numCache>
                <c:formatCode>0.0%</c:formatCode>
                <c:ptCount val="5"/>
                <c:pt idx="0">
                  <c:v>0.6942090395480226</c:v>
                </c:pt>
                <c:pt idx="1">
                  <c:v>0.99494949494949492</c:v>
                </c:pt>
                <c:pt idx="2">
                  <c:v>1</c:v>
                </c:pt>
                <c:pt idx="3">
                  <c:v>0.99228224917309815</c:v>
                </c:pt>
                <c:pt idx="4">
                  <c:v>0.96425966447848288</c:v>
                </c:pt>
              </c:numCache>
            </c:numRef>
          </c:val>
          <c:smooth val="0"/>
        </c:ser>
        <c:ser>
          <c:idx val="4"/>
          <c:order val="22"/>
          <c:tx>
            <c:strRef>
              <c:f>Referrals!$AK$62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Referrals!$D$8:$H$8</c:f>
              <c:numCache>
                <c:formatCode>General</c:formatCode>
                <c:ptCount val="5"/>
                <c:pt idx="0">
                  <c:v>2014</c:v>
                </c:pt>
                <c:pt idx="1">
                  <c:v>2015</c:v>
                </c:pt>
                <c:pt idx="2">
                  <c:v>2016</c:v>
                </c:pt>
                <c:pt idx="3">
                  <c:v>2017</c:v>
                </c:pt>
                <c:pt idx="4">
                  <c:v>2018</c:v>
                </c:pt>
              </c:numCache>
            </c:numRef>
          </c:cat>
          <c:val>
            <c:numRef>
              <c:f>Referrals!$AR$62:$AV$62</c:f>
              <c:numCache>
                <c:formatCode>0.0%</c:formatCode>
                <c:ptCount val="5"/>
                <c:pt idx="0">
                  <c:v>0.76997437121780565</c:v>
                </c:pt>
                <c:pt idx="1">
                  <c:v>0.84004127966976261</c:v>
                </c:pt>
                <c:pt idx="2">
                  <c:v>0.92645253682487727</c:v>
                </c:pt>
                <c:pt idx="3">
                  <c:v>0.88974981329350267</c:v>
                </c:pt>
                <c:pt idx="4">
                  <c:v>0.91697157331832257</c:v>
                </c:pt>
              </c:numCache>
            </c:numRef>
          </c:val>
          <c:smooth val="0"/>
        </c:ser>
        <c:ser>
          <c:idx val="14"/>
          <c:order val="23"/>
          <c:tx>
            <c:strRef>
              <c:f>Referrals!$AK$63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val>
            <c:numRef>
              <c:f>Referrals!$AR$63:$AV$63</c:f>
              <c:numCache>
                <c:formatCode>0.0%</c:formatCode>
                <c:ptCount val="5"/>
                <c:pt idx="0">
                  <c:v>0.85953177257525082</c:v>
                </c:pt>
                <c:pt idx="1">
                  <c:v>0.86233480176211452</c:v>
                </c:pt>
                <c:pt idx="2">
                  <c:v>0.90055835358102565</c:v>
                </c:pt>
                <c:pt idx="3">
                  <c:v>0.89778988423203121</c:v>
                </c:pt>
                <c:pt idx="4">
                  <c:v>0.90590729527324865</c:v>
                </c:pt>
              </c:numCache>
            </c:numRef>
          </c:val>
          <c:smooth val="0"/>
        </c:ser>
        <c:ser>
          <c:idx val="6"/>
          <c:order val="24"/>
          <c:tx>
            <c:strRef>
              <c:f>Referrals!$AK$64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Referrals!$D$8:$H$8</c:f>
              <c:numCache>
                <c:formatCode>General</c:formatCode>
                <c:ptCount val="5"/>
                <c:pt idx="0">
                  <c:v>2014</c:v>
                </c:pt>
                <c:pt idx="1">
                  <c:v>2015</c:v>
                </c:pt>
                <c:pt idx="2">
                  <c:v>2016</c:v>
                </c:pt>
                <c:pt idx="3">
                  <c:v>2017</c:v>
                </c:pt>
                <c:pt idx="4">
                  <c:v>2018</c:v>
                </c:pt>
              </c:numCache>
            </c:numRef>
          </c:cat>
          <c:val>
            <c:numRef>
              <c:f>Referrals!$AR$64:$AV$64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9407104"/>
        <c:axId val="179413376"/>
      </c:lineChart>
      <c:catAx>
        <c:axId val="179407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413376"/>
        <c:crosses val="autoZero"/>
        <c:auto val="1"/>
        <c:lblAlgn val="ctr"/>
        <c:lblOffset val="100"/>
        <c:tickLblSkip val="1"/>
        <c:tickMarkSkip val="1"/>
        <c:noMultiLvlLbl val="0"/>
      </c:catAx>
      <c:valAx>
        <c:axId val="179413376"/>
        <c:scaling>
          <c:orientation val="minMax"/>
          <c:max val="1.02"/>
          <c:min val="0"/>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40710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Looked After Children </a:t>
            </a:r>
            <a:r>
              <a:rPr lang="en-GB"/>
              <a:t>vs. IDACI</a:t>
            </a:r>
          </a:p>
        </c:rich>
      </c:tx>
      <c:layout>
        <c:manualLayout>
          <c:xMode val="edge"/>
          <c:yMode val="edge"/>
          <c:x val="0.2264459250286022"/>
          <c:y val="3.6125811358121193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'Looked After Children'!$X$67</c:f>
              <c:strCache>
                <c:ptCount val="1"/>
                <c:pt idx="0">
                  <c:v>National Trend </c:v>
                </c:pt>
              </c:strCache>
            </c:strRef>
          </c:tx>
          <c:spPr>
            <a:ln w="15875">
              <a:solidFill>
                <a:srgbClr val="000000"/>
              </a:solidFill>
            </a:ln>
          </c:spPr>
          <c:marker>
            <c:symbol val="none"/>
          </c:marker>
          <c:dLbls>
            <c:dLbl>
              <c:idx val="0"/>
              <c:delete val="1"/>
            </c:dLbl>
            <c:dLbl>
              <c:idx val="1"/>
              <c:layout>
                <c:manualLayout>
                  <c:x val="-2.1806853582554516E-2"/>
                  <c:y val="2.6845631278660003E-2"/>
                </c:manualLayout>
              </c:layout>
              <c:tx>
                <c:rich>
                  <a:bodyPr/>
                  <a:lstStyle/>
                  <a:p>
                    <a:r>
                      <a:rPr lang="en-US"/>
                      <a:t>R</a:t>
                    </a:r>
                    <a:r>
                      <a:rPr lang="en-US">
                        <a:latin typeface="Arial"/>
                        <a:cs typeface="Arial"/>
                      </a:rPr>
                      <a:t>² = 0.3669</a:t>
                    </a:r>
                    <a:endParaRPr lang="en-US"/>
                  </a:p>
                </c:rich>
              </c:tx>
              <c:showLegendKey val="0"/>
              <c:showVal val="1"/>
              <c:showCatName val="0"/>
              <c:showSerName val="0"/>
              <c:showPercent val="0"/>
              <c:showBubbleSize val="0"/>
            </c:dLbl>
            <c:txPr>
              <a:bodyPr/>
              <a:lstStyle/>
              <a:p>
                <a:pPr>
                  <a:defRPr sz="900"/>
                </a:pPr>
                <a:endParaRPr lang="en-US"/>
              </a:p>
            </c:txPr>
            <c:showLegendKey val="0"/>
            <c:showVal val="1"/>
            <c:showCatName val="0"/>
            <c:showSerName val="0"/>
            <c:showPercent val="0"/>
            <c:showBubbleSize val="0"/>
            <c:showLeaderLines val="0"/>
          </c:dLbls>
          <c:xVal>
            <c:numRef>
              <c:f>'Looked After Children'!$AA$67:$AA$68</c:f>
              <c:numCache>
                <c:formatCode>General</c:formatCode>
                <c:ptCount val="2"/>
                <c:pt idx="0" formatCode="#,##0.0">
                  <c:v>5</c:v>
                </c:pt>
                <c:pt idx="1">
                  <c:v>30</c:v>
                </c:pt>
              </c:numCache>
            </c:numRef>
          </c:xVal>
          <c:yVal>
            <c:numRef>
              <c:f>'Looked After Children'!$AB$67:$AB$68</c:f>
              <c:numCache>
                <c:formatCode>0.0</c:formatCode>
                <c:ptCount val="2"/>
                <c:pt idx="0">
                  <c:v>30.705107240230092</c:v>
                </c:pt>
                <c:pt idx="1">
                  <c:v>91.196092825446271</c:v>
                </c:pt>
              </c:numCache>
            </c:numRef>
          </c:yVal>
          <c:smooth val="1"/>
        </c:ser>
        <c:dLbls>
          <c:showLegendKey val="0"/>
          <c:showVal val="0"/>
          <c:showCatName val="0"/>
          <c:showSerName val="0"/>
          <c:showPercent val="0"/>
          <c:showBubbleSize val="0"/>
        </c:dLbls>
        <c:axId val="240758784"/>
        <c:axId val="240761088"/>
      </c:scatterChart>
      <c:scatterChart>
        <c:scatterStyle val="lineMarker"/>
        <c:varyColors val="0"/>
        <c:ser>
          <c:idx val="0"/>
          <c:order val="0"/>
          <c:tx>
            <c:strRef>
              <c:f>'Looked After Children'!$AQ$37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5634218289085547"/>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1.4749262536873156E-2"/>
                  <c:y val="0"/>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30008055176"/>
                  <c:y val="-1.9724901603847381E-2"/>
                </c:manualLayout>
              </c:layout>
              <c:tx>
                <c:rich>
                  <a:bodyPr/>
                  <a:lstStyle/>
                  <a:p>
                    <a:r>
                      <a:rPr lang="en-US"/>
                      <a:t>Buckinghamshire</a:t>
                    </a:r>
                  </a:p>
                </c:rich>
              </c:tx>
              <c:dLblPos val="r"/>
              <c:showLegendKey val="0"/>
              <c:showVal val="0"/>
              <c:showCatName val="1"/>
              <c:showSerName val="0"/>
              <c:showPercent val="0"/>
              <c:showBubbleSize val="0"/>
            </c:dLbl>
            <c:dLbl>
              <c:idx val="3"/>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dLblPos val="r"/>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dLblPos val="r"/>
              <c:showLegendKey val="0"/>
              <c:showVal val="0"/>
              <c:showCatName val="1"/>
              <c:showSerName val="0"/>
              <c:showPercent val="0"/>
              <c:showBubbleSize val="0"/>
            </c:dLbl>
            <c:dLbl>
              <c:idx val="8"/>
              <c:layout>
                <c:manualLayout>
                  <c:x val="-0.13768448191763641"/>
                  <c:y val="-5.9656958397022227E-3"/>
                </c:manualLayout>
              </c:layout>
              <c:tx>
                <c:rich>
                  <a:bodyPr/>
                  <a:lstStyle/>
                  <a:p>
                    <a:r>
                      <a:rPr lang="en-US"/>
                      <a:t>Milton Keynes</a:t>
                    </a:r>
                  </a:p>
                </c:rich>
              </c:tx>
              <c:dLblPos val="r"/>
              <c:showLegendKey val="0"/>
              <c:showVal val="0"/>
              <c:showCatName val="1"/>
              <c:showSerName val="0"/>
              <c:showPercent val="0"/>
              <c:showBubbleSize val="0"/>
            </c:dLbl>
            <c:dLbl>
              <c:idx val="9"/>
              <c:layout/>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layout/>
              <c:tx>
                <c:rich>
                  <a:bodyPr/>
                  <a:lstStyle/>
                  <a:p>
                    <a:r>
                      <a:rPr lang="en-US"/>
                      <a:t>Reading</a:t>
                    </a:r>
                  </a:p>
                </c:rich>
              </c:tx>
              <c:dLblPos val="r"/>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dLblPos val="l"/>
              <c:showLegendKey val="0"/>
              <c:showVal val="0"/>
              <c:showCatName val="1"/>
              <c:showSerName val="0"/>
              <c:showPercent val="0"/>
              <c:showBubbleSize val="0"/>
            </c:dLbl>
            <c:dLbl>
              <c:idx val="14"/>
              <c:layout/>
              <c:tx>
                <c:rich>
                  <a:bodyPr/>
                  <a:lstStyle/>
                  <a:p>
                    <a:r>
                      <a:rPr lang="en-US"/>
                      <a:t>Surrey</a:t>
                    </a:r>
                  </a:p>
                </c:rich>
              </c:tx>
              <c:dLblPos val="l"/>
              <c:showLegendKey val="0"/>
              <c:showVal val="0"/>
              <c:showCatName val="1"/>
              <c:showSerName val="0"/>
              <c:showPercent val="0"/>
              <c:showBubbleSize val="0"/>
            </c:dLbl>
            <c:dLbl>
              <c:idx val="15"/>
              <c:layout/>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800544710491783"/>
                  <c:y val="1.3242527825470671E-2"/>
                </c:manualLayout>
              </c:layout>
              <c:tx>
                <c:rich>
                  <a:bodyPr/>
                  <a:lstStyle/>
                  <a:p>
                    <a:r>
                      <a:rPr lang="en-US"/>
                      <a:t>Windsor &amp; Maidenhead</a:t>
                    </a:r>
                  </a:p>
                </c:rich>
              </c:tx>
              <c:dLblPos val="r"/>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('Looked After Children'!$AQ$40:$AQ$52,'Looked After Children'!$AQ$54:$AQ$55,'Looked After Children'!$AQ$58:$AQ$61)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('Looked After Children'!$AP$40:$AP$52,'Looked After Children'!$AP$54:$AP$55,'Looked After Children'!$AP$58:$AP$61)</c:f>
              <c:numCache>
                <c:formatCode>0.0</c:formatCode>
                <c:ptCount val="19"/>
                <c:pt idx="0">
                  <c:v>49.161055893983111</c:v>
                </c:pt>
                <c:pt idx="1">
                  <c:v>81.991330103371851</c:v>
                </c:pt>
                <c:pt idx="2">
                  <c:v>38.594353036766201</c:v>
                </c:pt>
                <c:pt idx="3">
                  <c:v>56.862652647460983</c:v>
                </c:pt>
                <c:pt idx="4">
                  <c:v>56.262662628744074</c:v>
                </c:pt>
                <c:pt idx="5">
                  <c:v>90.201556575533814</c:v>
                </c:pt>
                <c:pt idx="6">
                  <c:v>48.945223005742513</c:v>
                </c:pt>
                <c:pt idx="7">
                  <c:v>64.745163661385916</c:v>
                </c:pt>
                <c:pt idx="8">
                  <c:v>57.800050260913274</c:v>
                </c:pt>
                <c:pt idx="9">
                  <c:v>47.753827277543856</c:v>
                </c:pt>
                <c:pt idx="10">
                  <c:v>93.908399710354814</c:v>
                </c:pt>
                <c:pt idx="11">
                  <c:v>74.946755452511255</c:v>
                </c:pt>
                <c:pt idx="12">
                  <c:v>48.838311996206734</c:v>
                </c:pt>
                <c:pt idx="13">
                  <c:v>103.76702117085776</c:v>
                </c:pt>
                <c:pt idx="14">
                  <c:v>35.650486928795068</c:v>
                </c:pt>
                <c:pt idx="15">
                  <c:v>40.51411008661637</c:v>
                </c:pt>
                <c:pt idx="16">
                  <c:v>40.627651040795008</c:v>
                </c:pt>
                <c:pt idx="17">
                  <c:v>31.148113646949231</c:v>
                </c:pt>
                <c:pt idx="18">
                  <c:v>27.388765438478632</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layout/>
              <c:tx>
                <c:rich>
                  <a:bodyPr/>
                  <a:lstStyle/>
                  <a:p>
                    <a:r>
                      <a:rPr lang="en-GB"/>
                      <a:t>Somerset</a:t>
                    </a:r>
                  </a:p>
                </c:rich>
              </c:tx>
              <c:showLegendKey val="0"/>
              <c:showVal val="0"/>
              <c:showCatName val="0"/>
              <c:showSerName val="1"/>
              <c:showPercent val="0"/>
              <c:showBubbleSize val="0"/>
            </c:dLbl>
            <c:dLbl>
              <c:idx val="1"/>
              <c:layout/>
              <c:tx>
                <c:rich>
                  <a:bodyPr/>
                  <a:lstStyle/>
                  <a:p>
                    <a:r>
                      <a:rPr lang="en-GB"/>
                      <a:t>Swindon</a:t>
                    </a:r>
                  </a:p>
                </c:rich>
              </c:tx>
              <c:dLblPos val="l"/>
              <c:showLegendKey val="0"/>
              <c:showVal val="0"/>
              <c:showCatName val="0"/>
              <c:showSerName val="1"/>
              <c:showPercent val="0"/>
              <c:showBubbleSize val="0"/>
            </c:dLbl>
            <c:dLbl>
              <c:idx val="2"/>
              <c:layout/>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('Looked After Children'!$AQ$53,'Looked After Children'!$AQ$56,'Looked After Children'!$AQ$57)</c:f>
              <c:numCache>
                <c:formatCode>0.0</c:formatCode>
                <c:ptCount val="3"/>
                <c:pt idx="0">
                  <c:v>14.8</c:v>
                </c:pt>
                <c:pt idx="1">
                  <c:v>17.2</c:v>
                </c:pt>
                <c:pt idx="2">
                  <c:v>24.1</c:v>
                </c:pt>
              </c:numCache>
            </c:numRef>
          </c:xVal>
          <c:yVal>
            <c:numRef>
              <c:f>('Looked After Children'!$AP$53,'Looked After Children'!$AP$56,'Looked After Children'!$AP$57)</c:f>
              <c:numCache>
                <c:formatCode>0.0</c:formatCode>
                <c:ptCount val="3"/>
                <c:pt idx="0">
                  <c:v>47.418335089567968</c:v>
                </c:pt>
                <c:pt idx="1">
                  <c:v>72.1096066020351</c:v>
                </c:pt>
                <c:pt idx="2">
                  <c:v>128.65405043868276</c:v>
                </c:pt>
              </c:numCache>
            </c:numRef>
          </c:yVal>
          <c:smooth val="0"/>
        </c:ser>
        <c:ser>
          <c:idx val="1"/>
          <c:order val="2"/>
          <c:tx>
            <c:strRef>
              <c:f>'Looked After Children'!$Z$4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'Looked After Children'!$Y$40</c:f>
              <c:numCache>
                <c:formatCode>0.00</c:formatCode>
                <c:ptCount val="1"/>
                <c:pt idx="0">
                  <c:v>#N/A</c:v>
                </c:pt>
              </c:numCache>
            </c:numRef>
          </c:xVal>
          <c:yVal>
            <c:numRef>
              <c:f>'Looked After Children'!$Z$40</c:f>
              <c:numCache>
                <c:formatCode>0.00</c:formatCode>
                <c:ptCount val="1"/>
                <c:pt idx="0">
                  <c:v>#N/A</c:v>
                </c:pt>
              </c:numCache>
            </c:numRef>
          </c:yVal>
          <c:smooth val="0"/>
        </c:ser>
        <c:ser>
          <c:idx val="2"/>
          <c:order val="3"/>
          <c:tx>
            <c:strRef>
              <c:f>'Looked After Children'!$X$65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5.1041486946998761E-2"/>
                  <c:y val="-2.181659665977399E-2"/>
                </c:manualLayout>
              </c:layout>
              <c:tx>
                <c:rich>
                  <a:bodyPr/>
                  <a:lstStyle/>
                  <a:p>
                    <a:r>
                      <a:rPr lang="en-US" sz="900">
                        <a:solidFill>
                          <a:srgbClr val="C00000"/>
                        </a:solidFill>
                      </a:rPr>
                      <a:t>R² = 0.7463</a:t>
                    </a:r>
                    <a:endParaRPr lang="en-US"/>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'Looked After Children'!$AA$65:$AA$66</c:f>
              <c:numCache>
                <c:formatCode>General</c:formatCode>
                <c:ptCount val="2"/>
                <c:pt idx="0" formatCode="#,##0.0">
                  <c:v>5</c:v>
                </c:pt>
                <c:pt idx="1">
                  <c:v>30</c:v>
                </c:pt>
              </c:numCache>
            </c:numRef>
          </c:xVal>
          <c:yVal>
            <c:numRef>
              <c:f>'Looked After Children'!$AB$65:$AB$66</c:f>
              <c:numCache>
                <c:formatCode>0.0</c:formatCode>
                <c:ptCount val="2"/>
                <c:pt idx="0">
                  <c:v>21.223700000000001</c:v>
                </c:pt>
                <c:pt idx="1">
                  <c:v>106.40119999999999</c:v>
                </c:pt>
              </c:numCache>
            </c:numRef>
          </c:yVal>
          <c:smooth val="0"/>
        </c:ser>
        <c:ser>
          <c:idx val="4"/>
          <c:order val="4"/>
          <c:tx>
            <c:strRef>
              <c:f>'Looked After Children'!$B$31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'Looked After Children'!$R$31</c:f>
              <c:numCache>
                <c:formatCode>0.0</c:formatCode>
                <c:ptCount val="1"/>
                <c:pt idx="0">
                  <c:v>14.45223640702325</c:v>
                </c:pt>
              </c:numCache>
            </c:numRef>
          </c:xVal>
          <c:yVal>
            <c:numRef>
              <c:f>'Looked After Children'!$O$31</c:f>
              <c:numCache>
                <c:formatCode>0.0</c:formatCode>
                <c:ptCount val="1"/>
                <c:pt idx="0">
                  <c:v>51.443901711281391</c:v>
                </c:pt>
              </c:numCache>
            </c:numRef>
          </c:yVal>
          <c:smooth val="0"/>
        </c:ser>
        <c:dLbls>
          <c:showLegendKey val="0"/>
          <c:showVal val="0"/>
          <c:showCatName val="0"/>
          <c:showSerName val="0"/>
          <c:showPercent val="0"/>
          <c:showBubbleSize val="0"/>
        </c:dLbls>
        <c:axId val="240758784"/>
        <c:axId val="240761088"/>
      </c:scatterChart>
      <c:valAx>
        <c:axId val="240758784"/>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0761088"/>
        <c:crosses val="autoZero"/>
        <c:crossBetween val="midCat"/>
      </c:valAx>
      <c:valAx>
        <c:axId val="24076108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t>
                </a:r>
                <a:r>
                  <a:rPr lang="en-GB" sz="800" b="1" i="0" u="none" strike="noStrike" baseline="0">
                    <a:effectLst/>
                  </a:rPr>
                  <a:t>Looked After Children </a:t>
                </a:r>
                <a:r>
                  <a:rPr lang="en-GB"/>
                  <a:t>per 10,000 0-17 year olds</a:t>
                </a:r>
              </a:p>
            </c:rich>
          </c:tx>
          <c:layout>
            <c:manualLayout>
              <c:xMode val="edge"/>
              <c:yMode val="edge"/>
              <c:x val="4.1925738303691069E-2"/>
              <c:y val="0.185723854985677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075878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7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Looked After Children,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4050498859185963"/>
        </c:manualLayout>
      </c:layout>
      <c:lineChart>
        <c:grouping val="standard"/>
        <c:varyColors val="0"/>
        <c:ser>
          <c:idx val="0"/>
          <c:order val="0"/>
          <c:tx>
            <c:strRef>
              <c:f>'Looked After Children'!$AK$40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'Looked After Children'!$D$8:$H$8</c:f>
              <c:numCache>
                <c:formatCode>General</c:formatCode>
                <c:ptCount val="5"/>
                <c:pt idx="0">
                  <c:v>2014</c:v>
                </c:pt>
                <c:pt idx="1">
                  <c:v>2015</c:v>
                </c:pt>
                <c:pt idx="2">
                  <c:v>2016</c:v>
                </c:pt>
                <c:pt idx="3">
                  <c:v>2017</c:v>
                </c:pt>
                <c:pt idx="4">
                  <c:v>2018</c:v>
                </c:pt>
              </c:numCache>
            </c:numRef>
          </c:cat>
          <c:val>
            <c:numRef>
              <c:f>'Looked After Children'!$AL$40:$AP$40</c:f>
              <c:numCache>
                <c:formatCode>0.0</c:formatCode>
                <c:ptCount val="5"/>
                <c:pt idx="0">
                  <c:v>41.697416974169741</c:v>
                </c:pt>
                <c:pt idx="1">
                  <c:v>37.410071942446045</c:v>
                </c:pt>
                <c:pt idx="2">
                  <c:v>34.751773049645394</c:v>
                </c:pt>
                <c:pt idx="3">
                  <c:v>41.172712429899903</c:v>
                </c:pt>
                <c:pt idx="4">
                  <c:v>49.161055893983111</c:v>
                </c:pt>
              </c:numCache>
            </c:numRef>
          </c:val>
          <c:smooth val="0"/>
        </c:ser>
        <c:ser>
          <c:idx val="1"/>
          <c:order val="1"/>
          <c:tx>
            <c:strRef>
              <c:f>'Looked After Children'!$AK$41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Children'!$AL$41:$AP$41</c:f>
              <c:numCache>
                <c:formatCode>0.0</c:formatCode>
                <c:ptCount val="5"/>
                <c:pt idx="0">
                  <c:v>91.485148514851474</c:v>
                </c:pt>
                <c:pt idx="1">
                  <c:v>92.54901960784315</c:v>
                </c:pt>
                <c:pt idx="2">
                  <c:v>85.546875</c:v>
                </c:pt>
                <c:pt idx="3">
                  <c:v>88.921822897369395</c:v>
                </c:pt>
                <c:pt idx="4">
                  <c:v>81.991330103371851</c:v>
                </c:pt>
              </c:numCache>
            </c:numRef>
          </c:val>
          <c:smooth val="0"/>
        </c:ser>
        <c:ser>
          <c:idx val="2"/>
          <c:order val="2"/>
          <c:tx>
            <c:strRef>
              <c:f>'Looked After Children'!$AK$42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Children'!$AL$42:$AP$42</c:f>
              <c:numCache>
                <c:formatCode>0.0</c:formatCode>
                <c:ptCount val="5"/>
                <c:pt idx="0">
                  <c:v>37.244897959183675</c:v>
                </c:pt>
                <c:pt idx="1">
                  <c:v>36.585365853658537</c:v>
                </c:pt>
                <c:pt idx="2">
                  <c:v>38.059701492537314</c:v>
                </c:pt>
                <c:pt idx="3">
                  <c:v>37.150689415326703</c:v>
                </c:pt>
                <c:pt idx="4">
                  <c:v>38.594353036766201</c:v>
                </c:pt>
              </c:numCache>
            </c:numRef>
          </c:val>
          <c:smooth val="0"/>
        </c:ser>
        <c:ser>
          <c:idx val="5"/>
          <c:order val="3"/>
          <c:tx>
            <c:strRef>
              <c:f>'Looked After Children'!$AK$43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Children'!$AL$43:$AP$43</c:f>
              <c:numCache>
                <c:formatCode>0.0</c:formatCode>
                <c:ptCount val="5"/>
                <c:pt idx="0">
                  <c:v>54.770992366412216</c:v>
                </c:pt>
                <c:pt idx="1">
                  <c:v>51.802656546489565</c:v>
                </c:pt>
                <c:pt idx="2">
                  <c:v>51.274787535410766</c:v>
                </c:pt>
                <c:pt idx="3">
                  <c:v>52.396552212456221</c:v>
                </c:pt>
                <c:pt idx="4">
                  <c:v>56.862652647460983</c:v>
                </c:pt>
              </c:numCache>
            </c:numRef>
          </c:val>
          <c:smooth val="0"/>
        </c:ser>
        <c:ser>
          <c:idx val="9"/>
          <c:order val="4"/>
          <c:tx>
            <c:strRef>
              <c:f>'Looked After Children'!$AK$44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Children'!$AL$44:$AP$44</c:f>
              <c:numCache>
                <c:formatCode>0.0</c:formatCode>
                <c:ptCount val="5"/>
                <c:pt idx="0">
                  <c:v>44.874068818730045</c:v>
                </c:pt>
                <c:pt idx="1">
                  <c:v>47.353463587921851</c:v>
                </c:pt>
                <c:pt idx="2">
                  <c:v>46.293011706278826</c:v>
                </c:pt>
                <c:pt idx="3">
                  <c:v>50.920998193011798</c:v>
                </c:pt>
                <c:pt idx="4">
                  <c:v>56.262662628744074</c:v>
                </c:pt>
              </c:numCache>
            </c:numRef>
          </c:val>
          <c:smooth val="0"/>
        </c:ser>
        <c:ser>
          <c:idx val="10"/>
          <c:order val="5"/>
          <c:tx>
            <c:strRef>
              <c:f>'Looked After Children'!$AK$45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Children'!$AL$45:$AP$45</c:f>
              <c:numCache>
                <c:formatCode>0.0</c:formatCode>
                <c:ptCount val="5"/>
                <c:pt idx="0">
                  <c:v>74.031007751937977</c:v>
                </c:pt>
                <c:pt idx="1">
                  <c:v>79.215686274509807</c:v>
                </c:pt>
                <c:pt idx="2">
                  <c:v>80.632411067193686</c:v>
                </c:pt>
                <c:pt idx="3">
                  <c:v>90.476190476190467</c:v>
                </c:pt>
                <c:pt idx="4">
                  <c:v>90.201556575533814</c:v>
                </c:pt>
              </c:numCache>
            </c:numRef>
          </c:val>
          <c:smooth val="0"/>
        </c:ser>
        <c:ser>
          <c:idx val="11"/>
          <c:order val="6"/>
          <c:tx>
            <c:strRef>
              <c:f>'Looked After Children'!$AK$46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Children'!$AL$46:$AP$46</c:f>
              <c:numCache>
                <c:formatCode>0.0</c:formatCode>
                <c:ptCount val="5"/>
                <c:pt idx="0">
                  <c:v>55.896805896805894</c:v>
                </c:pt>
                <c:pt idx="1">
                  <c:v>56.868717636308254</c:v>
                </c:pt>
                <c:pt idx="2">
                  <c:v>70.036319612590802</c:v>
                </c:pt>
                <c:pt idx="3">
                  <c:v>57.109399630680542</c:v>
                </c:pt>
                <c:pt idx="4">
                  <c:v>48.945223005742513</c:v>
                </c:pt>
              </c:numCache>
            </c:numRef>
          </c:val>
          <c:smooth val="0"/>
        </c:ser>
        <c:ser>
          <c:idx val="12"/>
          <c:order val="7"/>
          <c:tx>
            <c:strRef>
              <c:f>'Looked After Children'!$AK$47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Children'!$AL$47:$AP$47</c:f>
              <c:numCache>
                <c:formatCode>0.0</c:formatCode>
                <c:ptCount val="5"/>
                <c:pt idx="0">
                  <c:v>61.525974025974023</c:v>
                </c:pt>
                <c:pt idx="1">
                  <c:v>68.16</c:v>
                </c:pt>
                <c:pt idx="2">
                  <c:v>68.037974683544306</c:v>
                </c:pt>
                <c:pt idx="3">
                  <c:v>61.227373345683468</c:v>
                </c:pt>
                <c:pt idx="4">
                  <c:v>64.745163661385916</c:v>
                </c:pt>
              </c:numCache>
            </c:numRef>
          </c:val>
          <c:smooth val="0"/>
        </c:ser>
        <c:ser>
          <c:idx val="13"/>
          <c:order val="8"/>
          <c:tx>
            <c:strRef>
              <c:f>'Looked After Children'!$AK$48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Children'!$AL$48:$AP$48</c:f>
              <c:numCache>
                <c:formatCode>0.0</c:formatCode>
                <c:ptCount val="5"/>
                <c:pt idx="0">
                  <c:v>47.34375</c:v>
                </c:pt>
                <c:pt idx="1">
                  <c:v>51.993865030674847</c:v>
                </c:pt>
                <c:pt idx="2">
                  <c:v>52.193645990922839</c:v>
                </c:pt>
                <c:pt idx="3">
                  <c:v>58.975962827271914</c:v>
                </c:pt>
                <c:pt idx="4">
                  <c:v>57.800050260913274</c:v>
                </c:pt>
              </c:numCache>
            </c:numRef>
          </c:val>
          <c:smooth val="0"/>
        </c:ser>
        <c:ser>
          <c:idx val="15"/>
          <c:order val="9"/>
          <c:tx>
            <c:strRef>
              <c:f>'Looked After Children'!$AK$49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Children'!$AL$49:$AP$49</c:f>
              <c:numCache>
                <c:formatCode>0.0</c:formatCode>
                <c:ptCount val="5"/>
                <c:pt idx="0">
                  <c:v>32.929436920883816</c:v>
                </c:pt>
                <c:pt idx="1">
                  <c:v>36.118980169971671</c:v>
                </c:pt>
                <c:pt idx="2">
                  <c:v>41.819464033850494</c:v>
                </c:pt>
                <c:pt idx="3">
                  <c:v>46.606996647935219</c:v>
                </c:pt>
                <c:pt idx="4">
                  <c:v>47.753827277543856</c:v>
                </c:pt>
              </c:numCache>
            </c:numRef>
          </c:val>
          <c:smooth val="0"/>
        </c:ser>
        <c:ser>
          <c:idx val="16"/>
          <c:order val="10"/>
          <c:tx>
            <c:strRef>
              <c:f>'Looked After Children'!$AK$50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Children'!$AL$50:$AP$50</c:f>
              <c:numCache>
                <c:formatCode>0.0</c:formatCode>
                <c:ptCount val="5"/>
                <c:pt idx="0">
                  <c:v>74.647887323943664</c:v>
                </c:pt>
                <c:pt idx="1">
                  <c:v>73.73271889400921</c:v>
                </c:pt>
                <c:pt idx="2">
                  <c:v>73.515981735159826</c:v>
                </c:pt>
                <c:pt idx="3">
                  <c:v>81.36363636363636</c:v>
                </c:pt>
                <c:pt idx="4">
                  <c:v>93.908399710354814</c:v>
                </c:pt>
              </c:numCache>
            </c:numRef>
          </c:val>
          <c:smooth val="0"/>
        </c:ser>
        <c:ser>
          <c:idx val="17"/>
          <c:order val="11"/>
          <c:tx>
            <c:strRef>
              <c:f>'Looked After Children'!$AK$51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Children'!$AL$51:$AP$51</c:f>
              <c:numCache>
                <c:formatCode>0.0</c:formatCode>
                <c:ptCount val="5"/>
                <c:pt idx="0">
                  <c:v>59.654178674351584</c:v>
                </c:pt>
                <c:pt idx="1">
                  <c:v>58.217270194986071</c:v>
                </c:pt>
                <c:pt idx="2">
                  <c:v>60.439560439560445</c:v>
                </c:pt>
                <c:pt idx="3">
                  <c:v>71.77751698916515</c:v>
                </c:pt>
                <c:pt idx="4">
                  <c:v>74.946755452511255</c:v>
                </c:pt>
              </c:numCache>
            </c:numRef>
          </c:val>
          <c:smooth val="0"/>
        </c:ser>
        <c:ser>
          <c:idx val="19"/>
          <c:order val="12"/>
          <c:tx>
            <c:strRef>
              <c:f>'Looked After Children'!$AK$52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Children'!$AL$52:$AP$52</c:f>
              <c:numCache>
                <c:formatCode>0.0</c:formatCode>
                <c:ptCount val="5"/>
                <c:pt idx="0">
                  <c:v>48.586118251928021</c:v>
                </c:pt>
                <c:pt idx="1">
                  <c:v>49.122807017543863</c:v>
                </c:pt>
                <c:pt idx="2">
                  <c:v>44.088669950738911</c:v>
                </c:pt>
                <c:pt idx="3">
                  <c:v>45.887069506834763</c:v>
                </c:pt>
                <c:pt idx="4">
                  <c:v>48.838311996206734</c:v>
                </c:pt>
              </c:numCache>
            </c:numRef>
          </c:val>
          <c:smooth val="0"/>
        </c:ser>
        <c:ser>
          <c:idx val="3"/>
          <c:order val="13"/>
          <c:tx>
            <c:strRef>
              <c:f>'Looked After Children'!$AK$53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Children'!$AL$53:$AP$53</c:f>
              <c:numCache>
                <c:formatCode>0.0</c:formatCode>
                <c:ptCount val="5"/>
                <c:pt idx="0">
                  <c:v>44.852941176470587</c:v>
                </c:pt>
                <c:pt idx="1">
                  <c:v>44.719926538108353</c:v>
                </c:pt>
                <c:pt idx="2">
                  <c:v>45.879120879120876</c:v>
                </c:pt>
                <c:pt idx="3">
                  <c:v>43.408081563420488</c:v>
                </c:pt>
                <c:pt idx="4">
                  <c:v>47.418335089567968</c:v>
                </c:pt>
              </c:numCache>
            </c:numRef>
          </c:val>
          <c:smooth val="0"/>
        </c:ser>
        <c:ser>
          <c:idx val="20"/>
          <c:order val="14"/>
          <c:tx>
            <c:strRef>
              <c:f>'Looked After Children'!$AK$54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Children'!$AL$54:$AP$54</c:f>
              <c:numCache>
                <c:formatCode>0.0</c:formatCode>
                <c:ptCount val="5"/>
                <c:pt idx="0">
                  <c:v>105.48523206751054</c:v>
                </c:pt>
                <c:pt idx="1">
                  <c:v>119.75308641975309</c:v>
                </c:pt>
                <c:pt idx="2">
                  <c:v>120.1219512195122</c:v>
                </c:pt>
                <c:pt idx="3">
                  <c:v>108.21426424320154</c:v>
                </c:pt>
                <c:pt idx="4">
                  <c:v>103.76702117085776</c:v>
                </c:pt>
              </c:numCache>
            </c:numRef>
          </c:val>
          <c:smooth val="0"/>
        </c:ser>
        <c:ser>
          <c:idx val="22"/>
          <c:order val="15"/>
          <c:tx>
            <c:strRef>
              <c:f>'Looked After Children'!$AK$55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Children'!$AL$55:$AP$55</c:f>
              <c:numCache>
                <c:formatCode>0.0</c:formatCode>
                <c:ptCount val="5"/>
                <c:pt idx="0">
                  <c:v>31.468253968253968</c:v>
                </c:pt>
                <c:pt idx="1">
                  <c:v>30.597014925373138</c:v>
                </c:pt>
                <c:pt idx="2">
                  <c:v>33.814352574102962</c:v>
                </c:pt>
                <c:pt idx="3">
                  <c:v>33.552253097502309</c:v>
                </c:pt>
                <c:pt idx="4">
                  <c:v>35.650486928795068</c:v>
                </c:pt>
              </c:numCache>
            </c:numRef>
          </c:val>
          <c:smooth val="0"/>
        </c:ser>
        <c:ser>
          <c:idx val="7"/>
          <c:order val="16"/>
          <c:tx>
            <c:strRef>
              <c:f>'Looked After Children'!$AK$56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'Looked After Children'!$AL$56:$AP$56</c:f>
              <c:numCache>
                <c:formatCode>0.0</c:formatCode>
                <c:ptCount val="5"/>
                <c:pt idx="0">
                  <c:v>52.818371607515658</c:v>
                </c:pt>
                <c:pt idx="1">
                  <c:v>51.440329218106996</c:v>
                </c:pt>
                <c:pt idx="2">
                  <c:v>59.795918367346943</c:v>
                </c:pt>
                <c:pt idx="3">
                  <c:v>66.717884436537148</c:v>
                </c:pt>
                <c:pt idx="4">
                  <c:v>72.1096066020351</c:v>
                </c:pt>
              </c:numCache>
            </c:numRef>
          </c:val>
          <c:smooth val="0"/>
        </c:ser>
        <c:ser>
          <c:idx val="8"/>
          <c:order val="17"/>
          <c:tx>
            <c:strRef>
              <c:f>'Looked After Children'!$AK$57</c:f>
              <c:strCache>
                <c:ptCount val="1"/>
                <c:pt idx="0">
                  <c:v>Torbay</c:v>
                </c:pt>
              </c:strCache>
            </c:strRef>
          </c:tx>
          <c:spPr>
            <a:ln w="15875"/>
          </c:spPr>
          <c:marker>
            <c:symbol val="circle"/>
            <c:size val="5"/>
            <c:spPr>
              <a:solidFill>
                <a:schemeClr val="accent3">
                  <a:lumMod val="20000"/>
                  <a:lumOff val="80000"/>
                </a:schemeClr>
              </a:solidFill>
            </c:spPr>
          </c:marker>
          <c:val>
            <c:numRef>
              <c:f>'Looked After Children'!$AL$57:$AP$57</c:f>
              <c:numCache>
                <c:formatCode>0.0</c:formatCode>
                <c:ptCount val="5"/>
                <c:pt idx="0">
                  <c:v>126.61290322580645</c:v>
                </c:pt>
                <c:pt idx="1">
                  <c:v>121.91235059760956</c:v>
                </c:pt>
                <c:pt idx="2">
                  <c:v>110.71428571428571</c:v>
                </c:pt>
                <c:pt idx="3">
                  <c:v>113.50648326961732</c:v>
                </c:pt>
                <c:pt idx="4">
                  <c:v>128.65405043868276</c:v>
                </c:pt>
              </c:numCache>
            </c:numRef>
          </c:val>
          <c:smooth val="0"/>
        </c:ser>
        <c:ser>
          <c:idx val="23"/>
          <c:order val="18"/>
          <c:tx>
            <c:strRef>
              <c:f>'Looked After Children'!$AK$58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Children'!$AL$58:$AP$58</c:f>
              <c:numCache>
                <c:formatCode>0.0</c:formatCode>
                <c:ptCount val="5"/>
                <c:pt idx="0">
                  <c:v>43.697478991596633</c:v>
                </c:pt>
                <c:pt idx="1">
                  <c:v>48.033707865168537</c:v>
                </c:pt>
                <c:pt idx="2">
                  <c:v>43.977591036414566</c:v>
                </c:pt>
                <c:pt idx="3">
                  <c:v>44.808104422365084</c:v>
                </c:pt>
                <c:pt idx="4">
                  <c:v>40.51411008661637</c:v>
                </c:pt>
              </c:numCache>
            </c:numRef>
          </c:val>
          <c:smooth val="0"/>
        </c:ser>
        <c:ser>
          <c:idx val="24"/>
          <c:order val="19"/>
          <c:tx>
            <c:strRef>
              <c:f>'Looked After Children'!$AK$59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Children'!$AL$59:$AP$59</c:f>
              <c:numCache>
                <c:formatCode>0.0</c:formatCode>
                <c:ptCount val="5"/>
                <c:pt idx="0">
                  <c:v>36.047904191616766</c:v>
                </c:pt>
                <c:pt idx="1">
                  <c:v>38.15165876777251</c:v>
                </c:pt>
                <c:pt idx="2">
                  <c:v>37.5</c:v>
                </c:pt>
                <c:pt idx="3">
                  <c:v>38.600147879902885</c:v>
                </c:pt>
                <c:pt idx="4">
                  <c:v>40.627651040795008</c:v>
                </c:pt>
              </c:numCache>
            </c:numRef>
          </c:val>
          <c:smooth val="0"/>
        </c:ser>
        <c:ser>
          <c:idx val="25"/>
          <c:order val="20"/>
          <c:tx>
            <c:strRef>
              <c:f>'Looked After Children'!$AK$60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Children'!$AL$60:$AP$60</c:f>
              <c:numCache>
                <c:formatCode>0.0</c:formatCode>
                <c:ptCount val="5"/>
                <c:pt idx="0">
                  <c:v>31.831831831831831</c:v>
                </c:pt>
                <c:pt idx="1">
                  <c:v>29.640718562874252</c:v>
                </c:pt>
                <c:pt idx="2">
                  <c:v>26.409495548961427</c:v>
                </c:pt>
                <c:pt idx="3">
                  <c:v>31.893726591760299</c:v>
                </c:pt>
                <c:pt idx="4">
                  <c:v>31.148113646949231</c:v>
                </c:pt>
              </c:numCache>
            </c:numRef>
          </c:val>
          <c:smooth val="0"/>
        </c:ser>
        <c:ser>
          <c:idx val="26"/>
          <c:order val="21"/>
          <c:tx>
            <c:strRef>
              <c:f>'Looked After Children'!$AK$61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Children'!$AL$61:$AP$61</c:f>
              <c:numCache>
                <c:formatCode>0.0</c:formatCode>
                <c:ptCount val="5"/>
                <c:pt idx="0">
                  <c:v>19.88950276243094</c:v>
                </c:pt>
                <c:pt idx="1">
                  <c:v>20.325203252032523</c:v>
                </c:pt>
                <c:pt idx="2">
                  <c:v>21.715817694369974</c:v>
                </c:pt>
                <c:pt idx="3">
                  <c:v>19.726978615955179</c:v>
                </c:pt>
                <c:pt idx="4">
                  <c:v>27.388765438478632</c:v>
                </c:pt>
              </c:numCache>
            </c:numRef>
          </c:val>
          <c:smooth val="0"/>
        </c:ser>
        <c:ser>
          <c:idx val="4"/>
          <c:order val="22"/>
          <c:tx>
            <c:strRef>
              <c:f>'Looked After Children'!$AK$62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Children'!$AL$62:$AP$62</c:f>
              <c:numCache>
                <c:formatCode>0.0</c:formatCode>
                <c:ptCount val="5"/>
                <c:pt idx="0">
                  <c:v>47.434810260758958</c:v>
                </c:pt>
                <c:pt idx="1">
                  <c:v>48.891923117319614</c:v>
                </c:pt>
                <c:pt idx="2">
                  <c:v>51.45717115895939</c:v>
                </c:pt>
                <c:pt idx="3">
                  <c:v>50.8485184872902</c:v>
                </c:pt>
                <c:pt idx="4">
                  <c:v>51.443901711281391</c:v>
                </c:pt>
              </c:numCache>
            </c:numRef>
          </c:val>
          <c:smooth val="0"/>
        </c:ser>
        <c:ser>
          <c:idx val="14"/>
          <c:order val="23"/>
          <c:tx>
            <c:strRef>
              <c:f>'Looked After Children'!$AK$63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'Looked After Children'!$AL$63:$AP$63</c:f>
              <c:numCache>
                <c:formatCode>0.0</c:formatCode>
                <c:ptCount val="5"/>
                <c:pt idx="0">
                  <c:v>59.944768226920701</c:v>
                </c:pt>
                <c:pt idx="1">
                  <c:v>59.930812564162288</c:v>
                </c:pt>
                <c:pt idx="2">
                  <c:v>60.284811481516371</c:v>
                </c:pt>
                <c:pt idx="3">
                  <c:v>61.593800468160396</c:v>
                </c:pt>
                <c:pt idx="4">
                  <c:v>63.554624829263311</c:v>
                </c:pt>
              </c:numCache>
            </c:numRef>
          </c:val>
          <c:smooth val="0"/>
        </c:ser>
        <c:ser>
          <c:idx val="6"/>
          <c:order val="24"/>
          <c:tx>
            <c:strRef>
              <c:f>'Looked After Children'!$AK$64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'Looked After Children'!$D$8:$H$8</c:f>
              <c:numCache>
                <c:formatCode>General</c:formatCode>
                <c:ptCount val="5"/>
                <c:pt idx="0">
                  <c:v>2014</c:v>
                </c:pt>
                <c:pt idx="1">
                  <c:v>2015</c:v>
                </c:pt>
                <c:pt idx="2">
                  <c:v>2016</c:v>
                </c:pt>
                <c:pt idx="3">
                  <c:v>2017</c:v>
                </c:pt>
                <c:pt idx="4">
                  <c:v>2018</c:v>
                </c:pt>
              </c:numCache>
            </c:numRef>
          </c:cat>
          <c:val>
            <c:numRef>
              <c:f>'Looked After Children'!$AL$64:$AP$64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40632960"/>
        <c:axId val="240634880"/>
      </c:lineChart>
      <c:catAx>
        <c:axId val="240632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0634880"/>
        <c:crosses val="autoZero"/>
        <c:auto val="1"/>
        <c:lblAlgn val="ctr"/>
        <c:lblOffset val="100"/>
        <c:tickLblSkip val="1"/>
        <c:tickMarkSkip val="1"/>
        <c:noMultiLvlLbl val="0"/>
      </c:catAx>
      <c:valAx>
        <c:axId val="24063488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063296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Looked After Children </a:t>
            </a:r>
            <a:r>
              <a:rPr lang="en-GB"/>
              <a:t>(Selected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'Looked After Children'!$Z$4</c:f>
              <c:strCache>
                <c:ptCount val="1"/>
                <c:pt idx="0">
                  <c:v>Selected LA- (none)</c:v>
                </c:pt>
              </c:strCache>
            </c:strRef>
          </c:tx>
          <c:spPr>
            <a:solidFill>
              <a:srgbClr val="66FF99"/>
            </a:solidFill>
            <a:ln>
              <a:solidFill>
                <a:schemeClr val="tx1">
                  <a:lumMod val="75000"/>
                  <a:lumOff val="25000"/>
                </a:schemeClr>
              </a:solidFill>
            </a:ln>
          </c:spPr>
          <c:invertIfNegative val="0"/>
          <c:val>
            <c:numRef>
              <c:f>'Looked After Children'!$X$70:$AB$70</c:f>
              <c:numCache>
                <c:formatCode>0.0</c:formatCode>
                <c:ptCount val="5"/>
                <c:pt idx="0">
                  <c:v>#N/A</c:v>
                </c:pt>
                <c:pt idx="1">
                  <c:v>#N/A</c:v>
                </c:pt>
                <c:pt idx="2">
                  <c:v>#N/A</c:v>
                </c:pt>
                <c:pt idx="3">
                  <c:v>#N/A</c:v>
                </c:pt>
                <c:pt idx="4">
                  <c:v>#N/A</c:v>
                </c:pt>
              </c:numCache>
            </c:numRef>
          </c:val>
        </c:ser>
        <c:ser>
          <c:idx val="4"/>
          <c:order val="1"/>
          <c:tx>
            <c:strRef>
              <c:f>'Looked After Children'!$B$31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'Looked After Children'!$K$8:$O$8</c:f>
              <c:numCache>
                <c:formatCode>General</c:formatCode>
                <c:ptCount val="5"/>
                <c:pt idx="0">
                  <c:v>2014</c:v>
                </c:pt>
                <c:pt idx="1">
                  <c:v>2015</c:v>
                </c:pt>
                <c:pt idx="2">
                  <c:v>2016</c:v>
                </c:pt>
                <c:pt idx="3">
                  <c:v>2017</c:v>
                </c:pt>
                <c:pt idx="4">
                  <c:v>2018</c:v>
                </c:pt>
              </c:numCache>
            </c:numRef>
          </c:cat>
          <c:val>
            <c:numRef>
              <c:f>'Looked After Children'!$K$31:$O$31</c:f>
              <c:numCache>
                <c:formatCode>0.0</c:formatCode>
                <c:ptCount val="5"/>
                <c:pt idx="0">
                  <c:v>47.434810260758958</c:v>
                </c:pt>
                <c:pt idx="1">
                  <c:v>48.891923117319614</c:v>
                </c:pt>
                <c:pt idx="2">
                  <c:v>51.45717115895939</c:v>
                </c:pt>
                <c:pt idx="3">
                  <c:v>50.8485184872902</c:v>
                </c:pt>
                <c:pt idx="4">
                  <c:v>51.443901711281391</c:v>
                </c:pt>
              </c:numCache>
            </c:numRef>
          </c:val>
        </c:ser>
        <c:ser>
          <c:idx val="0"/>
          <c:order val="2"/>
          <c:tx>
            <c:strRef>
              <c:f>'Looked After Children'!$B$32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'Looked After Children'!$K$32:$O$32</c:f>
              <c:numCache>
                <c:formatCode>0.0</c:formatCode>
                <c:ptCount val="5"/>
                <c:pt idx="0">
                  <c:v>59.944768226920701</c:v>
                </c:pt>
                <c:pt idx="1">
                  <c:v>59.930812564162288</c:v>
                </c:pt>
                <c:pt idx="2">
                  <c:v>60.284811481516371</c:v>
                </c:pt>
                <c:pt idx="3">
                  <c:v>61.593800468160396</c:v>
                </c:pt>
                <c:pt idx="4">
                  <c:v>63.554624829263311</c:v>
                </c:pt>
              </c:numCache>
            </c:numRef>
          </c:val>
        </c:ser>
        <c:dLbls>
          <c:showLegendKey val="0"/>
          <c:showVal val="0"/>
          <c:showCatName val="0"/>
          <c:showSerName val="0"/>
          <c:showPercent val="0"/>
          <c:showBubbleSize val="0"/>
        </c:dLbls>
        <c:gapWidth val="100"/>
        <c:axId val="251367808"/>
        <c:axId val="251369344"/>
      </c:barChart>
      <c:catAx>
        <c:axId val="251367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1369344"/>
        <c:crosses val="autoZero"/>
        <c:auto val="1"/>
        <c:lblAlgn val="ctr"/>
        <c:lblOffset val="100"/>
        <c:noMultiLvlLbl val="0"/>
      </c:catAx>
      <c:valAx>
        <c:axId val="25136934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1367808"/>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758228346456692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 for at least 2.5 Years in same placement for 2+ Years (Selected LA</a:t>
            </a:r>
            <a:r>
              <a:rPr lang="en-GB" sz="900" baseline="0"/>
              <a:t> vs. SE &amp; National)</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'Looked After Children'!$Z$4</c:f>
              <c:strCache>
                <c:ptCount val="1"/>
                <c:pt idx="0">
                  <c:v>Selected LA- (none)</c:v>
                </c:pt>
              </c:strCache>
            </c:strRef>
          </c:tx>
          <c:spPr>
            <a:solidFill>
              <a:srgbClr val="66FF99"/>
            </a:solidFill>
            <a:ln>
              <a:solidFill>
                <a:schemeClr val="tx1">
                  <a:lumMod val="75000"/>
                  <a:lumOff val="25000"/>
                </a:schemeClr>
              </a:solidFill>
            </a:ln>
          </c:spPr>
          <c:invertIfNegative val="0"/>
          <c:cat>
            <c:numRef>
              <c:f>'Looked After Children'!$K$8:$O$8</c:f>
              <c:numCache>
                <c:formatCode>General</c:formatCode>
                <c:ptCount val="5"/>
                <c:pt idx="0">
                  <c:v>2014</c:v>
                </c:pt>
                <c:pt idx="1">
                  <c:v>2015</c:v>
                </c:pt>
                <c:pt idx="2">
                  <c:v>2016</c:v>
                </c:pt>
                <c:pt idx="3">
                  <c:v>2017</c:v>
                </c:pt>
                <c:pt idx="4">
                  <c:v>2018</c:v>
                </c:pt>
              </c:numCache>
            </c:numRef>
          </c:cat>
          <c:val>
            <c:numRef>
              <c:f>'Looked After Children'!$AW$64:$BA$64</c:f>
              <c:numCache>
                <c:formatCode>0%</c:formatCode>
                <c:ptCount val="5"/>
                <c:pt idx="0">
                  <c:v>#N/A</c:v>
                </c:pt>
                <c:pt idx="1">
                  <c:v>#N/A</c:v>
                </c:pt>
                <c:pt idx="2">
                  <c:v>#N/A</c:v>
                </c:pt>
                <c:pt idx="3">
                  <c:v>#N/A</c:v>
                </c:pt>
                <c:pt idx="4">
                  <c:v>#N/A</c:v>
                </c:pt>
              </c:numCache>
            </c:numRef>
          </c:val>
        </c:ser>
        <c:ser>
          <c:idx val="4"/>
          <c:order val="1"/>
          <c:tx>
            <c:strRef>
              <c:f>'Looked After Children'!$B$167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'Looked After Children'!$K$8:$O$8</c:f>
              <c:numCache>
                <c:formatCode>General</c:formatCode>
                <c:ptCount val="5"/>
                <c:pt idx="0">
                  <c:v>2014</c:v>
                </c:pt>
                <c:pt idx="1">
                  <c:v>2015</c:v>
                </c:pt>
                <c:pt idx="2">
                  <c:v>2016</c:v>
                </c:pt>
                <c:pt idx="3">
                  <c:v>2017</c:v>
                </c:pt>
                <c:pt idx="4">
                  <c:v>2018</c:v>
                </c:pt>
              </c:numCache>
            </c:numRef>
          </c:cat>
          <c:val>
            <c:numRef>
              <c:f>'Looked After Children'!$D$167:$H$167</c:f>
              <c:numCache>
                <c:formatCode>0%</c:formatCode>
                <c:ptCount val="5"/>
                <c:pt idx="0">
                  <c:v>0.63351749539594848</c:v>
                </c:pt>
                <c:pt idx="1">
                  <c:v>#N/A</c:v>
                </c:pt>
                <c:pt idx="2">
                  <c:v>0.66608996539792387</c:v>
                </c:pt>
                <c:pt idx="3">
                  <c:v>0.68305084745762712</c:v>
                </c:pt>
                <c:pt idx="4">
                  <c:v>0.68181818181818177</c:v>
                </c:pt>
              </c:numCache>
            </c:numRef>
          </c:val>
        </c:ser>
        <c:ser>
          <c:idx val="0"/>
          <c:order val="2"/>
          <c:tx>
            <c:strRef>
              <c:f>'Looked After Children'!$B$168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'Looked After Children'!$D$168:$H$168</c:f>
              <c:numCache>
                <c:formatCode>0%</c:formatCode>
                <c:ptCount val="5"/>
                <c:pt idx="0">
                  <c:v>0.66547085201793721</c:v>
                </c:pt>
                <c:pt idx="1">
                  <c:v>#N/A</c:v>
                </c:pt>
                <c:pt idx="2">
                  <c:v>0.68485617597292725</c:v>
                </c:pt>
                <c:pt idx="3">
                  <c:v>0.70191507077435467</c:v>
                </c:pt>
                <c:pt idx="4">
                  <c:v>0.69813614262560775</c:v>
                </c:pt>
              </c:numCache>
            </c:numRef>
          </c:val>
        </c:ser>
        <c:dLbls>
          <c:showLegendKey val="0"/>
          <c:showVal val="0"/>
          <c:showCatName val="0"/>
          <c:showSerName val="0"/>
          <c:showPercent val="0"/>
          <c:showBubbleSize val="0"/>
        </c:dLbls>
        <c:gapWidth val="100"/>
        <c:axId val="240692608"/>
        <c:axId val="240694400"/>
      </c:barChart>
      <c:catAx>
        <c:axId val="240692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0694400"/>
        <c:crosses val="autoZero"/>
        <c:auto val="1"/>
        <c:lblAlgn val="ctr"/>
        <c:lblOffset val="100"/>
        <c:noMultiLvlLbl val="0"/>
      </c:catAx>
      <c:valAx>
        <c:axId val="24069440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069260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for at least 2.5 Years in same placement for at least 2 Years</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'Looked After Children'!$AK$40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'Looked After Children'!$AW$39:$BA$39</c:f>
              <c:numCache>
                <c:formatCode>General</c:formatCode>
                <c:ptCount val="5"/>
                <c:pt idx="0">
                  <c:v>2014</c:v>
                </c:pt>
                <c:pt idx="1">
                  <c:v>2015</c:v>
                </c:pt>
                <c:pt idx="2">
                  <c:v>2016</c:v>
                </c:pt>
                <c:pt idx="3">
                  <c:v>2017</c:v>
                </c:pt>
                <c:pt idx="4">
                  <c:v>2018</c:v>
                </c:pt>
              </c:numCache>
            </c:numRef>
          </c:cat>
          <c:val>
            <c:numRef>
              <c:f>'Looked After Children'!$AW$40:$BA$40</c:f>
              <c:numCache>
                <c:formatCode>0.0%</c:formatCode>
                <c:ptCount val="5"/>
                <c:pt idx="0">
                  <c:v>0.5</c:v>
                </c:pt>
                <c:pt idx="1">
                  <c:v>#N/A</c:v>
                </c:pt>
                <c:pt idx="2">
                  <c:v>0.6</c:v>
                </c:pt>
                <c:pt idx="3">
                  <c:v>0.5714285714285714</c:v>
                </c:pt>
                <c:pt idx="4">
                  <c:v>0.56000000000000005</c:v>
                </c:pt>
              </c:numCache>
            </c:numRef>
          </c:val>
          <c:smooth val="0"/>
        </c:ser>
        <c:ser>
          <c:idx val="1"/>
          <c:order val="1"/>
          <c:tx>
            <c:strRef>
              <c:f>'Looked After Children'!$AK$41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Children'!$AW$41:$BA$41</c:f>
              <c:numCache>
                <c:formatCode>0.0%</c:formatCode>
                <c:ptCount val="5"/>
                <c:pt idx="0">
                  <c:v>0.625</c:v>
                </c:pt>
                <c:pt idx="1">
                  <c:v>#N/A</c:v>
                </c:pt>
                <c:pt idx="2">
                  <c:v>0.6428571428571429</c:v>
                </c:pt>
                <c:pt idx="3">
                  <c:v>0.73076923076923073</c:v>
                </c:pt>
                <c:pt idx="4">
                  <c:v>0.68852459016393441</c:v>
                </c:pt>
              </c:numCache>
            </c:numRef>
          </c:val>
          <c:smooth val="0"/>
        </c:ser>
        <c:ser>
          <c:idx val="2"/>
          <c:order val="2"/>
          <c:tx>
            <c:strRef>
              <c:f>'Looked After Children'!$AK$42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Children'!$AW$42:$BA$42</c:f>
              <c:numCache>
                <c:formatCode>0.0%</c:formatCode>
                <c:ptCount val="5"/>
                <c:pt idx="0">
                  <c:v>0.6333333333333333</c:v>
                </c:pt>
                <c:pt idx="1">
                  <c:v>#N/A</c:v>
                </c:pt>
                <c:pt idx="2">
                  <c:v>0.6333333333333333</c:v>
                </c:pt>
                <c:pt idx="3">
                  <c:v>0.7142857142857143</c:v>
                </c:pt>
                <c:pt idx="4">
                  <c:v>0.7021276595744681</c:v>
                </c:pt>
              </c:numCache>
            </c:numRef>
          </c:val>
          <c:smooth val="0"/>
        </c:ser>
        <c:ser>
          <c:idx val="5"/>
          <c:order val="3"/>
          <c:tx>
            <c:strRef>
              <c:f>'Looked After Children'!$AK$43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Children'!$AW$43:$BA$43</c:f>
              <c:numCache>
                <c:formatCode>0.0%</c:formatCode>
                <c:ptCount val="5"/>
                <c:pt idx="0">
                  <c:v>0.57446808510638303</c:v>
                </c:pt>
                <c:pt idx="1">
                  <c:v>#N/A</c:v>
                </c:pt>
                <c:pt idx="2">
                  <c:v>0.64583333333333337</c:v>
                </c:pt>
                <c:pt idx="3">
                  <c:v>0.70454545454545459</c:v>
                </c:pt>
                <c:pt idx="4">
                  <c:v>0.70531400966183577</c:v>
                </c:pt>
              </c:numCache>
            </c:numRef>
          </c:val>
          <c:smooth val="0"/>
        </c:ser>
        <c:ser>
          <c:idx val="9"/>
          <c:order val="4"/>
          <c:tx>
            <c:strRef>
              <c:f>'Looked After Children'!$AK$44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Children'!$AW$44:$BA$44</c:f>
              <c:numCache>
                <c:formatCode>0.0%</c:formatCode>
                <c:ptCount val="5"/>
                <c:pt idx="0">
                  <c:v>0.61428571428571432</c:v>
                </c:pt>
                <c:pt idx="1">
                  <c:v>#N/A</c:v>
                </c:pt>
                <c:pt idx="2">
                  <c:v>0.66666666666666663</c:v>
                </c:pt>
                <c:pt idx="3">
                  <c:v>0.68421052631578949</c:v>
                </c:pt>
                <c:pt idx="4">
                  <c:v>0.72386587771203159</c:v>
                </c:pt>
              </c:numCache>
            </c:numRef>
          </c:val>
          <c:smooth val="0"/>
        </c:ser>
        <c:ser>
          <c:idx val="10"/>
          <c:order val="5"/>
          <c:tx>
            <c:strRef>
              <c:f>'Looked After Children'!$AK$45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Children'!$AW$45:$BA$45</c:f>
              <c:numCache>
                <c:formatCode>0.0%</c:formatCode>
                <c:ptCount val="5"/>
                <c:pt idx="0">
                  <c:v>0.625</c:v>
                </c:pt>
                <c:pt idx="1">
                  <c:v>#N/A</c:v>
                </c:pt>
                <c:pt idx="2">
                  <c:v>0.66666666666666663</c:v>
                </c:pt>
                <c:pt idx="3">
                  <c:v>0.63636363636363635</c:v>
                </c:pt>
                <c:pt idx="4">
                  <c:v>0.7384615384615385</c:v>
                </c:pt>
              </c:numCache>
            </c:numRef>
          </c:val>
          <c:smooth val="0"/>
        </c:ser>
        <c:ser>
          <c:idx val="11"/>
          <c:order val="6"/>
          <c:tx>
            <c:strRef>
              <c:f>'Looked After Children'!$AK$46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Children'!$AW$46:$BA$46</c:f>
              <c:numCache>
                <c:formatCode>0.0%</c:formatCode>
                <c:ptCount val="5"/>
                <c:pt idx="0">
                  <c:v>0.65420560747663548</c:v>
                </c:pt>
                <c:pt idx="1">
                  <c:v>#N/A</c:v>
                </c:pt>
                <c:pt idx="2">
                  <c:v>0.69026548672566368</c:v>
                </c:pt>
                <c:pt idx="3">
                  <c:v>0.69090909090909092</c:v>
                </c:pt>
                <c:pt idx="4">
                  <c:v>0.67844522968197885</c:v>
                </c:pt>
              </c:numCache>
            </c:numRef>
          </c:val>
          <c:smooth val="0"/>
        </c:ser>
        <c:ser>
          <c:idx val="12"/>
          <c:order val="7"/>
          <c:tx>
            <c:strRef>
              <c:f>'Looked After Children'!$AK$47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Children'!$AW$47:$BA$47</c:f>
              <c:numCache>
                <c:formatCode>0.0%</c:formatCode>
                <c:ptCount val="5"/>
                <c:pt idx="0">
                  <c:v>0.65384615384615385</c:v>
                </c:pt>
                <c:pt idx="1">
                  <c:v>#N/A</c:v>
                </c:pt>
                <c:pt idx="2">
                  <c:v>0.73076923076923073</c:v>
                </c:pt>
                <c:pt idx="3">
                  <c:v>0.76666666666666672</c:v>
                </c:pt>
                <c:pt idx="4">
                  <c:v>0.6706586826347305</c:v>
                </c:pt>
              </c:numCache>
            </c:numRef>
          </c:val>
          <c:smooth val="0"/>
        </c:ser>
        <c:ser>
          <c:idx val="13"/>
          <c:order val="8"/>
          <c:tx>
            <c:strRef>
              <c:f>'Looked After Children'!$AK$48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Children'!$AW$48:$BA$48</c:f>
              <c:numCache>
                <c:formatCode>0.0%</c:formatCode>
                <c:ptCount val="5"/>
                <c:pt idx="0">
                  <c:v>0.61111111111111116</c:v>
                </c:pt>
                <c:pt idx="1">
                  <c:v>#N/A</c:v>
                </c:pt>
                <c:pt idx="2">
                  <c:v>0.54545454545454541</c:v>
                </c:pt>
                <c:pt idx="3">
                  <c:v>0.625</c:v>
                </c:pt>
                <c:pt idx="4">
                  <c:v>0.5703125</c:v>
                </c:pt>
              </c:numCache>
            </c:numRef>
          </c:val>
          <c:smooth val="0"/>
        </c:ser>
        <c:ser>
          <c:idx val="15"/>
          <c:order val="9"/>
          <c:tx>
            <c:strRef>
              <c:f>'Looked After Children'!$AK$49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Children'!$AW$49:$BA$49</c:f>
              <c:numCache>
                <c:formatCode>0.0%</c:formatCode>
                <c:ptCount val="5"/>
                <c:pt idx="0">
                  <c:v>0.65</c:v>
                </c:pt>
                <c:pt idx="1">
                  <c:v>#N/A</c:v>
                </c:pt>
                <c:pt idx="2">
                  <c:v>0.66666666666666663</c:v>
                </c:pt>
                <c:pt idx="3">
                  <c:v>0.69230769230769229</c:v>
                </c:pt>
                <c:pt idx="4">
                  <c:v>0.65432098765432101</c:v>
                </c:pt>
              </c:numCache>
            </c:numRef>
          </c:val>
          <c:smooth val="0"/>
        </c:ser>
        <c:ser>
          <c:idx val="16"/>
          <c:order val="10"/>
          <c:tx>
            <c:strRef>
              <c:f>'Looked After Children'!$AK$50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Children'!$AW$50:$BA$50</c:f>
              <c:numCache>
                <c:formatCode>0.0%</c:formatCode>
                <c:ptCount val="5"/>
                <c:pt idx="0">
                  <c:v>0.72727272727272729</c:v>
                </c:pt>
                <c:pt idx="1">
                  <c:v>#N/A</c:v>
                </c:pt>
                <c:pt idx="2">
                  <c:v>0.54545454545454541</c:v>
                </c:pt>
                <c:pt idx="3">
                  <c:v>0.6</c:v>
                </c:pt>
                <c:pt idx="4">
                  <c:v>0.62184873949579833</c:v>
                </c:pt>
              </c:numCache>
            </c:numRef>
          </c:val>
          <c:smooth val="0"/>
        </c:ser>
        <c:ser>
          <c:idx val="17"/>
          <c:order val="11"/>
          <c:tx>
            <c:strRef>
              <c:f>'Looked After Children'!$AK$51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Children'!$AW$51:$BA$51</c:f>
              <c:numCache>
                <c:formatCode>0.0%</c:formatCode>
                <c:ptCount val="5"/>
                <c:pt idx="0">
                  <c:v>0.66666666666666663</c:v>
                </c:pt>
                <c:pt idx="1">
                  <c:v>#N/A</c:v>
                </c:pt>
                <c:pt idx="2">
                  <c:v>0.61538461538461542</c:v>
                </c:pt>
                <c:pt idx="3">
                  <c:v>0.75</c:v>
                </c:pt>
                <c:pt idx="4">
                  <c:v>0.63095238095238093</c:v>
                </c:pt>
              </c:numCache>
            </c:numRef>
          </c:val>
          <c:smooth val="0"/>
        </c:ser>
        <c:ser>
          <c:idx val="19"/>
          <c:order val="12"/>
          <c:tx>
            <c:strRef>
              <c:f>'Looked After Children'!$AK$52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Children'!$AW$52:$BA$52</c:f>
              <c:numCache>
                <c:formatCode>0.0%</c:formatCode>
                <c:ptCount val="5"/>
                <c:pt idx="0">
                  <c:v>0.5</c:v>
                </c:pt>
                <c:pt idx="1">
                  <c:v>#N/A</c:v>
                </c:pt>
                <c:pt idx="2">
                  <c:v>0.54545454545454541</c:v>
                </c:pt>
                <c:pt idx="3">
                  <c:v>0.6</c:v>
                </c:pt>
                <c:pt idx="4">
                  <c:v>0.71739130434782605</c:v>
                </c:pt>
              </c:numCache>
            </c:numRef>
          </c:val>
          <c:smooth val="0"/>
        </c:ser>
        <c:ser>
          <c:idx val="3"/>
          <c:order val="13"/>
          <c:tx>
            <c:strRef>
              <c:f>'Looked After Children'!$AK$53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Children'!$AW$53:$BA$53</c:f>
              <c:numCache>
                <c:formatCode>0.0%</c:formatCode>
                <c:ptCount val="5"/>
                <c:pt idx="0">
                  <c:v>0.60869565217391308</c:v>
                </c:pt>
                <c:pt idx="1">
                  <c:v>#N/A</c:v>
                </c:pt>
                <c:pt idx="2">
                  <c:v>0.56666666666666665</c:v>
                </c:pt>
                <c:pt idx="3">
                  <c:v>0.6</c:v>
                </c:pt>
                <c:pt idx="4">
                  <c:v>0.61963190184049077</c:v>
                </c:pt>
              </c:numCache>
            </c:numRef>
          </c:val>
          <c:smooth val="0"/>
        </c:ser>
        <c:ser>
          <c:idx val="20"/>
          <c:order val="14"/>
          <c:tx>
            <c:strRef>
              <c:f>'Looked After Children'!$AK$54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Children'!$AW$54:$BA$54</c:f>
              <c:numCache>
                <c:formatCode>0.0%</c:formatCode>
                <c:ptCount val="5"/>
                <c:pt idx="0">
                  <c:v>0.7</c:v>
                </c:pt>
                <c:pt idx="1">
                  <c:v>#N/A</c:v>
                </c:pt>
                <c:pt idx="2">
                  <c:v>0.69230769230769229</c:v>
                </c:pt>
                <c:pt idx="3">
                  <c:v>0.65217391304347827</c:v>
                </c:pt>
                <c:pt idx="4">
                  <c:v>0.70940170940170943</c:v>
                </c:pt>
              </c:numCache>
            </c:numRef>
          </c:val>
          <c:smooth val="0"/>
        </c:ser>
        <c:ser>
          <c:idx val="22"/>
          <c:order val="15"/>
          <c:tx>
            <c:strRef>
              <c:f>'Looked After Children'!$AK$55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Children'!$AW$55:$BA$55</c:f>
              <c:numCache>
                <c:formatCode>0.0%</c:formatCode>
                <c:ptCount val="5"/>
                <c:pt idx="0">
                  <c:v>0.63414634146341464</c:v>
                </c:pt>
                <c:pt idx="1">
                  <c:v>#N/A</c:v>
                </c:pt>
                <c:pt idx="2">
                  <c:v>0.7021276595744681</c:v>
                </c:pt>
                <c:pt idx="3">
                  <c:v>0.63636363636363635</c:v>
                </c:pt>
                <c:pt idx="4">
                  <c:v>0.67213114754098358</c:v>
                </c:pt>
              </c:numCache>
            </c:numRef>
          </c:val>
          <c:smooth val="0"/>
        </c:ser>
        <c:ser>
          <c:idx val="7"/>
          <c:order val="16"/>
          <c:tx>
            <c:strRef>
              <c:f>'Looked After Children'!$AK$56</c:f>
              <c:strCache>
                <c:ptCount val="1"/>
                <c:pt idx="0">
                  <c:v>Swindon</c:v>
                </c:pt>
              </c:strCache>
            </c:strRef>
          </c:tx>
          <c:spPr>
            <a:ln w="15875"/>
          </c:spPr>
          <c:marker>
            <c:symbol val="triangle"/>
            <c:size val="5"/>
            <c:spPr>
              <a:solidFill>
                <a:schemeClr val="accent2">
                  <a:lumMod val="20000"/>
                  <a:lumOff val="80000"/>
                </a:schemeClr>
              </a:solidFill>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Children'!$AW$56:$BA$56</c:f>
              <c:numCache>
                <c:formatCode>0.0%</c:formatCode>
                <c:ptCount val="5"/>
                <c:pt idx="0">
                  <c:v>0.7142857142857143</c:v>
                </c:pt>
                <c:pt idx="1">
                  <c:v>#N/A</c:v>
                </c:pt>
                <c:pt idx="2">
                  <c:v>0.61538461538461542</c:v>
                </c:pt>
                <c:pt idx="3">
                  <c:v>0.75</c:v>
                </c:pt>
                <c:pt idx="4">
                  <c:v>0.61194029850746268</c:v>
                </c:pt>
              </c:numCache>
            </c:numRef>
          </c:val>
          <c:smooth val="0"/>
        </c:ser>
        <c:ser>
          <c:idx val="8"/>
          <c:order val="17"/>
          <c:tx>
            <c:strRef>
              <c:f>'Looked After Children'!$AK$57</c:f>
              <c:strCache>
                <c:ptCount val="1"/>
                <c:pt idx="0">
                  <c:v>Torbay</c:v>
                </c:pt>
              </c:strCache>
            </c:strRef>
          </c:tx>
          <c:spPr>
            <a:ln w="15875"/>
          </c:spPr>
          <c:marker>
            <c:symbol val="circle"/>
            <c:size val="5"/>
            <c:spPr>
              <a:solidFill>
                <a:schemeClr val="accent3">
                  <a:lumMod val="20000"/>
                  <a:lumOff val="80000"/>
                </a:schemeClr>
              </a:solidFill>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Children'!$AW$57:$BA$57</c:f>
              <c:numCache>
                <c:formatCode>0.0%</c:formatCode>
                <c:ptCount val="5"/>
                <c:pt idx="0">
                  <c:v>0.625</c:v>
                </c:pt>
                <c:pt idx="1">
                  <c:v>#N/A</c:v>
                </c:pt>
                <c:pt idx="2">
                  <c:v>0.45833333333333331</c:v>
                </c:pt>
                <c:pt idx="3">
                  <c:v>0.56000000000000005</c:v>
                </c:pt>
                <c:pt idx="4">
                  <c:v>0.56818181818181823</c:v>
                </c:pt>
              </c:numCache>
            </c:numRef>
          </c:val>
          <c:smooth val="0"/>
        </c:ser>
        <c:ser>
          <c:idx val="23"/>
          <c:order val="18"/>
          <c:tx>
            <c:strRef>
              <c:f>'Looked After Children'!$AK$58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Children'!$AW$58:$BA$58</c:f>
              <c:numCache>
                <c:formatCode>0.0%</c:formatCode>
                <c:ptCount val="5"/>
                <c:pt idx="0">
                  <c:v>0.7</c:v>
                </c:pt>
                <c:pt idx="1">
                  <c:v>#N/A</c:v>
                </c:pt>
                <c:pt idx="2">
                  <c:v>0.77777777777777779</c:v>
                </c:pt>
                <c:pt idx="3">
                  <c:v>0.63636363636363635</c:v>
                </c:pt>
                <c:pt idx="4">
                  <c:v>0.63636363636363635</c:v>
                </c:pt>
              </c:numCache>
            </c:numRef>
          </c:val>
          <c:smooth val="0"/>
        </c:ser>
        <c:ser>
          <c:idx val="24"/>
          <c:order val="19"/>
          <c:tx>
            <c:strRef>
              <c:f>'Looked After Children'!$AK$59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Children'!$AW$59:$BA$59</c:f>
              <c:numCache>
                <c:formatCode>0.0%</c:formatCode>
                <c:ptCount val="5"/>
                <c:pt idx="0">
                  <c:v>0.67500000000000004</c:v>
                </c:pt>
                <c:pt idx="1">
                  <c:v>#N/A</c:v>
                </c:pt>
                <c:pt idx="2">
                  <c:v>0.73529411764705888</c:v>
                </c:pt>
                <c:pt idx="3">
                  <c:v>0.76666666666666672</c:v>
                </c:pt>
                <c:pt idx="4">
                  <c:v>0.69871794871794868</c:v>
                </c:pt>
              </c:numCache>
            </c:numRef>
          </c:val>
          <c:smooth val="0"/>
        </c:ser>
        <c:ser>
          <c:idx val="25"/>
          <c:order val="20"/>
          <c:tx>
            <c:strRef>
              <c:f>'Looked After Children'!$AK$60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Children'!$AW$60:$BA$60</c:f>
              <c:numCache>
                <c:formatCode>0.0%</c:formatCode>
                <c:ptCount val="5"/>
                <c:pt idx="0">
                  <c:v>0.33333333333333331</c:v>
                </c:pt>
                <c:pt idx="1">
                  <c:v>#N/A</c:v>
                </c:pt>
                <c:pt idx="2">
                  <c:v>0.7142857142857143</c:v>
                </c:pt>
                <c:pt idx="3">
                  <c:v>0.7142857142857143</c:v>
                </c:pt>
                <c:pt idx="4">
                  <c:v>0.70967741935483875</c:v>
                </c:pt>
              </c:numCache>
            </c:numRef>
          </c:val>
          <c:smooth val="0"/>
        </c:ser>
        <c:ser>
          <c:idx val="26"/>
          <c:order val="21"/>
          <c:tx>
            <c:strRef>
              <c:f>'Looked After Children'!$AK$61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Children'!$AW$61:$BA$61</c:f>
              <c:numCache>
                <c:formatCode>0.0%</c:formatCode>
                <c:ptCount val="5"/>
                <c:pt idx="0">
                  <c:v>0.4</c:v>
                </c:pt>
                <c:pt idx="1">
                  <c:v>#N/A</c:v>
                </c:pt>
                <c:pt idx="2">
                  <c:v>0.5</c:v>
                </c:pt>
                <c:pt idx="3">
                  <c:v>0.5</c:v>
                </c:pt>
                <c:pt idx="4">
                  <c:v>0.75</c:v>
                </c:pt>
              </c:numCache>
            </c:numRef>
          </c:val>
          <c:smooth val="0"/>
        </c:ser>
        <c:ser>
          <c:idx val="4"/>
          <c:order val="22"/>
          <c:tx>
            <c:strRef>
              <c:f>'Looked After Children'!$AK$62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Children'!$AW$62:$BA$62</c:f>
              <c:numCache>
                <c:formatCode>0.0%</c:formatCode>
                <c:ptCount val="5"/>
                <c:pt idx="0">
                  <c:v>0.63351749539594848</c:v>
                </c:pt>
                <c:pt idx="1">
                  <c:v>#N/A</c:v>
                </c:pt>
                <c:pt idx="2">
                  <c:v>0.66608996539792387</c:v>
                </c:pt>
                <c:pt idx="3">
                  <c:v>0.68305084745762712</c:v>
                </c:pt>
                <c:pt idx="4">
                  <c:v>0.68181818181818177</c:v>
                </c:pt>
              </c:numCache>
            </c:numRef>
          </c:val>
          <c:smooth val="0"/>
        </c:ser>
        <c:ser>
          <c:idx val="14"/>
          <c:order val="23"/>
          <c:tx>
            <c:strRef>
              <c:f>'Looked After Children'!$AK$63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Children'!$AW$63:$BA$63</c:f>
              <c:numCache>
                <c:formatCode>0.0%</c:formatCode>
                <c:ptCount val="5"/>
                <c:pt idx="0">
                  <c:v>0.66547085201793721</c:v>
                </c:pt>
                <c:pt idx="1">
                  <c:v>#N/A</c:v>
                </c:pt>
                <c:pt idx="2">
                  <c:v>0.68485617597292725</c:v>
                </c:pt>
                <c:pt idx="3">
                  <c:v>0.70191507077435467</c:v>
                </c:pt>
                <c:pt idx="4">
                  <c:v>0.69813614262560775</c:v>
                </c:pt>
              </c:numCache>
            </c:numRef>
          </c:val>
          <c:smooth val="0"/>
        </c:ser>
        <c:ser>
          <c:idx val="6"/>
          <c:order val="24"/>
          <c:tx>
            <c:strRef>
              <c:f>'Looked After Children'!$AK$64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'Looked After Children'!$AW$39:$BA$39</c:f>
              <c:numCache>
                <c:formatCode>General</c:formatCode>
                <c:ptCount val="5"/>
                <c:pt idx="0">
                  <c:v>2014</c:v>
                </c:pt>
                <c:pt idx="1">
                  <c:v>2015</c:v>
                </c:pt>
                <c:pt idx="2">
                  <c:v>2016</c:v>
                </c:pt>
                <c:pt idx="3">
                  <c:v>2017</c:v>
                </c:pt>
                <c:pt idx="4">
                  <c:v>2018</c:v>
                </c:pt>
              </c:numCache>
            </c:numRef>
          </c:cat>
          <c:val>
            <c:numRef>
              <c:f>'Looked After Children'!$AW$64:$BA$64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1785600"/>
        <c:axId val="251787520"/>
      </c:lineChart>
      <c:catAx>
        <c:axId val="251785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1787520"/>
        <c:crosses val="autoZero"/>
        <c:auto val="1"/>
        <c:lblAlgn val="ctr"/>
        <c:lblOffset val="100"/>
        <c:tickLblSkip val="1"/>
        <c:tickMarkSkip val="1"/>
        <c:noMultiLvlLbl val="0"/>
      </c:catAx>
      <c:valAx>
        <c:axId val="25178752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178560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Looked After Children</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'Looked After Children'!$R$7:$T$7</c:f>
              <c:strCache>
                <c:ptCount val="1"/>
                <c:pt idx="0">
                  <c:v>Distance from Expected 2018</c:v>
                </c:pt>
              </c:strCache>
            </c:strRef>
          </c:tx>
          <c:spPr>
            <a:solidFill>
              <a:srgbClr val="FB994F"/>
            </a:solidFill>
            <a:ln w="25400">
              <a:noFill/>
            </a:ln>
          </c:spPr>
          <c:invertIfNegative val="0"/>
          <c:cat>
            <c:strRef>
              <c:f>'Looked After Children'!$X$76:$X$99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Children'!$T$9:$T$32</c:f>
              <c:numCache>
                <c:formatCode>0.0</c:formatCode>
                <c:ptCount val="24"/>
                <c:pt idx="0">
                  <c:v>3.9381121133011376</c:v>
                </c:pt>
                <c:pt idx="1">
                  <c:v>19.105018531806756</c:v>
                </c:pt>
                <c:pt idx="2">
                  <c:v>-3.7250234358253991</c:v>
                </c:pt>
                <c:pt idx="3">
                  <c:v>-3.8459834430363244</c:v>
                </c:pt>
                <c:pt idx="4">
                  <c:v>9.1040073093351879</c:v>
                </c:pt>
                <c:pt idx="5">
                  <c:v>22.234002214810559</c:v>
                </c:pt>
                <c:pt idx="6">
                  <c:v>-12.731268854118262</c:v>
                </c:pt>
                <c:pt idx="7">
                  <c:v>-7.0938137767911797</c:v>
                </c:pt>
                <c:pt idx="8">
                  <c:v>-8.4737565034239211</c:v>
                </c:pt>
                <c:pt idx="9">
                  <c:v>0.59517195813496926</c:v>
                </c:pt>
                <c:pt idx="10">
                  <c:v>17.714071310042158</c:v>
                </c:pt>
                <c:pt idx="11">
                  <c:v>8.4309847458331859</c:v>
                </c:pt>
                <c:pt idx="12">
                  <c:v>-16.951566883448741</c:v>
                </c:pt>
                <c:pt idx="13">
                  <c:v>-6.9992385000668662</c:v>
                </c:pt>
                <c:pt idx="14">
                  <c:v>24.66912546245473</c:v>
                </c:pt>
                <c:pt idx="15">
                  <c:v>-6.4269256014556717</c:v>
                </c:pt>
                <c:pt idx="16">
                  <c:v>11.884898396219519</c:v>
                </c:pt>
                <c:pt idx="17">
                  <c:v>51.733830211347509</c:v>
                </c:pt>
                <c:pt idx="18">
                  <c:v>-3.2570500400204168</c:v>
                </c:pt>
                <c:pt idx="19">
                  <c:v>-9.1926076443633988</c:v>
                </c:pt>
                <c:pt idx="20">
                  <c:v>-7.7837676328702621</c:v>
                </c:pt>
                <c:pt idx="21">
                  <c:v>-7.6716927638870267</c:v>
                </c:pt>
                <c:pt idx="22">
                  <c:v>-2.1322093787606562</c:v>
                </c:pt>
                <c:pt idx="23">
                  <c:v>-3.2094289212600344</c:v>
                </c:pt>
              </c:numCache>
            </c:numRef>
          </c:val>
        </c:ser>
        <c:ser>
          <c:idx val="0"/>
          <c:order val="1"/>
          <c:tx>
            <c:strRef>
              <c:f>'Looked After Children'!$Z$4</c:f>
              <c:strCache>
                <c:ptCount val="1"/>
                <c:pt idx="0">
                  <c:v>Selected LA- (none)</c:v>
                </c:pt>
              </c:strCache>
            </c:strRef>
          </c:tx>
          <c:spPr>
            <a:solidFill>
              <a:srgbClr val="66FF99"/>
            </a:solidFill>
            <a:ln w="12700">
              <a:solidFill>
                <a:srgbClr val="000000"/>
              </a:solidFill>
              <a:prstDash val="solid"/>
            </a:ln>
          </c:spPr>
          <c:invertIfNegative val="0"/>
          <c:cat>
            <c:strRef>
              <c:f>'Looked After Children'!$X$76:$X$99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51428224"/>
        <c:axId val="251434112"/>
      </c:barChart>
      <c:catAx>
        <c:axId val="25142822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1434112"/>
        <c:crossesAt val="0"/>
        <c:auto val="1"/>
        <c:lblAlgn val="ctr"/>
        <c:lblOffset val="100"/>
        <c:noMultiLvlLbl val="0"/>
      </c:catAx>
      <c:valAx>
        <c:axId val="251434112"/>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1428224"/>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7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a:t>
            </a:r>
            <a:r>
              <a:rPr lang="en-GB" sz="1000" b="1" i="0" u="none" strike="noStrike" baseline="0">
                <a:effectLst/>
              </a:rPr>
              <a:t>Looked After Children </a:t>
            </a:r>
            <a:r>
              <a:rPr lang="en-GB"/>
              <a:t>2015-2018</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'Looked After Children'!$I$7</c:f>
              <c:strCache>
                <c:ptCount val="1"/>
                <c:pt idx="0">
                  <c:v>% Change 2015-18</c:v>
                </c:pt>
              </c:strCache>
            </c:strRef>
          </c:tx>
          <c:spPr>
            <a:solidFill>
              <a:srgbClr val="FB994F"/>
            </a:solidFill>
            <a:ln w="25400">
              <a:noFill/>
            </a:ln>
          </c:spPr>
          <c:invertIfNegative val="0"/>
          <c:cat>
            <c:strRef>
              <c:f>'Looked After Children'!$B$9:$B$32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Children'!$I$9:$I$32</c:f>
              <c:numCache>
                <c:formatCode>0.0%</c:formatCode>
                <c:ptCount val="24"/>
                <c:pt idx="0">
                  <c:v>0.32692307692307693</c:v>
                </c:pt>
                <c:pt idx="1">
                  <c:v>-0.11440677966101695</c:v>
                </c:pt>
                <c:pt idx="2">
                  <c:v>9.1954022988505746E-2</c:v>
                </c:pt>
                <c:pt idx="3">
                  <c:v>0.1043956043956044</c:v>
                </c:pt>
                <c:pt idx="4">
                  <c:v>0.19579894973743436</c:v>
                </c:pt>
                <c:pt idx="5">
                  <c:v>0.11881188118811881</c:v>
                </c:pt>
                <c:pt idx="6">
                  <c:v>-0.11890733797536154</c:v>
                </c:pt>
                <c:pt idx="7">
                  <c:v>-2.8169014084507043E-2</c:v>
                </c:pt>
                <c:pt idx="8">
                  <c:v>0.15339233038348082</c:v>
                </c:pt>
                <c:pt idx="9">
                  <c:v>0.34313725490196079</c:v>
                </c:pt>
                <c:pt idx="10">
                  <c:v>0.296875</c:v>
                </c:pt>
                <c:pt idx="11">
                  <c:v>0.33014354066985646</c:v>
                </c:pt>
                <c:pt idx="12">
                  <c:v>5.1020408163265307E-2</c:v>
                </c:pt>
                <c:pt idx="13">
                  <c:v>7.1868583162217656E-2</c:v>
                </c:pt>
                <c:pt idx="14">
                  <c:v>-0.10309278350515463</c:v>
                </c:pt>
                <c:pt idx="15">
                  <c:v>0.19127086007702182</c:v>
                </c:pt>
                <c:pt idx="16">
                  <c:v>0.44</c:v>
                </c:pt>
                <c:pt idx="17">
                  <c:v>6.8627450980392163E-2</c:v>
                </c:pt>
                <c:pt idx="18">
                  <c:v>-0.15204678362573099</c:v>
                </c:pt>
                <c:pt idx="19">
                  <c:v>9.3167701863354033E-2</c:v>
                </c:pt>
                <c:pt idx="20">
                  <c:v>8.0808080808080815E-2</c:v>
                </c:pt>
                <c:pt idx="21">
                  <c:v>0.41333333333333333</c:v>
                </c:pt>
                <c:pt idx="22">
                  <c:v>7.4113856068743281E-2</c:v>
                </c:pt>
                <c:pt idx="23">
                  <c:v>8.564848135885994E-2</c:v>
                </c:pt>
              </c:numCache>
            </c:numRef>
          </c:val>
        </c:ser>
        <c:ser>
          <c:idx val="1"/>
          <c:order val="1"/>
          <c:tx>
            <c:strRef>
              <c:f>'Looked After Children'!$Z$4</c:f>
              <c:strCache>
                <c:ptCount val="1"/>
                <c:pt idx="0">
                  <c:v>Selected LA- (none)</c:v>
                </c:pt>
              </c:strCache>
            </c:strRef>
          </c:tx>
          <c:spPr>
            <a:solidFill>
              <a:srgbClr val="66FF99"/>
            </a:solidFill>
            <a:ln w="12700">
              <a:solidFill>
                <a:srgbClr val="000000"/>
              </a:solidFill>
              <a:prstDash val="solid"/>
            </a:ln>
          </c:spPr>
          <c:invertIfNegative val="0"/>
          <c:cat>
            <c:strRef>
              <c:f>'Looked After Children'!$B$9:$B$32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51566336"/>
        <c:axId val="251568128"/>
      </c:barChart>
      <c:catAx>
        <c:axId val="25156633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1568128"/>
        <c:crosses val="autoZero"/>
        <c:auto val="1"/>
        <c:lblAlgn val="ctr"/>
        <c:lblOffset val="100"/>
        <c:noMultiLvlLbl val="0"/>
      </c:catAx>
      <c:valAx>
        <c:axId val="251568128"/>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1566336"/>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Children Looked After for 2yrs+ </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9822222222222222"/>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'Looked After Children'!$Z$4</c:f>
              <c:strCache>
                <c:ptCount val="1"/>
                <c:pt idx="0">
                  <c:v>Selected LA- (none)</c:v>
                </c:pt>
              </c:strCache>
            </c:strRef>
          </c:tx>
          <c:spPr>
            <a:solidFill>
              <a:srgbClr val="66FF99"/>
            </a:solidFill>
            <a:ln>
              <a:solidFill>
                <a:schemeClr val="tx1">
                  <a:lumMod val="75000"/>
                  <a:lumOff val="25000"/>
                </a:schemeClr>
              </a:solidFill>
            </a:ln>
          </c:spPr>
          <c:invertIfNegative val="0"/>
          <c:cat>
            <c:numRef>
              <c:f>'Looked After Children'!$K$8:$O$8</c:f>
              <c:numCache>
                <c:formatCode>General</c:formatCode>
                <c:ptCount val="5"/>
                <c:pt idx="0">
                  <c:v>2014</c:v>
                </c:pt>
                <c:pt idx="1">
                  <c:v>2015</c:v>
                </c:pt>
                <c:pt idx="2">
                  <c:v>2016</c:v>
                </c:pt>
                <c:pt idx="3">
                  <c:v>2017</c:v>
                </c:pt>
                <c:pt idx="4">
                  <c:v>2018</c:v>
                </c:pt>
              </c:numCache>
            </c:numRef>
          </c:cat>
          <c:val>
            <c:numRef>
              <c:f>'Looked After Children'!$AR$64:$AV$64</c:f>
              <c:numCache>
                <c:formatCode>0%</c:formatCode>
                <c:ptCount val="5"/>
                <c:pt idx="0">
                  <c:v>#N/A</c:v>
                </c:pt>
                <c:pt idx="1">
                  <c:v>#N/A</c:v>
                </c:pt>
                <c:pt idx="2">
                  <c:v>#N/A</c:v>
                </c:pt>
                <c:pt idx="3">
                  <c:v>#N/A</c:v>
                </c:pt>
                <c:pt idx="4">
                  <c:v>#N/A</c:v>
                </c:pt>
              </c:numCache>
            </c:numRef>
          </c:val>
        </c:ser>
        <c:ser>
          <c:idx val="4"/>
          <c:order val="1"/>
          <c:tx>
            <c:strRef>
              <c:f>'Looked After Children'!$B$167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'Looked After Children'!$K$8:$O$8</c:f>
              <c:numCache>
                <c:formatCode>General</c:formatCode>
                <c:ptCount val="5"/>
                <c:pt idx="0">
                  <c:v>2014</c:v>
                </c:pt>
                <c:pt idx="1">
                  <c:v>2015</c:v>
                </c:pt>
                <c:pt idx="2">
                  <c:v>2016</c:v>
                </c:pt>
                <c:pt idx="3">
                  <c:v>2017</c:v>
                </c:pt>
                <c:pt idx="4">
                  <c:v>2018</c:v>
                </c:pt>
              </c:numCache>
            </c:numRef>
          </c:cat>
          <c:val>
            <c:numRef>
              <c:f>'Looked After Children'!$D$132:$H$132</c:f>
              <c:numCache>
                <c:formatCode>0%</c:formatCode>
                <c:ptCount val="5"/>
                <c:pt idx="0">
                  <c:v>0.39433551198257083</c:v>
                </c:pt>
                <c:pt idx="1">
                  <c:v>#N/A</c:v>
                </c:pt>
                <c:pt idx="2">
                  <c:v>0.40876944837340878</c:v>
                </c:pt>
                <c:pt idx="3">
                  <c:v>0.4102920723226704</c:v>
                </c:pt>
                <c:pt idx="4">
                  <c:v>0.41342281879194631</c:v>
                </c:pt>
              </c:numCache>
            </c:numRef>
          </c:val>
        </c:ser>
        <c:ser>
          <c:idx val="0"/>
          <c:order val="2"/>
          <c:tx>
            <c:strRef>
              <c:f>'Looked After Children'!$B$168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'Looked After Children'!$D$133:$H$133</c:f>
              <c:numCache>
                <c:formatCode>0%</c:formatCode>
                <c:ptCount val="5"/>
                <c:pt idx="0">
                  <c:v>0.41007723427730786</c:v>
                </c:pt>
                <c:pt idx="1">
                  <c:v>#N/A</c:v>
                </c:pt>
                <c:pt idx="2">
                  <c:v>0.43785886275236152</c:v>
                </c:pt>
                <c:pt idx="3">
                  <c:v>0.43178141290670502</c:v>
                </c:pt>
                <c:pt idx="4">
                  <c:v>0.44364551500988675</c:v>
                </c:pt>
              </c:numCache>
            </c:numRef>
          </c:val>
        </c:ser>
        <c:dLbls>
          <c:showLegendKey val="0"/>
          <c:showVal val="0"/>
          <c:showCatName val="0"/>
          <c:showSerName val="0"/>
          <c:showPercent val="0"/>
          <c:showBubbleSize val="0"/>
        </c:dLbls>
        <c:gapWidth val="100"/>
        <c:axId val="251618048"/>
        <c:axId val="251619584"/>
      </c:barChart>
      <c:catAx>
        <c:axId val="2516180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1619584"/>
        <c:crosses val="autoZero"/>
        <c:auto val="1"/>
        <c:lblAlgn val="ctr"/>
        <c:lblOffset val="100"/>
        <c:noMultiLvlLbl val="0"/>
      </c:catAx>
      <c:valAx>
        <c:axId val="25161958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161804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for at least 2.5 Years</a:t>
            </a:r>
          </a:p>
        </c:rich>
      </c:tx>
      <c:layout>
        <c:manualLayout>
          <c:xMode val="edge"/>
          <c:yMode val="edge"/>
          <c:x val="0.19463904079199876"/>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'Looked After Children'!$AK$40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'Looked After Children'!$AR$39:$AV$39</c:f>
              <c:numCache>
                <c:formatCode>General</c:formatCode>
                <c:ptCount val="5"/>
                <c:pt idx="0">
                  <c:v>2014</c:v>
                </c:pt>
                <c:pt idx="1">
                  <c:v>2015</c:v>
                </c:pt>
                <c:pt idx="2">
                  <c:v>2016</c:v>
                </c:pt>
                <c:pt idx="3">
                  <c:v>2017</c:v>
                </c:pt>
                <c:pt idx="4">
                  <c:v>2018</c:v>
                </c:pt>
              </c:numCache>
            </c:numRef>
          </c:cat>
          <c:val>
            <c:numRef>
              <c:f>'Looked After Children'!$AR$40:$AV$40</c:f>
              <c:numCache>
                <c:formatCode>0.0%</c:formatCode>
                <c:ptCount val="5"/>
                <c:pt idx="0">
                  <c:v>0.33333333333333331</c:v>
                </c:pt>
                <c:pt idx="1">
                  <c:v>#N/A</c:v>
                </c:pt>
                <c:pt idx="2">
                  <c:v>0.41666666666666669</c:v>
                </c:pt>
                <c:pt idx="3">
                  <c:v>0.42168674698795183</c:v>
                </c:pt>
                <c:pt idx="4">
                  <c:v>0.24271844660194175</c:v>
                </c:pt>
              </c:numCache>
            </c:numRef>
          </c:val>
          <c:smooth val="0"/>
        </c:ser>
        <c:ser>
          <c:idx val="1"/>
          <c:order val="1"/>
          <c:tx>
            <c:strRef>
              <c:f>'Looked After Children'!$AK$41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Children'!$AR$41:$AV$41</c:f>
              <c:numCache>
                <c:formatCode>0.0%</c:formatCode>
                <c:ptCount val="5"/>
                <c:pt idx="0">
                  <c:v>0.44444444444444442</c:v>
                </c:pt>
                <c:pt idx="1">
                  <c:v>#N/A</c:v>
                </c:pt>
                <c:pt idx="2">
                  <c:v>0.4375</c:v>
                </c:pt>
                <c:pt idx="3">
                  <c:v>0.40123456790123457</c:v>
                </c:pt>
                <c:pt idx="4">
                  <c:v>0.40531561461794019</c:v>
                </c:pt>
              </c:numCache>
            </c:numRef>
          </c:val>
          <c:smooth val="0"/>
        </c:ser>
        <c:ser>
          <c:idx val="2"/>
          <c:order val="2"/>
          <c:tx>
            <c:strRef>
              <c:f>'Looked After Children'!$AK$42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Children'!$AR$42:$AV$42</c:f>
              <c:numCache>
                <c:formatCode>0.0%</c:formatCode>
                <c:ptCount val="5"/>
                <c:pt idx="0">
                  <c:v>0.44776119402985076</c:v>
                </c:pt>
                <c:pt idx="1">
                  <c:v>#N/A</c:v>
                </c:pt>
                <c:pt idx="2">
                  <c:v>0.42253521126760563</c:v>
                </c:pt>
                <c:pt idx="3">
                  <c:v>0.39660056657223797</c:v>
                </c:pt>
                <c:pt idx="4">
                  <c:v>0.39943342776203966</c:v>
                </c:pt>
              </c:numCache>
            </c:numRef>
          </c:val>
          <c:smooth val="0"/>
        </c:ser>
        <c:ser>
          <c:idx val="5"/>
          <c:order val="3"/>
          <c:tx>
            <c:strRef>
              <c:f>'Looked After Children'!$AK$43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Children'!$AR$43:$AV$43</c:f>
              <c:numCache>
                <c:formatCode>0.0%</c:formatCode>
                <c:ptCount val="5"/>
                <c:pt idx="0">
                  <c:v>0.48958333333333331</c:v>
                </c:pt>
                <c:pt idx="1">
                  <c:v>#N/A</c:v>
                </c:pt>
                <c:pt idx="2">
                  <c:v>0.53333333333333333</c:v>
                </c:pt>
                <c:pt idx="3">
                  <c:v>0.51044083526682138</c:v>
                </c:pt>
                <c:pt idx="4">
                  <c:v>0.44420600858369097</c:v>
                </c:pt>
              </c:numCache>
            </c:numRef>
          </c:val>
          <c:smooth val="0"/>
        </c:ser>
        <c:ser>
          <c:idx val="9"/>
          <c:order val="4"/>
          <c:tx>
            <c:strRef>
              <c:f>'Looked After Children'!$AK$44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Children'!$AR$44:$AV$44</c:f>
              <c:numCache>
                <c:formatCode>0.0%</c:formatCode>
                <c:ptCount val="5"/>
                <c:pt idx="0">
                  <c:v>0.35</c:v>
                </c:pt>
                <c:pt idx="1">
                  <c:v>#N/A</c:v>
                </c:pt>
                <c:pt idx="2">
                  <c:v>0.40191387559808611</c:v>
                </c:pt>
                <c:pt idx="3">
                  <c:v>0.4144851657940663</c:v>
                </c:pt>
                <c:pt idx="4">
                  <c:v>0.4095315024232633</c:v>
                </c:pt>
              </c:numCache>
            </c:numRef>
          </c:val>
          <c:smooth val="0"/>
        </c:ser>
        <c:ser>
          <c:idx val="10"/>
          <c:order val="5"/>
          <c:tx>
            <c:strRef>
              <c:f>'Looked After Children'!$AK$45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Children'!$AR$45:$AV$45</c:f>
              <c:numCache>
                <c:formatCode>0.0%</c:formatCode>
                <c:ptCount val="5"/>
                <c:pt idx="0">
                  <c:v>0.2857142857142857</c:v>
                </c:pt>
                <c:pt idx="1">
                  <c:v>#N/A</c:v>
                </c:pt>
                <c:pt idx="2">
                  <c:v>0.41379310344827586</c:v>
                </c:pt>
                <c:pt idx="3">
                  <c:v>0.3235294117647059</c:v>
                </c:pt>
                <c:pt idx="4">
                  <c:v>0.34946236559139787</c:v>
                </c:pt>
              </c:numCache>
            </c:numRef>
          </c:val>
          <c:smooth val="0"/>
        </c:ser>
        <c:ser>
          <c:idx val="11"/>
          <c:order val="6"/>
          <c:tx>
            <c:strRef>
              <c:f>'Looked After Children'!$AK$46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Children'!$AR$46:$AV$46</c:f>
              <c:numCache>
                <c:formatCode>0.0%</c:formatCode>
                <c:ptCount val="5"/>
                <c:pt idx="0">
                  <c:v>0.40530303030303028</c:v>
                </c:pt>
                <c:pt idx="1">
                  <c:v>#N/A</c:v>
                </c:pt>
                <c:pt idx="2">
                  <c:v>0.43129770992366412</c:v>
                </c:pt>
                <c:pt idx="3">
                  <c:v>0.46179680940386231</c:v>
                </c:pt>
                <c:pt idx="4">
                  <c:v>0.5122171945701357</c:v>
                </c:pt>
              </c:numCache>
            </c:numRef>
          </c:val>
          <c:smooth val="0"/>
        </c:ser>
        <c:ser>
          <c:idx val="12"/>
          <c:order val="7"/>
          <c:tx>
            <c:strRef>
              <c:f>'Looked After Children'!$AK$47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Children'!$AR$47:$AV$47</c:f>
              <c:numCache>
                <c:formatCode>0.0%</c:formatCode>
                <c:ptCount val="5"/>
                <c:pt idx="0">
                  <c:v>0.41269841269841268</c:v>
                </c:pt>
                <c:pt idx="1">
                  <c:v>#N/A</c:v>
                </c:pt>
                <c:pt idx="2">
                  <c:v>0.37681159420289856</c:v>
                </c:pt>
                <c:pt idx="3">
                  <c:v>0.47021943573667713</c:v>
                </c:pt>
                <c:pt idx="4">
                  <c:v>0.48973607038123168</c:v>
                </c:pt>
              </c:numCache>
            </c:numRef>
          </c:val>
          <c:smooth val="0"/>
        </c:ser>
        <c:ser>
          <c:idx val="13"/>
          <c:order val="8"/>
          <c:tx>
            <c:strRef>
              <c:f>'Looked After Children'!$AK$48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Children'!$AR$48:$AV$48</c:f>
              <c:numCache>
                <c:formatCode>0.0%</c:formatCode>
                <c:ptCount val="5"/>
                <c:pt idx="0">
                  <c:v>0.36734693877551022</c:v>
                </c:pt>
                <c:pt idx="1">
                  <c:v>#N/A</c:v>
                </c:pt>
                <c:pt idx="2">
                  <c:v>0.44</c:v>
                </c:pt>
                <c:pt idx="3">
                  <c:v>0.39473684210526316</c:v>
                </c:pt>
                <c:pt idx="4">
                  <c:v>0.40251572327044027</c:v>
                </c:pt>
              </c:numCache>
            </c:numRef>
          </c:val>
          <c:smooth val="0"/>
        </c:ser>
        <c:ser>
          <c:idx val="15"/>
          <c:order val="9"/>
          <c:tx>
            <c:strRef>
              <c:f>'Looked After Children'!$AK$49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Children'!$AR$49:$AV$49</c:f>
              <c:numCache>
                <c:formatCode>0.0%</c:formatCode>
                <c:ptCount val="5"/>
                <c:pt idx="0">
                  <c:v>0.2857142857142857</c:v>
                </c:pt>
                <c:pt idx="1">
                  <c:v>#N/A</c:v>
                </c:pt>
                <c:pt idx="2">
                  <c:v>0.27586206896551724</c:v>
                </c:pt>
                <c:pt idx="3">
                  <c:v>0.25590551181102361</c:v>
                </c:pt>
                <c:pt idx="4">
                  <c:v>0.31517509727626458</c:v>
                </c:pt>
              </c:numCache>
            </c:numRef>
          </c:val>
          <c:smooth val="0"/>
        </c:ser>
        <c:ser>
          <c:idx val="16"/>
          <c:order val="10"/>
          <c:tx>
            <c:strRef>
              <c:f>'Looked After Children'!$AK$50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Children'!$AR$50:$AV$50</c:f>
              <c:numCache>
                <c:formatCode>0.0%</c:formatCode>
                <c:ptCount val="5"/>
                <c:pt idx="0">
                  <c:v>0.42307692307692307</c:v>
                </c:pt>
                <c:pt idx="1">
                  <c:v>#N/A</c:v>
                </c:pt>
                <c:pt idx="2">
                  <c:v>0.42307692307692307</c:v>
                </c:pt>
                <c:pt idx="3">
                  <c:v>0.45955882352941174</c:v>
                </c:pt>
                <c:pt idx="4">
                  <c:v>0.40476190476190477</c:v>
                </c:pt>
              </c:numCache>
            </c:numRef>
          </c:val>
          <c:smooth val="0"/>
        </c:ser>
        <c:ser>
          <c:idx val="17"/>
          <c:order val="11"/>
          <c:tx>
            <c:strRef>
              <c:f>'Looked After Children'!$AK$51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Children'!$AR$51:$AV$51</c:f>
              <c:numCache>
                <c:formatCode>0.0%</c:formatCode>
                <c:ptCount val="5"/>
                <c:pt idx="0">
                  <c:v>0.45454545454545453</c:v>
                </c:pt>
                <c:pt idx="1">
                  <c:v>#N/A</c:v>
                </c:pt>
                <c:pt idx="2">
                  <c:v>0.37142857142857144</c:v>
                </c:pt>
                <c:pt idx="3">
                  <c:v>0.29556650246305421</c:v>
                </c:pt>
                <c:pt idx="4">
                  <c:v>0.37168141592920356</c:v>
                </c:pt>
              </c:numCache>
            </c:numRef>
          </c:val>
          <c:smooth val="0"/>
        </c:ser>
        <c:ser>
          <c:idx val="19"/>
          <c:order val="12"/>
          <c:tx>
            <c:strRef>
              <c:f>'Looked After Children'!$AK$52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Children'!$AR$52:$AV$52</c:f>
              <c:numCache>
                <c:formatCode>0.0%</c:formatCode>
                <c:ptCount val="5"/>
                <c:pt idx="0">
                  <c:v>0.37037037037037035</c:v>
                </c:pt>
                <c:pt idx="1">
                  <c:v>#N/A</c:v>
                </c:pt>
                <c:pt idx="2">
                  <c:v>0.36666666666666664</c:v>
                </c:pt>
                <c:pt idx="3">
                  <c:v>0.35714285714285715</c:v>
                </c:pt>
                <c:pt idx="4">
                  <c:v>0.30463576158940397</c:v>
                </c:pt>
              </c:numCache>
            </c:numRef>
          </c:val>
          <c:smooth val="0"/>
        </c:ser>
        <c:ser>
          <c:idx val="3"/>
          <c:order val="13"/>
          <c:tx>
            <c:strRef>
              <c:f>'Looked After Children'!$AK$53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Children'!$AR$53:$AV$53</c:f>
              <c:numCache>
                <c:formatCode>0.0%</c:formatCode>
                <c:ptCount val="5"/>
                <c:pt idx="0">
                  <c:v>0.30666666666666664</c:v>
                </c:pt>
                <c:pt idx="1">
                  <c:v>#N/A</c:v>
                </c:pt>
                <c:pt idx="2">
                  <c:v>0.38461538461538464</c:v>
                </c:pt>
                <c:pt idx="3">
                  <c:v>0.4178272980501393</c:v>
                </c:pt>
                <c:pt idx="4">
                  <c:v>0.41687979539641945</c:v>
                </c:pt>
              </c:numCache>
            </c:numRef>
          </c:val>
          <c:smooth val="0"/>
        </c:ser>
        <c:ser>
          <c:idx val="20"/>
          <c:order val="14"/>
          <c:tx>
            <c:strRef>
              <c:f>'Looked After Children'!$AK$54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Children'!$AR$54:$AV$54</c:f>
              <c:numCache>
                <c:formatCode>0.0%</c:formatCode>
                <c:ptCount val="5"/>
                <c:pt idx="0">
                  <c:v>0.33707865168539325</c:v>
                </c:pt>
                <c:pt idx="1">
                  <c:v>#N/A</c:v>
                </c:pt>
                <c:pt idx="2">
                  <c:v>0.37864077669902912</c:v>
                </c:pt>
                <c:pt idx="3">
                  <c:v>0.49568965517241381</c:v>
                </c:pt>
                <c:pt idx="4">
                  <c:v>0.53061224489795922</c:v>
                </c:pt>
              </c:numCache>
            </c:numRef>
          </c:val>
          <c:smooth val="0"/>
        </c:ser>
        <c:ser>
          <c:idx val="22"/>
          <c:order val="15"/>
          <c:tx>
            <c:strRef>
              <c:f>'Looked After Children'!$AK$55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Children'!$AR$55:$AV$55</c:f>
              <c:numCache>
                <c:formatCode>0.0%</c:formatCode>
                <c:ptCount val="5"/>
                <c:pt idx="0">
                  <c:v>0.35344827586206895</c:v>
                </c:pt>
                <c:pt idx="1">
                  <c:v>#N/A</c:v>
                </c:pt>
                <c:pt idx="2">
                  <c:v>0.39166666666666666</c:v>
                </c:pt>
                <c:pt idx="3">
                  <c:v>0.38128249566724437</c:v>
                </c:pt>
                <c:pt idx="4">
                  <c:v>0.37308868501529052</c:v>
                </c:pt>
              </c:numCache>
            </c:numRef>
          </c:val>
          <c:smooth val="0"/>
        </c:ser>
        <c:ser>
          <c:idx val="7"/>
          <c:order val="16"/>
          <c:tx>
            <c:strRef>
              <c:f>'Looked After Children'!$AK$56</c:f>
              <c:strCache>
                <c:ptCount val="1"/>
                <c:pt idx="0">
                  <c:v>Swindon</c:v>
                </c:pt>
              </c:strCache>
            </c:strRef>
          </c:tx>
          <c:spPr>
            <a:ln w="15875"/>
          </c:spPr>
          <c:marker>
            <c:symbol val="triangle"/>
            <c:size val="5"/>
            <c:spPr>
              <a:solidFill>
                <a:schemeClr val="accent2">
                  <a:lumMod val="20000"/>
                  <a:lumOff val="80000"/>
                </a:schemeClr>
              </a:solidFill>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Children'!$AR$56:$AV$56</c:f>
              <c:numCache>
                <c:formatCode>0.0%</c:formatCode>
                <c:ptCount val="5"/>
                <c:pt idx="0">
                  <c:v>0.3783783783783784</c:v>
                </c:pt>
                <c:pt idx="1">
                  <c:v>#N/A</c:v>
                </c:pt>
                <c:pt idx="2">
                  <c:v>0.28888888888888886</c:v>
                </c:pt>
                <c:pt idx="3">
                  <c:v>0.22988505747126436</c:v>
                </c:pt>
                <c:pt idx="4">
                  <c:v>0.24014336917562723</c:v>
                </c:pt>
              </c:numCache>
            </c:numRef>
          </c:val>
          <c:smooth val="0"/>
        </c:ser>
        <c:ser>
          <c:idx val="8"/>
          <c:order val="17"/>
          <c:tx>
            <c:strRef>
              <c:f>'Looked After Children'!$AK$57</c:f>
              <c:strCache>
                <c:ptCount val="1"/>
                <c:pt idx="0">
                  <c:v>Torbay</c:v>
                </c:pt>
              </c:strCache>
            </c:strRef>
          </c:tx>
          <c:spPr>
            <a:ln w="15875"/>
          </c:spPr>
          <c:marker>
            <c:symbol val="circle"/>
            <c:size val="5"/>
            <c:spPr>
              <a:solidFill>
                <a:schemeClr val="accent3">
                  <a:lumMod val="20000"/>
                  <a:lumOff val="80000"/>
                </a:schemeClr>
              </a:solidFill>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Children'!$AR$57:$AV$57</c:f>
              <c:numCache>
                <c:formatCode>0.0%</c:formatCode>
                <c:ptCount val="5"/>
                <c:pt idx="0">
                  <c:v>0.30188679245283018</c:v>
                </c:pt>
                <c:pt idx="1">
                  <c:v>#N/A</c:v>
                </c:pt>
                <c:pt idx="2">
                  <c:v>0.53333333333333333</c:v>
                </c:pt>
                <c:pt idx="3">
                  <c:v>0.53418803418803418</c:v>
                </c:pt>
                <c:pt idx="4">
                  <c:v>0.49070631970260226</c:v>
                </c:pt>
              </c:numCache>
            </c:numRef>
          </c:val>
          <c:smooth val="0"/>
        </c:ser>
        <c:ser>
          <c:idx val="23"/>
          <c:order val="18"/>
          <c:tx>
            <c:strRef>
              <c:f>'Looked After Children'!$AK$58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Children'!$AR$58:$AV$58</c:f>
              <c:numCache>
                <c:formatCode>0.0%</c:formatCode>
                <c:ptCount val="5"/>
                <c:pt idx="0">
                  <c:v>0.4</c:v>
                </c:pt>
                <c:pt idx="1">
                  <c:v>#N/A</c:v>
                </c:pt>
                <c:pt idx="2">
                  <c:v>0.45</c:v>
                </c:pt>
                <c:pt idx="3">
                  <c:v>0.44715447154471544</c:v>
                </c:pt>
                <c:pt idx="4">
                  <c:v>0.61111111111111116</c:v>
                </c:pt>
              </c:numCache>
            </c:numRef>
          </c:val>
          <c:smooth val="0"/>
        </c:ser>
        <c:ser>
          <c:idx val="24"/>
          <c:order val="19"/>
          <c:tx>
            <c:strRef>
              <c:f>'Looked After Children'!$AK$59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Children'!$AR$59:$AV$59</c:f>
              <c:numCache>
                <c:formatCode>0.0%</c:formatCode>
                <c:ptCount val="5"/>
                <c:pt idx="0">
                  <c:v>0.47619047619047616</c:v>
                </c:pt>
                <c:pt idx="1">
                  <c:v>#N/A</c:v>
                </c:pt>
                <c:pt idx="2">
                  <c:v>0.37362637362637363</c:v>
                </c:pt>
                <c:pt idx="3">
                  <c:v>0.31914893617021278</c:v>
                </c:pt>
                <c:pt idx="4">
                  <c:v>0.312</c:v>
                </c:pt>
              </c:numCache>
            </c:numRef>
          </c:val>
          <c:smooth val="0"/>
        </c:ser>
        <c:ser>
          <c:idx val="25"/>
          <c:order val="20"/>
          <c:tx>
            <c:strRef>
              <c:f>'Looked After Children'!$AK$60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Children'!$AR$60:$AV$60</c:f>
              <c:numCache>
                <c:formatCode>0.0%</c:formatCode>
                <c:ptCount val="5"/>
                <c:pt idx="0">
                  <c:v>0.46153846153846156</c:v>
                </c:pt>
                <c:pt idx="1">
                  <c:v>#N/A</c:v>
                </c:pt>
                <c:pt idx="2">
                  <c:v>0.7</c:v>
                </c:pt>
                <c:pt idx="3">
                  <c:v>0.60344827586206895</c:v>
                </c:pt>
                <c:pt idx="4">
                  <c:v>0.50819672131147542</c:v>
                </c:pt>
              </c:numCache>
            </c:numRef>
          </c:val>
          <c:smooth val="0"/>
        </c:ser>
        <c:ser>
          <c:idx val="26"/>
          <c:order val="21"/>
          <c:tx>
            <c:strRef>
              <c:f>'Looked After Children'!$AK$61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Children'!$AR$61:$AV$61</c:f>
              <c:numCache>
                <c:formatCode>0.0%</c:formatCode>
                <c:ptCount val="5"/>
                <c:pt idx="0">
                  <c:v>0.45454545454545453</c:v>
                </c:pt>
                <c:pt idx="1">
                  <c:v>#N/A</c:v>
                </c:pt>
                <c:pt idx="2">
                  <c:v>0.4</c:v>
                </c:pt>
                <c:pt idx="3">
                  <c:v>0.60606060606060608</c:v>
                </c:pt>
                <c:pt idx="4">
                  <c:v>0.2857142857142857</c:v>
                </c:pt>
              </c:numCache>
            </c:numRef>
          </c:val>
          <c:smooth val="0"/>
        </c:ser>
        <c:ser>
          <c:idx val="4"/>
          <c:order val="22"/>
          <c:tx>
            <c:strRef>
              <c:f>'Looked After Children'!$AK$62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Children'!$AR$62:$AV$62</c:f>
              <c:numCache>
                <c:formatCode>0.0%</c:formatCode>
                <c:ptCount val="5"/>
                <c:pt idx="0">
                  <c:v>0.39433551198257083</c:v>
                </c:pt>
                <c:pt idx="1">
                  <c:v>#N/A</c:v>
                </c:pt>
                <c:pt idx="2">
                  <c:v>0.40876944837340878</c:v>
                </c:pt>
                <c:pt idx="3">
                  <c:v>0.4102920723226704</c:v>
                </c:pt>
                <c:pt idx="4">
                  <c:v>0.41342281879194631</c:v>
                </c:pt>
              </c:numCache>
            </c:numRef>
          </c:val>
          <c:smooth val="0"/>
        </c:ser>
        <c:ser>
          <c:idx val="14"/>
          <c:order val="23"/>
          <c:tx>
            <c:strRef>
              <c:f>'Looked After Children'!$AK$63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Children'!$AR$63:$AV$63</c:f>
              <c:numCache>
                <c:formatCode>0.0%</c:formatCode>
                <c:ptCount val="5"/>
                <c:pt idx="0">
                  <c:v>0.41007723427730786</c:v>
                </c:pt>
                <c:pt idx="1">
                  <c:v>#N/A</c:v>
                </c:pt>
                <c:pt idx="2">
                  <c:v>0.43785886275236152</c:v>
                </c:pt>
                <c:pt idx="3">
                  <c:v>0.43178141290670502</c:v>
                </c:pt>
                <c:pt idx="4">
                  <c:v>0.44364551500988675</c:v>
                </c:pt>
              </c:numCache>
            </c:numRef>
          </c:val>
          <c:smooth val="0"/>
        </c:ser>
        <c:ser>
          <c:idx val="6"/>
          <c:order val="24"/>
          <c:tx>
            <c:strRef>
              <c:f>'Looked After Children'!$AK$64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'Looked After Children'!$AR$39:$AV$39</c:f>
              <c:numCache>
                <c:formatCode>General</c:formatCode>
                <c:ptCount val="5"/>
                <c:pt idx="0">
                  <c:v>2014</c:v>
                </c:pt>
                <c:pt idx="1">
                  <c:v>2015</c:v>
                </c:pt>
                <c:pt idx="2">
                  <c:v>2016</c:v>
                </c:pt>
                <c:pt idx="3">
                  <c:v>2017</c:v>
                </c:pt>
                <c:pt idx="4">
                  <c:v>2018</c:v>
                </c:pt>
              </c:numCache>
            </c:numRef>
          </c:cat>
          <c:val>
            <c:numRef>
              <c:f>'Looked After Children'!$AR$64:$AV$64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1896960"/>
        <c:axId val="251898880"/>
      </c:lineChart>
      <c:catAx>
        <c:axId val="251896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1898880"/>
        <c:crosses val="autoZero"/>
        <c:auto val="1"/>
        <c:lblAlgn val="ctr"/>
        <c:lblOffset val="100"/>
        <c:tickLblSkip val="1"/>
        <c:tickMarkSkip val="1"/>
        <c:noMultiLvlLbl val="0"/>
      </c:catAx>
      <c:valAx>
        <c:axId val="2518988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1896960"/>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a:t>
            </a:r>
            <a:r>
              <a:rPr lang="en-GB" sz="900" baseline="0"/>
              <a:t> </a:t>
            </a:r>
            <a:r>
              <a:rPr lang="en-GB" sz="900"/>
              <a:t>at 31st March with 3 or more placements in year (Selected LA</a:t>
            </a:r>
            <a:r>
              <a:rPr lang="en-GB" sz="900" baseline="0"/>
              <a:t> vs. SE &amp; National)</a:t>
            </a:r>
            <a:r>
              <a:rPr lang="en-GB" sz="900"/>
              <a:t> </a:t>
            </a:r>
          </a:p>
        </c:rich>
      </c:tx>
      <c:layout>
        <c:manualLayout>
          <c:xMode val="edge"/>
          <c:yMode val="edge"/>
          <c:x val="0.12300854700854699"/>
          <c:y val="3.8615036134181857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'Looked After Children'!$Z$4</c:f>
              <c:strCache>
                <c:ptCount val="1"/>
                <c:pt idx="0">
                  <c:v>Selected LA- (none)</c:v>
                </c:pt>
              </c:strCache>
            </c:strRef>
          </c:tx>
          <c:spPr>
            <a:solidFill>
              <a:srgbClr val="66FF99"/>
            </a:solidFill>
            <a:ln>
              <a:solidFill>
                <a:schemeClr val="tx1">
                  <a:lumMod val="75000"/>
                  <a:lumOff val="25000"/>
                </a:schemeClr>
              </a:solidFill>
            </a:ln>
          </c:spPr>
          <c:invertIfNegative val="0"/>
          <c:cat>
            <c:numRef>
              <c:f>'Looked After Children'!$K$8:$O$8</c:f>
              <c:numCache>
                <c:formatCode>General</c:formatCode>
                <c:ptCount val="5"/>
                <c:pt idx="0">
                  <c:v>2014</c:v>
                </c:pt>
                <c:pt idx="1">
                  <c:v>2015</c:v>
                </c:pt>
                <c:pt idx="2">
                  <c:v>2016</c:v>
                </c:pt>
                <c:pt idx="3">
                  <c:v>2017</c:v>
                </c:pt>
                <c:pt idx="4">
                  <c:v>2018</c:v>
                </c:pt>
              </c:numCache>
            </c:numRef>
          </c:cat>
          <c:val>
            <c:numRef>
              <c:f>'Looked After Children'!$BB$64:$BF$64</c:f>
              <c:numCache>
                <c:formatCode>0%</c:formatCode>
                <c:ptCount val="5"/>
                <c:pt idx="0">
                  <c:v>#N/A</c:v>
                </c:pt>
                <c:pt idx="1">
                  <c:v>#N/A</c:v>
                </c:pt>
                <c:pt idx="2">
                  <c:v>#N/A</c:v>
                </c:pt>
                <c:pt idx="3">
                  <c:v>#N/A</c:v>
                </c:pt>
                <c:pt idx="4">
                  <c:v>#N/A</c:v>
                </c:pt>
              </c:numCache>
            </c:numRef>
          </c:val>
        </c:ser>
        <c:ser>
          <c:idx val="4"/>
          <c:order val="1"/>
          <c:tx>
            <c:strRef>
              <c:f>'Looked After Children'!$B$167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'Looked After Children'!$K$8:$O$8</c:f>
              <c:numCache>
                <c:formatCode>General</c:formatCode>
                <c:ptCount val="5"/>
                <c:pt idx="0">
                  <c:v>2014</c:v>
                </c:pt>
                <c:pt idx="1">
                  <c:v>2015</c:v>
                </c:pt>
                <c:pt idx="2">
                  <c:v>2016</c:v>
                </c:pt>
                <c:pt idx="3">
                  <c:v>2017</c:v>
                </c:pt>
                <c:pt idx="4">
                  <c:v>2018</c:v>
                </c:pt>
              </c:numCache>
            </c:numRef>
          </c:cat>
          <c:val>
            <c:numRef>
              <c:f>'Looked After Children'!$D$202:$H$202</c:f>
              <c:numCache>
                <c:formatCode>0%</c:formatCode>
                <c:ptCount val="5"/>
                <c:pt idx="0">
                  <c:v>0.12234636871508379</c:v>
                </c:pt>
                <c:pt idx="1">
                  <c:v>#N/A</c:v>
                </c:pt>
                <c:pt idx="2">
                  <c:v>0.12208713272543059</c:v>
                </c:pt>
                <c:pt idx="3">
                  <c:v>0.11698880976602238</c:v>
                </c:pt>
                <c:pt idx="4">
                  <c:v>0.11899999999999999</c:v>
                </c:pt>
              </c:numCache>
            </c:numRef>
          </c:val>
        </c:ser>
        <c:ser>
          <c:idx val="0"/>
          <c:order val="2"/>
          <c:tx>
            <c:strRef>
              <c:f>'Looked After Children'!$B$168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'Looked After Children'!$D$203:$H$203</c:f>
              <c:numCache>
                <c:formatCode>0%</c:formatCode>
                <c:ptCount val="5"/>
                <c:pt idx="0">
                  <c:v>0.10928644092428426</c:v>
                </c:pt>
                <c:pt idx="1">
                  <c:v>#N/A</c:v>
                </c:pt>
                <c:pt idx="2">
                  <c:v>0.10298295454545454</c:v>
                </c:pt>
                <c:pt idx="3">
                  <c:v>0.10359553657528585</c:v>
                </c:pt>
                <c:pt idx="4">
                  <c:v>0.10461416070007955</c:v>
                </c:pt>
              </c:numCache>
            </c:numRef>
          </c:val>
        </c:ser>
        <c:dLbls>
          <c:showLegendKey val="0"/>
          <c:showVal val="0"/>
          <c:showCatName val="0"/>
          <c:showSerName val="0"/>
          <c:showPercent val="0"/>
          <c:showBubbleSize val="0"/>
        </c:dLbls>
        <c:gapWidth val="100"/>
        <c:axId val="251945728"/>
        <c:axId val="251947264"/>
      </c:barChart>
      <c:catAx>
        <c:axId val="251945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1947264"/>
        <c:crosses val="autoZero"/>
        <c:auto val="1"/>
        <c:lblAlgn val="ctr"/>
        <c:lblOffset val="100"/>
        <c:noMultiLvlLbl val="0"/>
      </c:catAx>
      <c:valAx>
        <c:axId val="25194726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194572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387975340291766"/>
          <c:w val="0.6965077344055397"/>
          <c:h val="0.8085003560601437"/>
        </c:manualLayout>
      </c:layout>
      <c:barChart>
        <c:barDir val="bar"/>
        <c:grouping val="clustered"/>
        <c:varyColors val="0"/>
        <c:ser>
          <c:idx val="2"/>
          <c:order val="0"/>
          <c:tx>
            <c:strRef>
              <c:f>Referrals!$R$7</c:f>
              <c:strCache>
                <c:ptCount val="1"/>
                <c:pt idx="0">
                  <c:v>Distance from Expected 2018</c:v>
                </c:pt>
              </c:strCache>
            </c:strRef>
          </c:tx>
          <c:spPr>
            <a:solidFill>
              <a:srgbClr val="FB994F"/>
            </a:solidFill>
            <a:ln w="25400">
              <a:noFill/>
            </a:ln>
          </c:spPr>
          <c:invertIfNegative val="0"/>
          <c:cat>
            <c:strRef>
              <c:f>Referrals!$B$9:$B$32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Referrals!$T$9:$T$32</c:f>
              <c:numCache>
                <c:formatCode>0.0</c:formatCode>
                <c:ptCount val="24"/>
                <c:pt idx="0">
                  <c:v>208.52393431401242</c:v>
                </c:pt>
                <c:pt idx="1">
                  <c:v>126.90233623579422</c:v>
                </c:pt>
                <c:pt idx="2">
                  <c:v>415.13955548757849</c:v>
                </c:pt>
                <c:pt idx="3">
                  <c:v>-106.18127382435762</c:v>
                </c:pt>
                <c:pt idx="4">
                  <c:v>119.5137624417946</c:v>
                </c:pt>
                <c:pt idx="5">
                  <c:v>328.06772348353059</c:v>
                </c:pt>
                <c:pt idx="6">
                  <c:v>53.528411861661652</c:v>
                </c:pt>
                <c:pt idx="7">
                  <c:v>-165.92912964422436</c:v>
                </c:pt>
                <c:pt idx="8">
                  <c:v>-197.48071886193384</c:v>
                </c:pt>
                <c:pt idx="9">
                  <c:v>25.738826666821467</c:v>
                </c:pt>
                <c:pt idx="10">
                  <c:v>47.282295702600095</c:v>
                </c:pt>
                <c:pt idx="11">
                  <c:v>161.05996427556931</c:v>
                </c:pt>
                <c:pt idx="12">
                  <c:v>-166.55628496739456</c:v>
                </c:pt>
                <c:pt idx="13">
                  <c:v>-16.904996832793984</c:v>
                </c:pt>
                <c:pt idx="14">
                  <c:v>-91.788879026899053</c:v>
                </c:pt>
                <c:pt idx="15">
                  <c:v>99.934789915434351</c:v>
                </c:pt>
                <c:pt idx="16">
                  <c:v>210.97019785398095</c:v>
                </c:pt>
                <c:pt idx="17">
                  <c:v>109.97499597544493</c:v>
                </c:pt>
                <c:pt idx="18">
                  <c:v>-9.6509237542927053</c:v>
                </c:pt>
                <c:pt idx="19">
                  <c:v>114.02479541683675</c:v>
                </c:pt>
                <c:pt idx="20">
                  <c:v>-98.719159547500055</c:v>
                </c:pt>
                <c:pt idx="21">
                  <c:v>-33.707152138155209</c:v>
                </c:pt>
                <c:pt idx="22">
                  <c:v>66.514564449281465</c:v>
                </c:pt>
                <c:pt idx="23">
                  <c:v>3.7953811739275807</c:v>
                </c:pt>
              </c:numCache>
            </c:numRef>
          </c:val>
        </c:ser>
        <c:ser>
          <c:idx val="0"/>
          <c:order val="1"/>
          <c:tx>
            <c:strRef>
              <c:f>Referrals!$Z$4</c:f>
              <c:strCache>
                <c:ptCount val="1"/>
                <c:pt idx="0">
                  <c:v>Selected LA- (none)</c:v>
                </c:pt>
              </c:strCache>
            </c:strRef>
          </c:tx>
          <c:spPr>
            <a:solidFill>
              <a:srgbClr val="66FF99"/>
            </a:solidFill>
            <a:ln>
              <a:solidFill>
                <a:srgbClr val="000000"/>
              </a:solidFill>
            </a:ln>
          </c:spPr>
          <c:invertIfNegative val="0"/>
          <c:val>
            <c:numRef>
              <c:f>Referrals!$Z$76:$Z$99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179779072"/>
        <c:axId val="179780608"/>
      </c:barChart>
      <c:catAx>
        <c:axId val="17977907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780608"/>
        <c:crossesAt val="0"/>
        <c:auto val="1"/>
        <c:lblAlgn val="ctr"/>
        <c:lblOffset val="100"/>
        <c:noMultiLvlLbl val="0"/>
      </c:catAx>
      <c:valAx>
        <c:axId val="17978060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779072"/>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73798291412277583"/>
          <c:h val="3.0546482615598974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8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at 31st March with 3 or more placements in the year</a:t>
            </a:r>
          </a:p>
        </c:rich>
      </c:tx>
      <c:layout>
        <c:manualLayout>
          <c:xMode val="edge"/>
          <c:yMode val="edge"/>
          <c:x val="9.4130503625697096E-2"/>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'Looked After Children'!$AK$40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'Looked After Children'!$BB$39:$BF$39</c:f>
              <c:numCache>
                <c:formatCode>General</c:formatCode>
                <c:ptCount val="5"/>
                <c:pt idx="0">
                  <c:v>2014</c:v>
                </c:pt>
                <c:pt idx="1">
                  <c:v>2015</c:v>
                </c:pt>
                <c:pt idx="2">
                  <c:v>2016</c:v>
                </c:pt>
                <c:pt idx="3">
                  <c:v>2017</c:v>
                </c:pt>
                <c:pt idx="4">
                  <c:v>2018</c:v>
                </c:pt>
              </c:numCache>
            </c:numRef>
          </c:cat>
          <c:val>
            <c:numRef>
              <c:f>'Looked After Children'!$BB$40:$BF$40</c:f>
              <c:numCache>
                <c:formatCode>0.0%</c:formatCode>
                <c:ptCount val="5"/>
                <c:pt idx="0">
                  <c:v>0.13274336283185842</c:v>
                </c:pt>
                <c:pt idx="1">
                  <c:v>#N/A</c:v>
                </c:pt>
                <c:pt idx="2">
                  <c:v>0.15306122448979592</c:v>
                </c:pt>
                <c:pt idx="3">
                  <c:v>8.6206896551724144E-2</c:v>
                </c:pt>
                <c:pt idx="4">
                  <c:v>0.13768115942028986</c:v>
                </c:pt>
              </c:numCache>
            </c:numRef>
          </c:val>
          <c:smooth val="0"/>
        </c:ser>
        <c:ser>
          <c:idx val="1"/>
          <c:order val="1"/>
          <c:tx>
            <c:strRef>
              <c:f>'Looked After Children'!$AK$41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Children'!$BB$41:$BF$41</c:f>
              <c:numCache>
                <c:formatCode>0.0%</c:formatCode>
                <c:ptCount val="5"/>
                <c:pt idx="0">
                  <c:v>0.15151515151515152</c:v>
                </c:pt>
                <c:pt idx="1">
                  <c:v>#N/A</c:v>
                </c:pt>
                <c:pt idx="2">
                  <c:v>0.14840182648401826</c:v>
                </c:pt>
                <c:pt idx="3">
                  <c:v>0.1206140350877193</c:v>
                </c:pt>
                <c:pt idx="4">
                  <c:v>9.569377990430622E-2</c:v>
                </c:pt>
              </c:numCache>
            </c:numRef>
          </c:val>
          <c:smooth val="0"/>
        </c:ser>
        <c:ser>
          <c:idx val="2"/>
          <c:order val="2"/>
          <c:tx>
            <c:strRef>
              <c:f>'Looked After Children'!$AK$42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Children'!$BB$42:$BF$42</c:f>
              <c:numCache>
                <c:formatCode>0.0%</c:formatCode>
                <c:ptCount val="5"/>
                <c:pt idx="0">
                  <c:v>5.7077625570776253E-2</c:v>
                </c:pt>
                <c:pt idx="1">
                  <c:v>#N/A</c:v>
                </c:pt>
                <c:pt idx="2">
                  <c:v>7.6252723311546838E-2</c:v>
                </c:pt>
                <c:pt idx="3">
                  <c:v>7.7092511013215861E-2</c:v>
                </c:pt>
                <c:pt idx="4">
                  <c:v>5.894736842105263E-2</c:v>
                </c:pt>
              </c:numCache>
            </c:numRef>
          </c:val>
          <c:smooth val="0"/>
        </c:ser>
        <c:ser>
          <c:idx val="5"/>
          <c:order val="3"/>
          <c:tx>
            <c:strRef>
              <c:f>'Looked After Children'!$AK$43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Children'!$BB$43:$BF$43</c:f>
              <c:numCache>
                <c:formatCode>0.0%</c:formatCode>
                <c:ptCount val="5"/>
                <c:pt idx="0">
                  <c:v>8.7108013937282236E-2</c:v>
                </c:pt>
                <c:pt idx="1">
                  <c:v>#N/A</c:v>
                </c:pt>
                <c:pt idx="2">
                  <c:v>0.11049723756906077</c:v>
                </c:pt>
                <c:pt idx="3">
                  <c:v>0.13513513513513514</c:v>
                </c:pt>
                <c:pt idx="4">
                  <c:v>0.1111111111111111</c:v>
                </c:pt>
              </c:numCache>
            </c:numRef>
          </c:val>
          <c:smooth val="0"/>
        </c:ser>
        <c:ser>
          <c:idx val="9"/>
          <c:order val="4"/>
          <c:tx>
            <c:strRef>
              <c:f>'Looked After Children'!$AK$44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Children'!$BB$44:$BF$44</c:f>
              <c:numCache>
                <c:formatCode>0.0%</c:formatCode>
                <c:ptCount val="5"/>
                <c:pt idx="0">
                  <c:v>0.16996047430830039</c:v>
                </c:pt>
                <c:pt idx="1">
                  <c:v>#N/A</c:v>
                </c:pt>
                <c:pt idx="2">
                  <c:v>0.17241379310344829</c:v>
                </c:pt>
                <c:pt idx="3">
                  <c:v>0.15625</c:v>
                </c:pt>
                <c:pt idx="4">
                  <c:v>0.16436637390213299</c:v>
                </c:pt>
              </c:numCache>
            </c:numRef>
          </c:val>
          <c:smooth val="0"/>
        </c:ser>
        <c:ser>
          <c:idx val="10"/>
          <c:order val="5"/>
          <c:tx>
            <c:strRef>
              <c:f>'Looked After Children'!$AK$45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Children'!$BB$45:$BF$45</c:f>
              <c:numCache>
                <c:formatCode>0.0%</c:formatCode>
                <c:ptCount val="5"/>
                <c:pt idx="0">
                  <c:v>0.13089005235602094</c:v>
                </c:pt>
                <c:pt idx="1">
                  <c:v>#N/A</c:v>
                </c:pt>
                <c:pt idx="2">
                  <c:v>0.12254901960784313</c:v>
                </c:pt>
                <c:pt idx="3">
                  <c:v>0.10964912280701754</c:v>
                </c:pt>
                <c:pt idx="4">
                  <c:v>0.18141592920353983</c:v>
                </c:pt>
              </c:numCache>
            </c:numRef>
          </c:val>
          <c:smooth val="0"/>
        </c:ser>
        <c:ser>
          <c:idx val="11"/>
          <c:order val="6"/>
          <c:tx>
            <c:strRef>
              <c:f>'Looked After Children'!$AK$46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Children'!$BB$46:$BF$46</c:f>
              <c:numCache>
                <c:formatCode>0.0%</c:formatCode>
                <c:ptCount val="5"/>
                <c:pt idx="0">
                  <c:v>0.13461538461538461</c:v>
                </c:pt>
                <c:pt idx="1">
                  <c:v>#N/A</c:v>
                </c:pt>
                <c:pt idx="2">
                  <c:v>0.12532411408815902</c:v>
                </c:pt>
                <c:pt idx="3">
                  <c:v>0.12618296529968454</c:v>
                </c:pt>
                <c:pt idx="4">
                  <c:v>0.11732522796352583</c:v>
                </c:pt>
              </c:numCache>
            </c:numRef>
          </c:val>
          <c:smooth val="0"/>
        </c:ser>
        <c:ser>
          <c:idx val="12"/>
          <c:order val="7"/>
          <c:tx>
            <c:strRef>
              <c:f>'Looked After Children'!$AK$47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Children'!$BB$47:$BF$47</c:f>
              <c:numCache>
                <c:formatCode>0.0%</c:formatCode>
                <c:ptCount val="5"/>
                <c:pt idx="0">
                  <c:v>6.5963060686015831E-2</c:v>
                </c:pt>
                <c:pt idx="1">
                  <c:v>#N/A</c:v>
                </c:pt>
                <c:pt idx="2">
                  <c:v>9.3023255813953487E-2</c:v>
                </c:pt>
                <c:pt idx="3">
                  <c:v>0.11538461538461539</c:v>
                </c:pt>
                <c:pt idx="4">
                  <c:v>9.9033816425120769E-2</c:v>
                </c:pt>
              </c:numCache>
            </c:numRef>
          </c:val>
          <c:smooth val="0"/>
        </c:ser>
        <c:ser>
          <c:idx val="13"/>
          <c:order val="8"/>
          <c:tx>
            <c:strRef>
              <c:f>'Looked After Children'!$AK$48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Children'!$BB$48:$BF$48</c:f>
              <c:numCache>
                <c:formatCode>0.0%</c:formatCode>
                <c:ptCount val="5"/>
                <c:pt idx="0">
                  <c:v>0.11551155115511551</c:v>
                </c:pt>
                <c:pt idx="1">
                  <c:v>#N/A</c:v>
                </c:pt>
                <c:pt idx="2">
                  <c:v>0.11594202898550725</c:v>
                </c:pt>
                <c:pt idx="3">
                  <c:v>8.8383838383838384E-2</c:v>
                </c:pt>
                <c:pt idx="4">
                  <c:v>0.11253196930946291</c:v>
                </c:pt>
              </c:numCache>
            </c:numRef>
          </c:val>
          <c:smooth val="0"/>
        </c:ser>
        <c:ser>
          <c:idx val="15"/>
          <c:order val="9"/>
          <c:tx>
            <c:strRef>
              <c:f>'Looked After Children'!$AK$49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Children'!$BB$49:$BF$49</c:f>
              <c:numCache>
                <c:formatCode>0.0%</c:formatCode>
                <c:ptCount val="5"/>
                <c:pt idx="0">
                  <c:v>0.11904761904761904</c:v>
                </c:pt>
                <c:pt idx="1">
                  <c:v>#N/A</c:v>
                </c:pt>
                <c:pt idx="2">
                  <c:v>6.7453625632377737E-2</c:v>
                </c:pt>
                <c:pt idx="3">
                  <c:v>8.2582582582582581E-2</c:v>
                </c:pt>
                <c:pt idx="4">
                  <c:v>0.11240875912408758</c:v>
                </c:pt>
              </c:numCache>
            </c:numRef>
          </c:val>
          <c:smooth val="0"/>
        </c:ser>
        <c:ser>
          <c:idx val="16"/>
          <c:order val="10"/>
          <c:tx>
            <c:strRef>
              <c:f>'Looked After Children'!$AK$50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Children'!$BB$50:$BF$50</c:f>
              <c:numCache>
                <c:formatCode>0.0%</c:formatCode>
                <c:ptCount val="5"/>
                <c:pt idx="0">
                  <c:v>0.12578616352201258</c:v>
                </c:pt>
                <c:pt idx="1">
                  <c:v>#N/A</c:v>
                </c:pt>
                <c:pt idx="2">
                  <c:v>0.15527950310559005</c:v>
                </c:pt>
                <c:pt idx="3">
                  <c:v>0.15363128491620112</c:v>
                </c:pt>
                <c:pt idx="4">
                  <c:v>0.14457831325301204</c:v>
                </c:pt>
              </c:numCache>
            </c:numRef>
          </c:val>
          <c:smooth val="0"/>
        </c:ser>
        <c:ser>
          <c:idx val="17"/>
          <c:order val="11"/>
          <c:tx>
            <c:strRef>
              <c:f>'Looked After Children'!$AK$51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Children'!$BB$51:$BF$51</c:f>
              <c:numCache>
                <c:formatCode>0.0%</c:formatCode>
                <c:ptCount val="5"/>
                <c:pt idx="0">
                  <c:v>0.12077294685990338</c:v>
                </c:pt>
                <c:pt idx="1">
                  <c:v>#N/A</c:v>
                </c:pt>
                <c:pt idx="2">
                  <c:v>9.0909090909090912E-2</c:v>
                </c:pt>
                <c:pt idx="3">
                  <c:v>3.8022813688212927E-2</c:v>
                </c:pt>
                <c:pt idx="4">
                  <c:v>0.11510791366906475</c:v>
                </c:pt>
              </c:numCache>
            </c:numRef>
          </c:val>
          <c:smooth val="0"/>
        </c:ser>
        <c:ser>
          <c:idx val="19"/>
          <c:order val="12"/>
          <c:tx>
            <c:strRef>
              <c:f>'Looked After Children'!$AK$52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Children'!$BB$52:$BF$52</c:f>
              <c:numCache>
                <c:formatCode>0.0%</c:formatCode>
                <c:ptCount val="5"/>
                <c:pt idx="0">
                  <c:v>0.13227513227513227</c:v>
                </c:pt>
                <c:pt idx="1">
                  <c:v>#N/A</c:v>
                </c:pt>
                <c:pt idx="2">
                  <c:v>0.13966480446927373</c:v>
                </c:pt>
                <c:pt idx="3">
                  <c:v>0.13157894736842105</c:v>
                </c:pt>
                <c:pt idx="4">
                  <c:v>0.16019417475728157</c:v>
                </c:pt>
              </c:numCache>
            </c:numRef>
          </c:val>
          <c:smooth val="0"/>
        </c:ser>
        <c:ser>
          <c:idx val="3"/>
          <c:order val="13"/>
          <c:tx>
            <c:strRef>
              <c:f>'Looked After Children'!$AK$53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Children'!$BB$53:$BF$53</c:f>
              <c:numCache>
                <c:formatCode>0.0%</c:formatCode>
                <c:ptCount val="5"/>
                <c:pt idx="0">
                  <c:v>0.12295081967213115</c:v>
                </c:pt>
                <c:pt idx="1">
                  <c:v>#N/A</c:v>
                </c:pt>
                <c:pt idx="2">
                  <c:v>0.12974051896207583</c:v>
                </c:pt>
                <c:pt idx="3">
                  <c:v>0.10504201680672269</c:v>
                </c:pt>
                <c:pt idx="4">
                  <c:v>0.1532567049808429</c:v>
                </c:pt>
              </c:numCache>
            </c:numRef>
          </c:val>
          <c:smooth val="0"/>
        </c:ser>
        <c:ser>
          <c:idx val="20"/>
          <c:order val="14"/>
          <c:tx>
            <c:strRef>
              <c:f>'Looked After Children'!$AK$54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Children'!$BB$54:$BF$54</c:f>
              <c:numCache>
                <c:formatCode>0.0%</c:formatCode>
                <c:ptCount val="5"/>
                <c:pt idx="0">
                  <c:v>0.14000000000000001</c:v>
                </c:pt>
                <c:pt idx="1">
                  <c:v>#N/A</c:v>
                </c:pt>
                <c:pt idx="2">
                  <c:v>0.13536379018612521</c:v>
                </c:pt>
                <c:pt idx="3">
                  <c:v>0.12037037037037036</c:v>
                </c:pt>
                <c:pt idx="4">
                  <c:v>9.5785440613026823E-2</c:v>
                </c:pt>
              </c:numCache>
            </c:numRef>
          </c:val>
          <c:smooth val="0"/>
        </c:ser>
        <c:ser>
          <c:idx val="22"/>
          <c:order val="15"/>
          <c:tx>
            <c:strRef>
              <c:f>'Looked After Children'!$AK$55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Children'!$BB$55:$BF$55</c:f>
              <c:numCache>
                <c:formatCode>0.0%</c:formatCode>
                <c:ptCount val="5"/>
                <c:pt idx="0">
                  <c:v>9.4577553593947039E-2</c:v>
                </c:pt>
                <c:pt idx="1">
                  <c:v>#N/A</c:v>
                </c:pt>
                <c:pt idx="2">
                  <c:v>0.10380622837370242</c:v>
                </c:pt>
                <c:pt idx="3">
                  <c:v>8.0552359033371698E-2</c:v>
                </c:pt>
                <c:pt idx="4">
                  <c:v>7.6508620689655166E-2</c:v>
                </c:pt>
              </c:numCache>
            </c:numRef>
          </c:val>
          <c:smooth val="0"/>
        </c:ser>
        <c:ser>
          <c:idx val="7"/>
          <c:order val="16"/>
          <c:tx>
            <c:strRef>
              <c:f>'Looked After Children'!$AK$56</c:f>
              <c:strCache>
                <c:ptCount val="1"/>
                <c:pt idx="0">
                  <c:v>Swindon</c:v>
                </c:pt>
              </c:strCache>
            </c:strRef>
          </c:tx>
          <c:spPr>
            <a:ln w="15875"/>
          </c:spPr>
          <c:marker>
            <c:symbol val="triangle"/>
            <c:size val="5"/>
            <c:spPr>
              <a:solidFill>
                <a:schemeClr val="accent2">
                  <a:lumMod val="20000"/>
                  <a:lumOff val="80000"/>
                </a:schemeClr>
              </a:solidFill>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Children'!$BB$56:$BF$56</c:f>
              <c:numCache>
                <c:formatCode>0.0%</c:formatCode>
                <c:ptCount val="5"/>
                <c:pt idx="0">
                  <c:v>0.17786561264822134</c:v>
                </c:pt>
                <c:pt idx="1">
                  <c:v>#N/A</c:v>
                </c:pt>
                <c:pt idx="2">
                  <c:v>0.10238907849829351</c:v>
                </c:pt>
                <c:pt idx="3">
                  <c:v>0.12121212121212122</c:v>
                </c:pt>
                <c:pt idx="4">
                  <c:v>0.12222222222222222</c:v>
                </c:pt>
              </c:numCache>
            </c:numRef>
          </c:val>
          <c:smooth val="0"/>
        </c:ser>
        <c:ser>
          <c:idx val="8"/>
          <c:order val="17"/>
          <c:tx>
            <c:strRef>
              <c:f>'Looked After Children'!$AK$57</c:f>
              <c:strCache>
                <c:ptCount val="1"/>
                <c:pt idx="0">
                  <c:v>Torbay</c:v>
                </c:pt>
              </c:strCache>
            </c:strRef>
          </c:tx>
          <c:spPr>
            <a:ln w="15875"/>
          </c:spPr>
          <c:marker>
            <c:symbol val="circle"/>
            <c:size val="5"/>
            <c:spPr>
              <a:solidFill>
                <a:schemeClr val="accent3">
                  <a:lumMod val="20000"/>
                  <a:lumOff val="80000"/>
                </a:schemeClr>
              </a:solidFill>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Children'!$BB$57:$BF$57</c:f>
              <c:numCache>
                <c:formatCode>0.0%</c:formatCode>
                <c:ptCount val="5"/>
                <c:pt idx="0">
                  <c:v>0.15923566878980891</c:v>
                </c:pt>
                <c:pt idx="1">
                  <c:v>#N/A</c:v>
                </c:pt>
                <c:pt idx="2">
                  <c:v>0.21505376344086022</c:v>
                </c:pt>
                <c:pt idx="3">
                  <c:v>0.26041666666666669</c:v>
                </c:pt>
                <c:pt idx="4">
                  <c:v>0.25382262996941896</c:v>
                </c:pt>
              </c:numCache>
            </c:numRef>
          </c:val>
          <c:smooth val="0"/>
        </c:ser>
        <c:ser>
          <c:idx val="23"/>
          <c:order val="18"/>
          <c:tx>
            <c:strRef>
              <c:f>'Looked After Children'!$AK$58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Children'!$BB$58:$BF$58</c:f>
              <c:numCache>
                <c:formatCode>0.0%</c:formatCode>
                <c:ptCount val="5"/>
                <c:pt idx="0">
                  <c:v>6.4102564102564097E-2</c:v>
                </c:pt>
                <c:pt idx="1">
                  <c:v>#N/A</c:v>
                </c:pt>
                <c:pt idx="2">
                  <c:v>6.3694267515923567E-2</c:v>
                </c:pt>
                <c:pt idx="3">
                  <c:v>9.3167701863354033E-2</c:v>
                </c:pt>
                <c:pt idx="4">
                  <c:v>5.5172413793103448E-2</c:v>
                </c:pt>
              </c:numCache>
            </c:numRef>
          </c:val>
          <c:smooth val="0"/>
        </c:ser>
        <c:ser>
          <c:idx val="24"/>
          <c:order val="19"/>
          <c:tx>
            <c:strRef>
              <c:f>'Looked After Children'!$AK$59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Children'!$BB$59:$BF$59</c:f>
              <c:numCache>
                <c:formatCode>0.0%</c:formatCode>
                <c:ptCount val="5"/>
                <c:pt idx="0">
                  <c:v>0.1079734219269103</c:v>
                </c:pt>
                <c:pt idx="1">
                  <c:v>#N/A</c:v>
                </c:pt>
                <c:pt idx="2">
                  <c:v>0.10954616588419405</c:v>
                </c:pt>
                <c:pt idx="3">
                  <c:v>0.12066365007541478</c:v>
                </c:pt>
                <c:pt idx="4">
                  <c:v>0.140625</c:v>
                </c:pt>
              </c:numCache>
            </c:numRef>
          </c:val>
          <c:smooth val="0"/>
        </c:ser>
        <c:ser>
          <c:idx val="25"/>
          <c:order val="20"/>
          <c:tx>
            <c:strRef>
              <c:f>'Looked After Children'!$AK$60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Children'!$BB$60:$BF$60</c:f>
              <c:numCache>
                <c:formatCode>0.0%</c:formatCode>
                <c:ptCount val="5"/>
                <c:pt idx="0">
                  <c:v>0.14150943396226415</c:v>
                </c:pt>
                <c:pt idx="1">
                  <c:v>#N/A</c:v>
                </c:pt>
                <c:pt idx="2">
                  <c:v>0.16853932584269662</c:v>
                </c:pt>
                <c:pt idx="3">
                  <c:v>0.13761467889908258</c:v>
                </c:pt>
                <c:pt idx="4">
                  <c:v>0.13084112149532709</c:v>
                </c:pt>
              </c:numCache>
            </c:numRef>
          </c:val>
          <c:smooth val="0"/>
        </c:ser>
        <c:ser>
          <c:idx val="26"/>
          <c:order val="21"/>
          <c:tx>
            <c:strRef>
              <c:f>'Looked After Children'!$AK$61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Children'!$BB$61:$BF$61</c:f>
              <c:numCache>
                <c:formatCode>0.0%</c:formatCode>
                <c:ptCount val="5"/>
                <c:pt idx="0">
                  <c:v>0.1388888888888889</c:v>
                </c:pt>
                <c:pt idx="1">
                  <c:v>#N/A</c:v>
                </c:pt>
                <c:pt idx="2">
                  <c:v>0.12345679012345678</c:v>
                </c:pt>
                <c:pt idx="3">
                  <c:v>0.2</c:v>
                </c:pt>
                <c:pt idx="4">
                  <c:v>0.13207547169811321</c:v>
                </c:pt>
              </c:numCache>
            </c:numRef>
          </c:val>
          <c:smooth val="0"/>
        </c:ser>
        <c:ser>
          <c:idx val="4"/>
          <c:order val="22"/>
          <c:tx>
            <c:strRef>
              <c:f>'Looked After Children'!$AK$62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Children'!$BB$62:$BF$62</c:f>
              <c:numCache>
                <c:formatCode>0.0%</c:formatCode>
                <c:ptCount val="5"/>
                <c:pt idx="0">
                  <c:v>0.12234636871508379</c:v>
                </c:pt>
                <c:pt idx="1">
                  <c:v>#N/A</c:v>
                </c:pt>
                <c:pt idx="2">
                  <c:v>0.12208713272543059</c:v>
                </c:pt>
                <c:pt idx="3">
                  <c:v>0.11698880976602238</c:v>
                </c:pt>
                <c:pt idx="4">
                  <c:v>0.11899999999999999</c:v>
                </c:pt>
              </c:numCache>
            </c:numRef>
          </c:val>
          <c:smooth val="0"/>
        </c:ser>
        <c:ser>
          <c:idx val="14"/>
          <c:order val="23"/>
          <c:tx>
            <c:strRef>
              <c:f>'Looked After Children'!$AK$63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Children'!$BB$63:$BF$63</c:f>
              <c:numCache>
                <c:formatCode>0.0%</c:formatCode>
                <c:ptCount val="5"/>
                <c:pt idx="0">
                  <c:v>0.10928644092428426</c:v>
                </c:pt>
                <c:pt idx="1">
                  <c:v>#N/A</c:v>
                </c:pt>
                <c:pt idx="2">
                  <c:v>0.10298295454545454</c:v>
                </c:pt>
                <c:pt idx="3">
                  <c:v>0.10359553657528585</c:v>
                </c:pt>
                <c:pt idx="4">
                  <c:v>0.10461416070007955</c:v>
                </c:pt>
              </c:numCache>
            </c:numRef>
          </c:val>
          <c:smooth val="0"/>
        </c:ser>
        <c:ser>
          <c:idx val="6"/>
          <c:order val="24"/>
          <c:tx>
            <c:strRef>
              <c:f>'Looked After Children'!$AK$64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'Looked After Children'!$BB$39:$BF$39</c:f>
              <c:numCache>
                <c:formatCode>General</c:formatCode>
                <c:ptCount val="5"/>
                <c:pt idx="0">
                  <c:v>2014</c:v>
                </c:pt>
                <c:pt idx="1">
                  <c:v>2015</c:v>
                </c:pt>
                <c:pt idx="2">
                  <c:v>2016</c:v>
                </c:pt>
                <c:pt idx="3">
                  <c:v>2017</c:v>
                </c:pt>
                <c:pt idx="4">
                  <c:v>2018</c:v>
                </c:pt>
              </c:numCache>
            </c:numRef>
          </c:cat>
          <c:val>
            <c:numRef>
              <c:f>'Looked After Children'!$BB$64:$BF$64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2208256"/>
        <c:axId val="252210176"/>
      </c:lineChart>
      <c:catAx>
        <c:axId val="252208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2210176"/>
        <c:crosses val="autoZero"/>
        <c:auto val="1"/>
        <c:lblAlgn val="ctr"/>
        <c:lblOffset val="100"/>
        <c:tickLblSkip val="1"/>
        <c:tickMarkSkip val="1"/>
        <c:noMultiLvlLbl val="0"/>
      </c:catAx>
      <c:valAx>
        <c:axId val="25221017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220825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8688613315662184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latin typeface="Arial" panose="020B0604020202020204" pitchFamily="34" charset="0"/>
                <a:cs typeface="Arial" panose="020B0604020202020204" pitchFamily="34" charset="0"/>
              </a:defRPr>
            </a:pPr>
            <a:r>
              <a:rPr lang="en-GB" sz="1000">
                <a:latin typeface="Arial" panose="020B0604020202020204" pitchFamily="34" charset="0"/>
                <a:cs typeface="Arial" panose="020B0604020202020204" pitchFamily="34" charset="0"/>
              </a:rPr>
              <a:t>% LAC in each Age Group</a:t>
            </a:r>
          </a:p>
        </c:rich>
      </c:tx>
      <c:layout>
        <c:manualLayout>
          <c:xMode val="edge"/>
          <c:yMode val="edge"/>
          <c:x val="0.21636141636141637"/>
          <c:y val="2.3429234807187563E-2"/>
        </c:manualLayout>
      </c:layout>
      <c:overlay val="1"/>
    </c:title>
    <c:autoTitleDeleted val="0"/>
    <c:plotArea>
      <c:layout>
        <c:manualLayout>
          <c:layoutTarget val="inner"/>
          <c:xMode val="edge"/>
          <c:yMode val="edge"/>
          <c:x val="2.7777777777777776E-2"/>
          <c:y val="8.0174079363675044E-2"/>
          <c:w val="0.94444444444444442"/>
          <c:h val="0.77264643851885662"/>
        </c:manualLayout>
      </c:layout>
      <c:barChart>
        <c:barDir val="bar"/>
        <c:grouping val="percentStacked"/>
        <c:varyColors val="0"/>
        <c:ser>
          <c:idx val="3"/>
          <c:order val="5"/>
          <c:tx>
            <c:strRef>
              <c:f>'Looked After Children'!$Y$4</c:f>
              <c:strCache>
                <c:ptCount val="1"/>
                <c:pt idx="0">
                  <c:v>(none)</c:v>
                </c:pt>
              </c:strCache>
            </c:strRef>
          </c:tx>
          <c:spPr>
            <a:solidFill>
              <a:srgbClr val="66FF99"/>
            </a:solidFill>
            <a:ln>
              <a:solidFill>
                <a:schemeClr val="tx1"/>
              </a:solidFill>
            </a:ln>
          </c:spPr>
          <c:invertIfNegative val="0"/>
          <c:val>
            <c:numRef>
              <c:f>'Looked After Children'!$AD$250:$AD$273</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0"/>
        <c:overlap val="100"/>
        <c:axId val="252582528"/>
        <c:axId val="252592512"/>
      </c:barChart>
      <c:barChart>
        <c:barDir val="bar"/>
        <c:grouping val="percentStacked"/>
        <c:varyColors val="0"/>
        <c:ser>
          <c:idx val="0"/>
          <c:order val="0"/>
          <c:tx>
            <c:strRef>
              <c:f>'Looked After Children'!$I$249</c:f>
              <c:strCache>
                <c:ptCount val="1"/>
                <c:pt idx="0">
                  <c:v> &lt;1</c:v>
                </c:pt>
              </c:strCache>
            </c:strRef>
          </c:tx>
          <c:spPr>
            <a:solidFill>
              <a:srgbClr val="BC3E7D"/>
            </a:solidFill>
            <a:ln w="12700">
              <a:solidFill>
                <a:srgbClr val="000000"/>
              </a:solidFill>
              <a:prstDash val="solid"/>
            </a:ln>
          </c:spPr>
          <c:invertIfNegative val="0"/>
          <c:cat>
            <c:strRef>
              <c:f>'Looked After Children'!$B$250:$B$273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 (2017)</c:v>
                </c:pt>
              </c:strCache>
            </c:strRef>
          </c:cat>
          <c:val>
            <c:numRef>
              <c:f>'Looked After Children'!$I$250:$I$273</c:f>
              <c:numCache>
                <c:formatCode>0%</c:formatCode>
                <c:ptCount val="24"/>
                <c:pt idx="0">
                  <c:v>5.0724637681159424E-2</c:v>
                </c:pt>
                <c:pt idx="1">
                  <c:v>5.5023923444976079E-2</c:v>
                </c:pt>
                <c:pt idx="2">
                  <c:v>4.2105263157894736E-2</c:v>
                </c:pt>
                <c:pt idx="3">
                  <c:v>5.9701492537313432E-2</c:v>
                </c:pt>
                <c:pt idx="4">
                  <c:v>4.2032622333751567E-2</c:v>
                </c:pt>
                <c:pt idx="5">
                  <c:v>3.9823008849557522E-2</c:v>
                </c:pt>
                <c:pt idx="6">
                  <c:v>3.8905775075987845E-2</c:v>
                </c:pt>
                <c:pt idx="7">
                  <c:v>7.0048309178743967E-2</c:v>
                </c:pt>
                <c:pt idx="8">
                  <c:v>5.8823529411764705E-2</c:v>
                </c:pt>
                <c:pt idx="9">
                  <c:v>5.2554744525547446E-2</c:v>
                </c:pt>
                <c:pt idx="10">
                  <c:v>3.8554216867469883E-2</c:v>
                </c:pt>
                <c:pt idx="11">
                  <c:v>7.5539568345323743E-2</c:v>
                </c:pt>
                <c:pt idx="12">
                  <c:v>5.8252427184466021E-2</c:v>
                </c:pt>
                <c:pt idx="13">
                  <c:v>7.2796934865900387E-2</c:v>
                </c:pt>
                <c:pt idx="14">
                  <c:v>7.662835249042145E-2</c:v>
                </c:pt>
                <c:pt idx="15">
                  <c:v>4.8491379310344827E-2</c:v>
                </c:pt>
                <c:pt idx="16">
                  <c:v>5.8333333333333334E-2</c:v>
                </c:pt>
                <c:pt idx="17">
                  <c:v>8.8685015290519878E-2</c:v>
                </c:pt>
                <c:pt idx="18">
                  <c:v>0</c:v>
                </c:pt>
                <c:pt idx="19">
                  <c:v>6.1079545454545456E-2</c:v>
                </c:pt>
                <c:pt idx="20">
                  <c:v>0</c:v>
                </c:pt>
                <c:pt idx="21">
                  <c:v>6.6037735849056603E-2</c:v>
                </c:pt>
                <c:pt idx="22">
                  <c:v>4.9950049950049952E-2</c:v>
                </c:pt>
                <c:pt idx="23">
                  <c:v>5.2566396036879043E-2</c:v>
                </c:pt>
              </c:numCache>
            </c:numRef>
          </c:val>
        </c:ser>
        <c:ser>
          <c:idx val="1"/>
          <c:order val="1"/>
          <c:tx>
            <c:strRef>
              <c:f>'Looked After Children'!$J$249</c:f>
              <c:strCache>
                <c:ptCount val="1"/>
                <c:pt idx="0">
                  <c:v> 1 - 4    </c:v>
                </c:pt>
              </c:strCache>
            </c:strRef>
          </c:tx>
          <c:spPr>
            <a:solidFill>
              <a:srgbClr val="FB994F"/>
            </a:solidFill>
            <a:ln w="12700">
              <a:solidFill>
                <a:srgbClr val="000000"/>
              </a:solidFill>
              <a:prstDash val="solid"/>
            </a:ln>
          </c:spPr>
          <c:invertIfNegative val="0"/>
          <c:cat>
            <c:strRef>
              <c:f>'Looked After Children'!$B$250:$B$273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 (2017)</c:v>
                </c:pt>
              </c:strCache>
            </c:strRef>
          </c:cat>
          <c:val>
            <c:numRef>
              <c:f>'Looked After Children'!$J$250:$J$273</c:f>
              <c:numCache>
                <c:formatCode>0%</c:formatCode>
                <c:ptCount val="24"/>
                <c:pt idx="0">
                  <c:v>8.6956521739130432E-2</c:v>
                </c:pt>
                <c:pt idx="1">
                  <c:v>0.11961722488038277</c:v>
                </c:pt>
                <c:pt idx="2">
                  <c:v>0.10947368421052632</c:v>
                </c:pt>
                <c:pt idx="3">
                  <c:v>0.13598673300165837</c:v>
                </c:pt>
                <c:pt idx="4">
                  <c:v>0.13362609786700125</c:v>
                </c:pt>
                <c:pt idx="5">
                  <c:v>0.12831858407079647</c:v>
                </c:pt>
                <c:pt idx="6">
                  <c:v>6.8085106382978725E-2</c:v>
                </c:pt>
                <c:pt idx="7">
                  <c:v>0.13768115942028986</c:v>
                </c:pt>
                <c:pt idx="8">
                  <c:v>0.14066496163682865</c:v>
                </c:pt>
                <c:pt idx="9">
                  <c:v>0.10948905109489052</c:v>
                </c:pt>
                <c:pt idx="10">
                  <c:v>0.11325301204819277</c:v>
                </c:pt>
                <c:pt idx="11">
                  <c:v>0.16187050359712229</c:v>
                </c:pt>
                <c:pt idx="12">
                  <c:v>0.12621359223300971</c:v>
                </c:pt>
                <c:pt idx="13">
                  <c:v>9.9616858237547887E-2</c:v>
                </c:pt>
                <c:pt idx="14">
                  <c:v>0.12260536398467432</c:v>
                </c:pt>
                <c:pt idx="15">
                  <c:v>8.6206896551724144E-2</c:v>
                </c:pt>
                <c:pt idx="16">
                  <c:v>0.16944444444444445</c:v>
                </c:pt>
                <c:pt idx="17">
                  <c:v>0.12232415902140673</c:v>
                </c:pt>
                <c:pt idx="18">
                  <c:v>0</c:v>
                </c:pt>
                <c:pt idx="19">
                  <c:v>0.11789772727272728</c:v>
                </c:pt>
                <c:pt idx="20">
                  <c:v>0</c:v>
                </c:pt>
                <c:pt idx="21">
                  <c:v>9.4339622641509441E-2</c:v>
                </c:pt>
                <c:pt idx="22">
                  <c:v>0.11188811188811189</c:v>
                </c:pt>
                <c:pt idx="23">
                  <c:v>0.12618687216182745</c:v>
                </c:pt>
              </c:numCache>
            </c:numRef>
          </c:val>
        </c:ser>
        <c:ser>
          <c:idx val="2"/>
          <c:order val="2"/>
          <c:tx>
            <c:strRef>
              <c:f>'Looked After Children'!$L$249</c:f>
              <c:strCache>
                <c:ptCount val="1"/>
                <c:pt idx="0">
                  <c:v> 5 - 9</c:v>
                </c:pt>
              </c:strCache>
            </c:strRef>
          </c:tx>
          <c:spPr>
            <a:solidFill>
              <a:srgbClr val="9999FF"/>
            </a:solidFill>
            <a:ln w="12700">
              <a:solidFill>
                <a:srgbClr val="000000"/>
              </a:solidFill>
              <a:prstDash val="solid"/>
            </a:ln>
          </c:spPr>
          <c:invertIfNegative val="0"/>
          <c:cat>
            <c:strRef>
              <c:f>'Looked After Children'!$B$250:$B$273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 (2017)</c:v>
                </c:pt>
              </c:strCache>
            </c:strRef>
          </c:cat>
          <c:val>
            <c:numRef>
              <c:f>'Looked After Children'!$L$250:$L$273</c:f>
              <c:numCache>
                <c:formatCode>0%</c:formatCode>
                <c:ptCount val="24"/>
                <c:pt idx="0">
                  <c:v>0.14492753623188406</c:v>
                </c:pt>
                <c:pt idx="1">
                  <c:v>0.15311004784688995</c:v>
                </c:pt>
                <c:pt idx="2">
                  <c:v>0.15789473684210525</c:v>
                </c:pt>
                <c:pt idx="3">
                  <c:v>0.19734660033167495</c:v>
                </c:pt>
                <c:pt idx="4">
                  <c:v>0.19887076537013801</c:v>
                </c:pt>
                <c:pt idx="5">
                  <c:v>0.25221238938053098</c:v>
                </c:pt>
                <c:pt idx="6">
                  <c:v>0.14407294832826747</c:v>
                </c:pt>
                <c:pt idx="7">
                  <c:v>0.20289855072463769</c:v>
                </c:pt>
                <c:pt idx="8">
                  <c:v>0.20971867007672634</c:v>
                </c:pt>
                <c:pt idx="9">
                  <c:v>0.17372262773722627</c:v>
                </c:pt>
                <c:pt idx="10">
                  <c:v>0.13975903614457832</c:v>
                </c:pt>
                <c:pt idx="11">
                  <c:v>0.20143884892086331</c:v>
                </c:pt>
                <c:pt idx="12">
                  <c:v>0.1941747572815534</c:v>
                </c:pt>
                <c:pt idx="13">
                  <c:v>0.14942528735632185</c:v>
                </c:pt>
                <c:pt idx="14">
                  <c:v>0.25287356321839083</c:v>
                </c:pt>
                <c:pt idx="15">
                  <c:v>0.16594827586206898</c:v>
                </c:pt>
                <c:pt idx="16">
                  <c:v>0.21111111111111111</c:v>
                </c:pt>
                <c:pt idx="17">
                  <c:v>0.18042813455657492</c:v>
                </c:pt>
                <c:pt idx="18">
                  <c:v>0.1875</c:v>
                </c:pt>
                <c:pt idx="19">
                  <c:v>0.15482954545454544</c:v>
                </c:pt>
                <c:pt idx="20">
                  <c:v>0.1702127659574468</c:v>
                </c:pt>
                <c:pt idx="21">
                  <c:v>0.13207547169811321</c:v>
                </c:pt>
                <c:pt idx="22">
                  <c:v>0.17782217782217782</c:v>
                </c:pt>
                <c:pt idx="23">
                  <c:v>0.19402779689005092</c:v>
                </c:pt>
              </c:numCache>
            </c:numRef>
          </c:val>
        </c:ser>
        <c:ser>
          <c:idx val="5"/>
          <c:order val="3"/>
          <c:tx>
            <c:strRef>
              <c:f>'Looked After Children'!$M$249</c:f>
              <c:strCache>
                <c:ptCount val="1"/>
                <c:pt idx="0">
                  <c:v> 10 - 15  </c:v>
                </c:pt>
              </c:strCache>
            </c:strRef>
          </c:tx>
          <c:spPr>
            <a:solidFill>
              <a:srgbClr val="FF99CC"/>
            </a:solidFill>
            <a:ln w="12700">
              <a:solidFill>
                <a:srgbClr val="000000"/>
              </a:solidFill>
              <a:prstDash val="solid"/>
            </a:ln>
          </c:spPr>
          <c:invertIfNegative val="0"/>
          <c:cat>
            <c:strRef>
              <c:f>'Looked After Children'!$B$250:$B$273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 (2017)</c:v>
                </c:pt>
              </c:strCache>
            </c:strRef>
          </c:cat>
          <c:val>
            <c:numRef>
              <c:f>'Looked After Children'!$M$250:$M$273</c:f>
              <c:numCache>
                <c:formatCode>0%</c:formatCode>
                <c:ptCount val="24"/>
                <c:pt idx="0">
                  <c:v>0.46376811594202899</c:v>
                </c:pt>
                <c:pt idx="1">
                  <c:v>0.3923444976076555</c:v>
                </c:pt>
                <c:pt idx="2">
                  <c:v>0.43368421052631578</c:v>
                </c:pt>
                <c:pt idx="3">
                  <c:v>0.37976782752902155</c:v>
                </c:pt>
                <c:pt idx="4">
                  <c:v>0.40213299874529485</c:v>
                </c:pt>
                <c:pt idx="5">
                  <c:v>0.40265486725663718</c:v>
                </c:pt>
                <c:pt idx="6">
                  <c:v>0.42066869300911852</c:v>
                </c:pt>
                <c:pt idx="7">
                  <c:v>0.41304347826086957</c:v>
                </c:pt>
                <c:pt idx="8">
                  <c:v>0.40409207161125321</c:v>
                </c:pt>
                <c:pt idx="9">
                  <c:v>0.41459854014598541</c:v>
                </c:pt>
                <c:pt idx="10">
                  <c:v>0.41686746987951806</c:v>
                </c:pt>
                <c:pt idx="11">
                  <c:v>0.37410071942446044</c:v>
                </c:pt>
                <c:pt idx="12">
                  <c:v>0.35436893203883496</c:v>
                </c:pt>
                <c:pt idx="13">
                  <c:v>0.42720306513409961</c:v>
                </c:pt>
                <c:pt idx="14">
                  <c:v>0.39272030651340994</c:v>
                </c:pt>
                <c:pt idx="15">
                  <c:v>0.40409482758620691</c:v>
                </c:pt>
                <c:pt idx="16">
                  <c:v>0.33611111111111114</c:v>
                </c:pt>
                <c:pt idx="17">
                  <c:v>0.43119266055045874</c:v>
                </c:pt>
                <c:pt idx="18">
                  <c:v>0.515625</c:v>
                </c:pt>
                <c:pt idx="19">
                  <c:v>0.37642045454545453</c:v>
                </c:pt>
                <c:pt idx="20">
                  <c:v>0.47872340425531917</c:v>
                </c:pt>
                <c:pt idx="21">
                  <c:v>0.36792452830188677</c:v>
                </c:pt>
                <c:pt idx="22">
                  <c:v>0.40459540459540461</c:v>
                </c:pt>
                <c:pt idx="23">
                  <c:v>0.39273427824411722</c:v>
                </c:pt>
              </c:numCache>
            </c:numRef>
          </c:val>
        </c:ser>
        <c:ser>
          <c:idx val="9"/>
          <c:order val="4"/>
          <c:tx>
            <c:strRef>
              <c:f>'Looked After Children'!$N$249</c:f>
              <c:strCache>
                <c:ptCount val="1"/>
                <c:pt idx="0">
                  <c:v> 16 +</c:v>
                </c:pt>
              </c:strCache>
            </c:strRef>
          </c:tx>
          <c:spPr>
            <a:solidFill>
              <a:srgbClr val="9B4719"/>
            </a:solidFill>
            <a:ln w="12700">
              <a:solidFill>
                <a:srgbClr val="000000"/>
              </a:solidFill>
              <a:prstDash val="solid"/>
            </a:ln>
          </c:spPr>
          <c:invertIfNegative val="0"/>
          <c:cat>
            <c:strRef>
              <c:f>'Looked After Children'!$B$250:$B$273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 (2017)</c:v>
                </c:pt>
              </c:strCache>
            </c:strRef>
          </c:cat>
          <c:val>
            <c:numRef>
              <c:f>'Looked After Children'!$N$250:$N$273</c:f>
              <c:numCache>
                <c:formatCode>0%</c:formatCode>
                <c:ptCount val="24"/>
                <c:pt idx="0">
                  <c:v>0.25362318840579712</c:v>
                </c:pt>
                <c:pt idx="1">
                  <c:v>0.27990430622009571</c:v>
                </c:pt>
                <c:pt idx="2">
                  <c:v>0.25684210526315787</c:v>
                </c:pt>
                <c:pt idx="3">
                  <c:v>0.22719734660033167</c:v>
                </c:pt>
                <c:pt idx="4">
                  <c:v>0.2233375156838143</c:v>
                </c:pt>
                <c:pt idx="5">
                  <c:v>0.17699115044247787</c:v>
                </c:pt>
                <c:pt idx="6">
                  <c:v>0.32826747720364741</c:v>
                </c:pt>
                <c:pt idx="7">
                  <c:v>0.17632850241545894</c:v>
                </c:pt>
                <c:pt idx="8">
                  <c:v>0.1867007672634271</c:v>
                </c:pt>
                <c:pt idx="9">
                  <c:v>0.24963503649635035</c:v>
                </c:pt>
                <c:pt idx="10">
                  <c:v>0.29156626506024097</c:v>
                </c:pt>
                <c:pt idx="11">
                  <c:v>0.18705035971223022</c:v>
                </c:pt>
                <c:pt idx="12">
                  <c:v>0.26699029126213591</c:v>
                </c:pt>
                <c:pt idx="13">
                  <c:v>0.25095785440613028</c:v>
                </c:pt>
                <c:pt idx="14">
                  <c:v>0.15517241379310345</c:v>
                </c:pt>
                <c:pt idx="15">
                  <c:v>0.29525862068965519</c:v>
                </c:pt>
                <c:pt idx="16">
                  <c:v>0.22500000000000001</c:v>
                </c:pt>
                <c:pt idx="17">
                  <c:v>0.17737003058103976</c:v>
                </c:pt>
                <c:pt idx="18">
                  <c:v>0.296875</c:v>
                </c:pt>
                <c:pt idx="19">
                  <c:v>0.28977272727272729</c:v>
                </c:pt>
                <c:pt idx="20">
                  <c:v>0.35106382978723405</c:v>
                </c:pt>
                <c:pt idx="21">
                  <c:v>0.33962264150943394</c:v>
                </c:pt>
                <c:pt idx="22">
                  <c:v>0.25574425574425574</c:v>
                </c:pt>
                <c:pt idx="23">
                  <c:v>0.23448465666712537</c:v>
                </c:pt>
              </c:numCache>
            </c:numRef>
          </c:val>
        </c:ser>
        <c:dLbls>
          <c:showLegendKey val="0"/>
          <c:showVal val="0"/>
          <c:showCatName val="0"/>
          <c:showSerName val="0"/>
          <c:showPercent val="0"/>
          <c:showBubbleSize val="0"/>
        </c:dLbls>
        <c:gapWidth val="50"/>
        <c:overlap val="100"/>
        <c:axId val="252595584"/>
        <c:axId val="252594048"/>
      </c:barChart>
      <c:catAx>
        <c:axId val="252582528"/>
        <c:scaling>
          <c:orientation val="maxMin"/>
        </c:scaling>
        <c:delete val="1"/>
        <c:axPos val="l"/>
        <c:majorGridlines>
          <c:spPr>
            <a:ln>
              <a:noFill/>
              <a:prstDash val="sysDash"/>
            </a:ln>
          </c:spPr>
        </c:majorGridlines>
        <c:numFmt formatCode="General" sourceLinked="1"/>
        <c:majorTickMark val="out"/>
        <c:minorTickMark val="none"/>
        <c:tickLblPos val="nextTo"/>
        <c:crossAx val="252592512"/>
        <c:crosses val="autoZero"/>
        <c:auto val="1"/>
        <c:lblAlgn val="ctr"/>
        <c:lblOffset val="100"/>
        <c:noMultiLvlLbl val="0"/>
      </c:catAx>
      <c:valAx>
        <c:axId val="252592512"/>
        <c:scaling>
          <c:orientation val="minMax"/>
          <c:max val="1"/>
        </c:scaling>
        <c:delete val="0"/>
        <c:axPos val="b"/>
        <c:majorGridlines>
          <c:spPr>
            <a:ln>
              <a:prstDash val="sysDash"/>
            </a:ln>
          </c:spPr>
        </c:majorGridlines>
        <c:numFmt formatCode="0%" sourceLinked="1"/>
        <c:majorTickMark val="out"/>
        <c:minorTickMark val="none"/>
        <c:tickLblPos val="nextTo"/>
        <c:txPr>
          <a:bodyPr rot="5400000" vert="horz"/>
          <a:lstStyle/>
          <a:p>
            <a:pPr>
              <a:defRPr sz="800" b="0">
                <a:latin typeface="Arial" panose="020B0604020202020204" pitchFamily="34" charset="0"/>
                <a:cs typeface="Arial" panose="020B0604020202020204" pitchFamily="34" charset="0"/>
              </a:defRPr>
            </a:pPr>
            <a:endParaRPr lang="en-US"/>
          </a:p>
        </c:txPr>
        <c:crossAx val="252582528"/>
        <c:crosses val="max"/>
        <c:crossBetween val="between"/>
        <c:majorUnit val="0.2"/>
      </c:valAx>
      <c:valAx>
        <c:axId val="252594048"/>
        <c:scaling>
          <c:orientation val="minMax"/>
        </c:scaling>
        <c:delete val="1"/>
        <c:axPos val="b"/>
        <c:numFmt formatCode="0%" sourceLinked="1"/>
        <c:majorTickMark val="out"/>
        <c:minorTickMark val="none"/>
        <c:tickLblPos val="nextTo"/>
        <c:crossAx val="252595584"/>
        <c:crosses val="max"/>
        <c:crossBetween val="between"/>
      </c:valAx>
      <c:catAx>
        <c:axId val="252595584"/>
        <c:scaling>
          <c:orientation val="maxMin"/>
        </c:scaling>
        <c:delete val="1"/>
        <c:axPos val="r"/>
        <c:majorGridlines/>
        <c:majorTickMark val="out"/>
        <c:minorTickMark val="none"/>
        <c:tickLblPos val="nextTo"/>
        <c:crossAx val="252594048"/>
        <c:crosses val="max"/>
        <c:auto val="1"/>
        <c:lblAlgn val="ctr"/>
        <c:lblOffset val="100"/>
        <c:noMultiLvlLbl val="0"/>
      </c:catAx>
      <c:spPr>
        <a:noFill/>
        <a:ln w="3175">
          <a:solidFill>
            <a:schemeClr val="tx1">
              <a:lumMod val="50000"/>
              <a:lumOff val="50000"/>
            </a:schemeClr>
          </a:solidFill>
          <a:prstDash val="solid"/>
        </a:ln>
      </c:spPr>
    </c:plotArea>
    <c:legend>
      <c:legendPos val="t"/>
      <c:layout>
        <c:manualLayout>
          <c:xMode val="edge"/>
          <c:yMode val="edge"/>
          <c:x val="0"/>
          <c:y val="0.89797681539807528"/>
          <c:w val="1"/>
          <c:h val="0.10202318460192476"/>
        </c:manualLayout>
      </c:layout>
      <c:overlay val="0"/>
      <c:spPr>
        <a:ln>
          <a:noFill/>
        </a:ln>
      </c:spPr>
      <c:txPr>
        <a:bodyPr/>
        <a:lstStyle/>
        <a:p>
          <a:pPr>
            <a:defRPr sz="900" b="0" i="0" u="none" strike="noStrike" baseline="0">
              <a:solidFill>
                <a:srgbClr val="000000"/>
              </a:solidFill>
              <a:latin typeface="Arial"/>
              <a:ea typeface="Arial"/>
              <a:cs typeface="Arial"/>
            </a:defRPr>
          </a:pPr>
          <a:endParaRPr lang="en-US"/>
        </a:p>
      </c:txPr>
    </c:legend>
    <c:plotVisOnly val="0"/>
    <c:dispBlanksAs val="zero"/>
    <c:showDLblsOverMax val="0"/>
  </c:chart>
  <c:spPr>
    <a:solidFill>
      <a:schemeClr val="bg1"/>
    </a:solidFill>
    <a:ln w="3175">
      <a:solidFill>
        <a:schemeClr val="tx1">
          <a:lumMod val="50000"/>
          <a:lumOff val="50000"/>
        </a:schemeClr>
      </a:solidFill>
      <a:prstDash val="solid"/>
    </a:ln>
  </c:spPr>
  <c:printSettings>
    <c:headerFooter alignWithMargins="0"/>
    <c:pageMargins b="1" l="0.750000000000004" r="0.750000000000004" t="1" header="0.5" footer="0.5"/>
    <c:pageSetup orientation="portrait"/>
  </c:printSettings>
</c:chartSpace>
</file>

<file path=xl/charts/chart8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Under 1</a:t>
            </a:r>
          </a:p>
        </c:rich>
      </c:tx>
      <c:layout>
        <c:manualLayout>
          <c:xMode val="edge"/>
          <c:yMode val="edge"/>
          <c:x val="0.25363534648193381"/>
          <c:y val="0"/>
        </c:manualLayout>
      </c:layout>
      <c:overlay val="1"/>
    </c:title>
    <c:autoTitleDeleted val="0"/>
    <c:plotArea>
      <c:layout>
        <c:manualLayout>
          <c:layoutTarget val="inner"/>
          <c:xMode val="edge"/>
          <c:yMode val="edge"/>
          <c:x val="7.4722072135237141E-2"/>
          <c:y val="3.0402416679047195E-2"/>
          <c:w val="0.85055585572952574"/>
          <c:h val="0.90653810726489381"/>
        </c:manualLayout>
      </c:layout>
      <c:barChart>
        <c:barDir val="bar"/>
        <c:grouping val="stacked"/>
        <c:varyColors val="0"/>
        <c:ser>
          <c:idx val="1"/>
          <c:order val="1"/>
          <c:tx>
            <c:strRef>
              <c:f>'Looked After Children'!$Z$4</c:f>
              <c:strCache>
                <c:ptCount val="1"/>
                <c:pt idx="0">
                  <c:v>Selected LA- (none)</c:v>
                </c:pt>
              </c:strCache>
            </c:strRef>
          </c:tx>
          <c:spPr>
            <a:solidFill>
              <a:srgbClr val="66FF99"/>
            </a:solidFill>
            <a:ln w="12700">
              <a:solidFill>
                <a:srgbClr val="808080"/>
              </a:solidFill>
              <a:prstDash val="solid"/>
            </a:ln>
          </c:spPr>
          <c:invertIfNegative val="0"/>
          <c:cat>
            <c:strRef>
              <c:f>'Looked After Children'!$B$285:$B$308</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Children'!$AD$285:$AD$308</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0"/>
        <c:overlap val="100"/>
        <c:axId val="252633088"/>
        <c:axId val="252634624"/>
      </c:barChart>
      <c:barChart>
        <c:barDir val="bar"/>
        <c:grouping val="clustered"/>
        <c:varyColors val="0"/>
        <c:ser>
          <c:idx val="0"/>
          <c:order val="0"/>
          <c:tx>
            <c:strRef>
              <c:f>'Looked After Children'!$D$284</c:f>
              <c:strCache>
                <c:ptCount val="1"/>
                <c:pt idx="0">
                  <c:v>Under 1</c:v>
                </c:pt>
              </c:strCache>
            </c:strRef>
          </c:tx>
          <c:spPr>
            <a:solidFill>
              <a:srgbClr val="BC3E7D"/>
            </a:solidFill>
            <a:ln w="12700">
              <a:solidFill>
                <a:srgbClr val="000000"/>
              </a:solidFill>
              <a:prstDash val="solid"/>
            </a:ln>
          </c:spPr>
          <c:invertIfNegative val="0"/>
          <c:cat>
            <c:strRef>
              <c:f>'Looked After Children'!$B$285:$B$308</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Children'!$D$285:$D$308</c:f>
              <c:numCache>
                <c:formatCode>0.0</c:formatCode>
                <c:ptCount val="24"/>
                <c:pt idx="0">
                  <c:v>50.835148874364556</c:v>
                </c:pt>
                <c:pt idx="1">
                  <c:v>83.636363636363626</c:v>
                </c:pt>
                <c:pt idx="2">
                  <c:v>33.74957813027337</c:v>
                </c:pt>
                <c:pt idx="3">
                  <c:v>71.160308361336234</c:v>
                </c:pt>
                <c:pt idx="4">
                  <c:v>47.727596523721324</c:v>
                </c:pt>
                <c:pt idx="5">
                  <c:v>74.380165289256198</c:v>
                </c:pt>
                <c:pt idx="6">
                  <c:v>36.693039789015018</c:v>
                </c:pt>
                <c:pt idx="7">
                  <c:v>79.452054794520549</c:v>
                </c:pt>
                <c:pt idx="8">
                  <c:v>64.013359309769001</c:v>
                </c:pt>
                <c:pt idx="9">
                  <c:v>47.878707274903576</c:v>
                </c:pt>
                <c:pt idx="10">
                  <c:v>64.542154094392899</c:v>
                </c:pt>
                <c:pt idx="11">
                  <c:v>85.331166192604627</c:v>
                </c:pt>
                <c:pt idx="12">
                  <c:v>46.929996089166991</c:v>
                </c:pt>
                <c:pt idx="13">
                  <c:v>69.648093841642222</c:v>
                </c:pt>
                <c:pt idx="14">
                  <c:v>127.06480304955527</c:v>
                </c:pt>
                <c:pt idx="15">
                  <c:v>34.275268489603164</c:v>
                </c:pt>
                <c:pt idx="16">
                  <c:v>73.452256033578166</c:v>
                </c:pt>
                <c:pt idx="17">
                  <c:v>219.19879062736206</c:v>
                </c:pt>
                <c:pt idx="18">
                  <c:v>0</c:v>
                </c:pt>
                <c:pt idx="19">
                  <c:v>48.958214733006947</c:v>
                </c:pt>
                <c:pt idx="20">
                  <c:v>0</c:v>
                </c:pt>
                <c:pt idx="21">
                  <c:v>39.392234102419806</c:v>
                </c:pt>
                <c:pt idx="22">
                  <c:v>49.866855495826144</c:v>
                </c:pt>
                <c:pt idx="23">
                  <c:v>58.457427842568947</c:v>
                </c:pt>
              </c:numCache>
            </c:numRef>
          </c:val>
        </c:ser>
        <c:dLbls>
          <c:showLegendKey val="0"/>
          <c:showVal val="0"/>
          <c:showCatName val="0"/>
          <c:showSerName val="0"/>
          <c:showPercent val="0"/>
          <c:showBubbleSize val="0"/>
        </c:dLbls>
        <c:gapWidth val="40"/>
        <c:axId val="252636160"/>
        <c:axId val="252650240"/>
      </c:barChart>
      <c:catAx>
        <c:axId val="252633088"/>
        <c:scaling>
          <c:orientation val="maxMin"/>
        </c:scaling>
        <c:delete val="1"/>
        <c:axPos val="l"/>
        <c:majorGridlines/>
        <c:majorTickMark val="out"/>
        <c:minorTickMark val="none"/>
        <c:tickLblPos val="nextTo"/>
        <c:crossAx val="252634624"/>
        <c:crosses val="autoZero"/>
        <c:auto val="1"/>
        <c:lblAlgn val="ctr"/>
        <c:lblOffset val="100"/>
        <c:noMultiLvlLbl val="0"/>
      </c:catAx>
      <c:valAx>
        <c:axId val="252634624"/>
        <c:scaling>
          <c:orientation val="minMax"/>
          <c:max val="15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252633088"/>
        <c:crosses val="max"/>
        <c:crossBetween val="between"/>
      </c:valAx>
      <c:catAx>
        <c:axId val="252636160"/>
        <c:scaling>
          <c:orientation val="maxMin"/>
        </c:scaling>
        <c:delete val="1"/>
        <c:axPos val="l"/>
        <c:majorTickMark val="out"/>
        <c:minorTickMark val="none"/>
        <c:tickLblPos val="nextTo"/>
        <c:crossAx val="252650240"/>
        <c:crosses val="autoZero"/>
        <c:auto val="1"/>
        <c:lblAlgn val="ctr"/>
        <c:lblOffset val="100"/>
        <c:noMultiLvlLbl val="0"/>
      </c:catAx>
      <c:valAx>
        <c:axId val="252650240"/>
        <c:scaling>
          <c:orientation val="minMax"/>
        </c:scaling>
        <c:delete val="1"/>
        <c:axPos val="t"/>
        <c:numFmt formatCode="0.0" sourceLinked="1"/>
        <c:majorTickMark val="out"/>
        <c:minorTickMark val="none"/>
        <c:tickLblPos val="nextTo"/>
        <c:crossAx val="252636160"/>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8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1-4</a:t>
            </a:r>
          </a:p>
        </c:rich>
      </c:tx>
      <c:layout>
        <c:manualLayout>
          <c:xMode val="edge"/>
          <c:yMode val="edge"/>
          <c:x val="0.38249214489337674"/>
          <c:y val="0"/>
        </c:manualLayout>
      </c:layout>
      <c:overlay val="1"/>
    </c:title>
    <c:autoTitleDeleted val="0"/>
    <c:plotArea>
      <c:layout>
        <c:manualLayout>
          <c:layoutTarget val="inner"/>
          <c:xMode val="edge"/>
          <c:yMode val="edge"/>
          <c:x val="6.3291139240506333E-2"/>
          <c:y val="3.107136136284851E-2"/>
          <c:w val="0.85337539650698635"/>
          <c:h val="0.90354974496112517"/>
        </c:manualLayout>
      </c:layout>
      <c:barChart>
        <c:barDir val="bar"/>
        <c:grouping val="stacked"/>
        <c:varyColors val="0"/>
        <c:ser>
          <c:idx val="1"/>
          <c:order val="1"/>
          <c:tx>
            <c:strRef>
              <c:f>'Looked After Children'!$Z$4</c:f>
              <c:strCache>
                <c:ptCount val="1"/>
                <c:pt idx="0">
                  <c:v>Selected LA- (none)</c:v>
                </c:pt>
              </c:strCache>
            </c:strRef>
          </c:tx>
          <c:spPr>
            <a:solidFill>
              <a:srgbClr val="66FF99"/>
            </a:solidFill>
            <a:ln w="12700">
              <a:solidFill>
                <a:srgbClr val="808080"/>
              </a:solidFill>
              <a:prstDash val="solid"/>
            </a:ln>
          </c:spPr>
          <c:invertIfNegative val="0"/>
          <c:cat>
            <c:strRef>
              <c:f>'Looked After Children'!$X$285:$X$308</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Children'!$AE$285:$AE$308</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0"/>
        <c:overlap val="100"/>
        <c:axId val="252684544"/>
        <c:axId val="252686336"/>
      </c:barChart>
      <c:barChart>
        <c:barDir val="bar"/>
        <c:grouping val="clustered"/>
        <c:varyColors val="0"/>
        <c:ser>
          <c:idx val="0"/>
          <c:order val="0"/>
          <c:tx>
            <c:strRef>
              <c:f>'Looked After Children'!$E$284</c:f>
              <c:strCache>
                <c:ptCount val="1"/>
                <c:pt idx="0">
                  <c:v>      1 - 4    </c:v>
                </c:pt>
              </c:strCache>
            </c:strRef>
          </c:tx>
          <c:spPr>
            <a:solidFill>
              <a:srgbClr val="FB994F"/>
            </a:solidFill>
            <a:ln w="12700">
              <a:solidFill>
                <a:srgbClr val="000000"/>
              </a:solidFill>
              <a:prstDash val="solid"/>
            </a:ln>
          </c:spPr>
          <c:invertIfNegative val="0"/>
          <c:cat>
            <c:strRef>
              <c:f>'Looked After Children'!$X$285:$X$308</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Children'!$E$285:$E$308</c:f>
              <c:numCache>
                <c:formatCode>0.0</c:formatCode>
                <c:ptCount val="24"/>
                <c:pt idx="0">
                  <c:v>19.743336623889437</c:v>
                </c:pt>
                <c:pt idx="1">
                  <c:v>43.836577240049095</c:v>
                </c:pt>
                <c:pt idx="2">
                  <c:v>19.487333233398292</c:v>
                </c:pt>
                <c:pt idx="3">
                  <c:v>36.551662654898813</c:v>
                </c:pt>
                <c:pt idx="4">
                  <c:v>34.566138167183269</c:v>
                </c:pt>
                <c:pt idx="5">
                  <c:v>53.673884878771048</c:v>
                </c:pt>
                <c:pt idx="6">
                  <c:v>15.143934989250509</c:v>
                </c:pt>
                <c:pt idx="7">
                  <c:v>38.213998390989538</c:v>
                </c:pt>
                <c:pt idx="8">
                  <c:v>34.852037259996202</c:v>
                </c:pt>
                <c:pt idx="9">
                  <c:v>23.42651881930345</c:v>
                </c:pt>
                <c:pt idx="10">
                  <c:v>44.14803682134135</c:v>
                </c:pt>
                <c:pt idx="11">
                  <c:v>46.526054590570716</c:v>
                </c:pt>
                <c:pt idx="12">
                  <c:v>24.847094801223243</c:v>
                </c:pt>
                <c:pt idx="13">
                  <c:v>21.876314682372737</c:v>
                </c:pt>
                <c:pt idx="14">
                  <c:v>49.674014281279106</c:v>
                </c:pt>
                <c:pt idx="15">
                  <c:v>13.819073776580124</c:v>
                </c:pt>
                <c:pt idx="16">
                  <c:v>51.213164301905799</c:v>
                </c:pt>
                <c:pt idx="17">
                  <c:v>68.317677198975232</c:v>
                </c:pt>
                <c:pt idx="18">
                  <c:v>0</c:v>
                </c:pt>
                <c:pt idx="19">
                  <c:v>21.608393428965663</c:v>
                </c:pt>
                <c:pt idx="20">
                  <c:v>0</c:v>
                </c:pt>
                <c:pt idx="21">
                  <c:v>12.233912405187178</c:v>
                </c:pt>
                <c:pt idx="22">
                  <c:v>25.868679496299855</c:v>
                </c:pt>
                <c:pt idx="23">
                  <c:v>33.571814027526692</c:v>
                </c:pt>
              </c:numCache>
            </c:numRef>
          </c:val>
        </c:ser>
        <c:dLbls>
          <c:showLegendKey val="0"/>
          <c:showVal val="0"/>
          <c:showCatName val="0"/>
          <c:showSerName val="0"/>
          <c:showPercent val="0"/>
          <c:showBubbleSize val="0"/>
        </c:dLbls>
        <c:gapWidth val="40"/>
        <c:axId val="252687872"/>
        <c:axId val="252689408"/>
      </c:barChart>
      <c:catAx>
        <c:axId val="252684544"/>
        <c:scaling>
          <c:orientation val="maxMin"/>
        </c:scaling>
        <c:delete val="1"/>
        <c:axPos val="l"/>
        <c:majorGridlines/>
        <c:majorTickMark val="out"/>
        <c:minorTickMark val="none"/>
        <c:tickLblPos val="nextTo"/>
        <c:crossAx val="252686336"/>
        <c:crosses val="autoZero"/>
        <c:auto val="1"/>
        <c:lblAlgn val="ctr"/>
        <c:lblOffset val="100"/>
        <c:noMultiLvlLbl val="0"/>
      </c:catAx>
      <c:valAx>
        <c:axId val="252686336"/>
        <c:scaling>
          <c:orientation val="minMax"/>
          <c:max val="10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252684544"/>
        <c:crosses val="max"/>
        <c:crossBetween val="between"/>
      </c:valAx>
      <c:catAx>
        <c:axId val="252687872"/>
        <c:scaling>
          <c:orientation val="maxMin"/>
        </c:scaling>
        <c:delete val="1"/>
        <c:axPos val="l"/>
        <c:majorTickMark val="out"/>
        <c:minorTickMark val="none"/>
        <c:tickLblPos val="nextTo"/>
        <c:crossAx val="252689408"/>
        <c:crosses val="autoZero"/>
        <c:auto val="1"/>
        <c:lblAlgn val="ctr"/>
        <c:lblOffset val="100"/>
        <c:noMultiLvlLbl val="0"/>
      </c:catAx>
      <c:valAx>
        <c:axId val="252689408"/>
        <c:scaling>
          <c:orientation val="minMax"/>
        </c:scaling>
        <c:delete val="1"/>
        <c:axPos val="t"/>
        <c:numFmt formatCode="0.0" sourceLinked="1"/>
        <c:majorTickMark val="out"/>
        <c:minorTickMark val="none"/>
        <c:tickLblPos val="nextTo"/>
        <c:crossAx val="252687872"/>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8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5-9</a:t>
            </a:r>
          </a:p>
        </c:rich>
      </c:tx>
      <c:layout>
        <c:manualLayout>
          <c:xMode val="edge"/>
          <c:yMode val="edge"/>
          <c:x val="0.40666873150381211"/>
          <c:y val="0"/>
        </c:manualLayout>
      </c:layout>
      <c:overlay val="1"/>
    </c:title>
    <c:autoTitleDeleted val="0"/>
    <c:plotArea>
      <c:layout>
        <c:manualLayout>
          <c:layoutTarget val="inner"/>
          <c:xMode val="edge"/>
          <c:yMode val="edge"/>
          <c:x val="6.3291139240506333E-2"/>
          <c:y val="3.1071367517727433E-2"/>
          <c:w val="0.85609092334103243"/>
          <c:h val="0.90354972585544013"/>
        </c:manualLayout>
      </c:layout>
      <c:barChart>
        <c:barDir val="bar"/>
        <c:grouping val="stacked"/>
        <c:varyColors val="0"/>
        <c:ser>
          <c:idx val="1"/>
          <c:order val="1"/>
          <c:tx>
            <c:strRef>
              <c:f>'Looked After Children'!$Z$4</c:f>
              <c:strCache>
                <c:ptCount val="1"/>
                <c:pt idx="0">
                  <c:v>Selected LA- (none)</c:v>
                </c:pt>
              </c:strCache>
            </c:strRef>
          </c:tx>
          <c:spPr>
            <a:solidFill>
              <a:srgbClr val="66FF99"/>
            </a:solidFill>
            <a:ln w="12700">
              <a:solidFill>
                <a:srgbClr val="808080"/>
              </a:solidFill>
              <a:prstDash val="solid"/>
            </a:ln>
          </c:spPr>
          <c:invertIfNegative val="0"/>
          <c:cat>
            <c:strRef>
              <c:f>'Looked After Children'!$X$285:$X$308</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Children'!$AF$285:$AF$308</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0"/>
        <c:overlap val="100"/>
        <c:axId val="252781312"/>
        <c:axId val="252782848"/>
      </c:barChart>
      <c:barChart>
        <c:barDir val="bar"/>
        <c:grouping val="clustered"/>
        <c:varyColors val="0"/>
        <c:ser>
          <c:idx val="0"/>
          <c:order val="0"/>
          <c:tx>
            <c:strRef>
              <c:f>'Looked After Children'!$F$284</c:f>
              <c:strCache>
                <c:ptCount val="1"/>
                <c:pt idx="0">
                  <c:v>      5 - 9    </c:v>
                </c:pt>
              </c:strCache>
            </c:strRef>
          </c:tx>
          <c:spPr>
            <a:solidFill>
              <a:srgbClr val="9999FF"/>
            </a:solidFill>
            <a:ln w="12700">
              <a:solidFill>
                <a:srgbClr val="000000"/>
              </a:solidFill>
              <a:prstDash val="solid"/>
            </a:ln>
          </c:spPr>
          <c:invertIfNegative val="0"/>
          <c:cat>
            <c:strRef>
              <c:f>'Looked After Children'!$B$285:$B$308</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Children'!$F$285:$F$308</c:f>
              <c:numCache>
                <c:formatCode>0.0</c:formatCode>
                <c:ptCount val="24"/>
                <c:pt idx="0">
                  <c:v>23.559901048415597</c:v>
                </c:pt>
                <c:pt idx="1">
                  <c:v>43.278333784149311</c:v>
                </c:pt>
                <c:pt idx="2">
                  <c:v>20.463288859785543</c:v>
                </c:pt>
                <c:pt idx="3">
                  <c:v>38.296913719306147</c:v>
                </c:pt>
                <c:pt idx="4">
                  <c:v>37.881503788150383</c:v>
                </c:pt>
                <c:pt idx="5">
                  <c:v>81.661891117478518</c:v>
                </c:pt>
                <c:pt idx="6">
                  <c:v>24.022623838146302</c:v>
                </c:pt>
                <c:pt idx="7">
                  <c:v>45.141874462596732</c:v>
                </c:pt>
                <c:pt idx="8">
                  <c:v>38.599133873093578</c:v>
                </c:pt>
                <c:pt idx="9">
                  <c:v>27.969726883843368</c:v>
                </c:pt>
                <c:pt idx="10">
                  <c:v>43.969373057387614</c:v>
                </c:pt>
                <c:pt idx="11">
                  <c:v>50.044682752457547</c:v>
                </c:pt>
                <c:pt idx="12">
                  <c:v>31.046258925799442</c:v>
                </c:pt>
                <c:pt idx="13">
                  <c:v>24.462146396537666</c:v>
                </c:pt>
                <c:pt idx="14">
                  <c:v>86.602808030442205</c:v>
                </c:pt>
                <c:pt idx="15">
                  <c:v>19.819054605356293</c:v>
                </c:pt>
                <c:pt idx="16">
                  <c:v>50.653159157557987</c:v>
                </c:pt>
                <c:pt idx="17">
                  <c:v>80.601092896174862</c:v>
                </c:pt>
                <c:pt idx="18">
                  <c:v>22.946744430633903</c:v>
                </c:pt>
                <c:pt idx="19">
                  <c:v>21.011238120939918</c:v>
                </c:pt>
                <c:pt idx="20">
                  <c:v>16.15835184811149</c:v>
                </c:pt>
                <c:pt idx="21">
                  <c:v>11.700793982448809</c:v>
                </c:pt>
                <c:pt idx="22">
                  <c:v>30.84221779803892</c:v>
                </c:pt>
                <c:pt idx="23">
                  <c:v>40.315640009355519</c:v>
                </c:pt>
              </c:numCache>
            </c:numRef>
          </c:val>
        </c:ser>
        <c:dLbls>
          <c:showLegendKey val="0"/>
          <c:showVal val="0"/>
          <c:showCatName val="0"/>
          <c:showSerName val="0"/>
          <c:showPercent val="0"/>
          <c:showBubbleSize val="0"/>
        </c:dLbls>
        <c:gapWidth val="40"/>
        <c:axId val="252796928"/>
        <c:axId val="252798464"/>
      </c:barChart>
      <c:catAx>
        <c:axId val="252781312"/>
        <c:scaling>
          <c:orientation val="maxMin"/>
        </c:scaling>
        <c:delete val="1"/>
        <c:axPos val="l"/>
        <c:majorGridlines/>
        <c:majorTickMark val="out"/>
        <c:minorTickMark val="none"/>
        <c:tickLblPos val="nextTo"/>
        <c:crossAx val="252782848"/>
        <c:crosses val="autoZero"/>
        <c:auto val="1"/>
        <c:lblAlgn val="ctr"/>
        <c:lblOffset val="100"/>
        <c:noMultiLvlLbl val="0"/>
      </c:catAx>
      <c:valAx>
        <c:axId val="252782848"/>
        <c:scaling>
          <c:orientation val="minMax"/>
          <c:max val="10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252781312"/>
        <c:crosses val="max"/>
        <c:crossBetween val="between"/>
      </c:valAx>
      <c:catAx>
        <c:axId val="252796928"/>
        <c:scaling>
          <c:orientation val="maxMin"/>
        </c:scaling>
        <c:delete val="1"/>
        <c:axPos val="l"/>
        <c:majorTickMark val="out"/>
        <c:minorTickMark val="none"/>
        <c:tickLblPos val="nextTo"/>
        <c:crossAx val="252798464"/>
        <c:crosses val="autoZero"/>
        <c:auto val="1"/>
        <c:lblAlgn val="ctr"/>
        <c:lblOffset val="100"/>
        <c:noMultiLvlLbl val="0"/>
      </c:catAx>
      <c:valAx>
        <c:axId val="252798464"/>
        <c:scaling>
          <c:orientation val="minMax"/>
        </c:scaling>
        <c:delete val="1"/>
        <c:axPos val="t"/>
        <c:numFmt formatCode="0.0" sourceLinked="1"/>
        <c:majorTickMark val="out"/>
        <c:minorTickMark val="none"/>
        <c:tickLblPos val="nextTo"/>
        <c:crossAx val="252796928"/>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8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10-15</a:t>
            </a:r>
          </a:p>
        </c:rich>
      </c:tx>
      <c:layout>
        <c:manualLayout>
          <c:xMode val="edge"/>
          <c:yMode val="edge"/>
          <c:x val="0.33220635401345555"/>
          <c:y val="0"/>
        </c:manualLayout>
      </c:layout>
      <c:overlay val="1"/>
    </c:title>
    <c:autoTitleDeleted val="0"/>
    <c:plotArea>
      <c:layout>
        <c:manualLayout>
          <c:layoutTarget val="inner"/>
          <c:xMode val="edge"/>
          <c:yMode val="edge"/>
          <c:x val="6.3291139240506333E-2"/>
          <c:y val="3.107136136284851E-2"/>
          <c:w val="0.84247785232402017"/>
          <c:h val="0.90354974496112517"/>
        </c:manualLayout>
      </c:layout>
      <c:barChart>
        <c:barDir val="bar"/>
        <c:grouping val="stacked"/>
        <c:varyColors val="0"/>
        <c:ser>
          <c:idx val="1"/>
          <c:order val="1"/>
          <c:tx>
            <c:strRef>
              <c:f>'Looked After Children'!$Z$4</c:f>
              <c:strCache>
                <c:ptCount val="1"/>
                <c:pt idx="0">
                  <c:v>Selected LA- (none)</c:v>
                </c:pt>
              </c:strCache>
            </c:strRef>
          </c:tx>
          <c:spPr>
            <a:solidFill>
              <a:srgbClr val="66FF99"/>
            </a:solidFill>
            <a:ln w="12700">
              <a:solidFill>
                <a:srgbClr val="808080"/>
              </a:solidFill>
              <a:prstDash val="solid"/>
            </a:ln>
          </c:spPr>
          <c:invertIfNegative val="0"/>
          <c:cat>
            <c:strRef>
              <c:f>'Looked After Children'!$X$285:$X$308</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Children'!$AG$285:$AG$308</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0"/>
        <c:overlap val="100"/>
        <c:axId val="252832768"/>
        <c:axId val="252846848"/>
      </c:barChart>
      <c:barChart>
        <c:barDir val="bar"/>
        <c:grouping val="clustered"/>
        <c:varyColors val="0"/>
        <c:ser>
          <c:idx val="0"/>
          <c:order val="0"/>
          <c:tx>
            <c:strRef>
              <c:f>'Looked After Children'!$G$284</c:f>
              <c:strCache>
                <c:ptCount val="1"/>
                <c:pt idx="0">
                  <c:v>   10 - 15  </c:v>
                </c:pt>
              </c:strCache>
            </c:strRef>
          </c:tx>
          <c:spPr>
            <a:solidFill>
              <a:srgbClr val="FF99CC"/>
            </a:solidFill>
            <a:ln w="12700">
              <a:solidFill>
                <a:srgbClr val="000000"/>
              </a:solidFill>
              <a:prstDash val="solid"/>
            </a:ln>
          </c:spPr>
          <c:invertIfNegative val="0"/>
          <c:cat>
            <c:strRef>
              <c:f>'Looked After Children'!$X$285:$X$308</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Children'!$G$285:$G$308</c:f>
              <c:numCache>
                <c:formatCode>0.0</c:formatCode>
                <c:ptCount val="24"/>
                <c:pt idx="0">
                  <c:v>71.476435112798754</c:v>
                </c:pt>
                <c:pt idx="1">
                  <c:v>99.774898095759568</c:v>
                </c:pt>
                <c:pt idx="2">
                  <c:v>50.722675005540097</c:v>
                </c:pt>
                <c:pt idx="3">
                  <c:v>64.619899542863593</c:v>
                </c:pt>
                <c:pt idx="4">
                  <c:v>68.962549355022645</c:v>
                </c:pt>
                <c:pt idx="5">
                  <c:v>108.29465667023683</c:v>
                </c:pt>
                <c:pt idx="6">
                  <c:v>62.990405796573754</c:v>
                </c:pt>
                <c:pt idx="7">
                  <c:v>85.066162570888466</c:v>
                </c:pt>
                <c:pt idx="8">
                  <c:v>76.225395600154386</c:v>
                </c:pt>
                <c:pt idx="9">
                  <c:v>61.52113164222429</c:v>
                </c:pt>
                <c:pt idx="10">
                  <c:v>127.15913267181185</c:v>
                </c:pt>
                <c:pt idx="11">
                  <c:v>99.531055603407026</c:v>
                </c:pt>
                <c:pt idx="12">
                  <c:v>57.757733997942879</c:v>
                </c:pt>
                <c:pt idx="13">
                  <c:v>61.198166799308439</c:v>
                </c:pt>
                <c:pt idx="14">
                  <c:v>142.09468357939974</c:v>
                </c:pt>
                <c:pt idx="15">
                  <c:v>44.633292865814475</c:v>
                </c:pt>
                <c:pt idx="16">
                  <c:v>79.71539627116411</c:v>
                </c:pt>
                <c:pt idx="17">
                  <c:v>172.32950378880469</c:v>
                </c:pt>
                <c:pt idx="18">
                  <c:v>55.202408832385416</c:v>
                </c:pt>
                <c:pt idx="19">
                  <c:v>47.406082289803223</c:v>
                </c:pt>
                <c:pt idx="20">
                  <c:v>38.340291386214531</c:v>
                </c:pt>
                <c:pt idx="21">
                  <c:v>30.461610560024994</c:v>
                </c:pt>
                <c:pt idx="22">
                  <c:v>64.574866186527288</c:v>
                </c:pt>
                <c:pt idx="23">
                  <c:v>75.99229319924892</c:v>
                </c:pt>
              </c:numCache>
            </c:numRef>
          </c:val>
        </c:ser>
        <c:dLbls>
          <c:showLegendKey val="0"/>
          <c:showVal val="0"/>
          <c:showCatName val="0"/>
          <c:showSerName val="0"/>
          <c:showPercent val="0"/>
          <c:showBubbleSize val="0"/>
        </c:dLbls>
        <c:gapWidth val="40"/>
        <c:axId val="252848384"/>
        <c:axId val="252850176"/>
      </c:barChart>
      <c:catAx>
        <c:axId val="252832768"/>
        <c:scaling>
          <c:orientation val="maxMin"/>
        </c:scaling>
        <c:delete val="1"/>
        <c:axPos val="l"/>
        <c:majorGridlines/>
        <c:majorTickMark val="out"/>
        <c:minorTickMark val="none"/>
        <c:tickLblPos val="nextTo"/>
        <c:crossAx val="252846848"/>
        <c:crosses val="autoZero"/>
        <c:auto val="1"/>
        <c:lblAlgn val="ctr"/>
        <c:lblOffset val="100"/>
        <c:noMultiLvlLbl val="0"/>
      </c:catAx>
      <c:valAx>
        <c:axId val="252846848"/>
        <c:scaling>
          <c:orientation val="minMax"/>
          <c:max val="20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252832768"/>
        <c:crosses val="max"/>
        <c:crossBetween val="between"/>
      </c:valAx>
      <c:catAx>
        <c:axId val="252848384"/>
        <c:scaling>
          <c:orientation val="maxMin"/>
        </c:scaling>
        <c:delete val="1"/>
        <c:axPos val="l"/>
        <c:majorTickMark val="out"/>
        <c:minorTickMark val="none"/>
        <c:tickLblPos val="nextTo"/>
        <c:crossAx val="252850176"/>
        <c:crosses val="autoZero"/>
        <c:auto val="1"/>
        <c:lblAlgn val="ctr"/>
        <c:lblOffset val="100"/>
        <c:noMultiLvlLbl val="0"/>
      </c:catAx>
      <c:valAx>
        <c:axId val="252850176"/>
        <c:scaling>
          <c:orientation val="minMax"/>
        </c:scaling>
        <c:delete val="1"/>
        <c:axPos val="t"/>
        <c:numFmt formatCode="0.0" sourceLinked="1"/>
        <c:majorTickMark val="out"/>
        <c:minorTickMark val="none"/>
        <c:tickLblPos val="nextTo"/>
        <c:crossAx val="252848384"/>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8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16-17</a:t>
            </a:r>
          </a:p>
        </c:rich>
      </c:tx>
      <c:layout>
        <c:manualLayout>
          <c:xMode val="edge"/>
          <c:yMode val="edge"/>
          <c:x val="0.33207819044530873"/>
          <c:y val="0"/>
        </c:manualLayout>
      </c:layout>
      <c:overlay val="1"/>
    </c:title>
    <c:autoTitleDeleted val="0"/>
    <c:plotArea>
      <c:layout>
        <c:manualLayout>
          <c:layoutTarget val="inner"/>
          <c:xMode val="edge"/>
          <c:yMode val="edge"/>
          <c:x val="6.3291139240506333E-2"/>
          <c:y val="3.0852875917966805E-2"/>
          <c:w val="0.8524475409375778"/>
          <c:h val="0.90624155028803055"/>
        </c:manualLayout>
      </c:layout>
      <c:barChart>
        <c:barDir val="bar"/>
        <c:grouping val="stacked"/>
        <c:varyColors val="0"/>
        <c:ser>
          <c:idx val="1"/>
          <c:order val="1"/>
          <c:tx>
            <c:strRef>
              <c:f>'Looked After Children'!$Z$4</c:f>
              <c:strCache>
                <c:ptCount val="1"/>
                <c:pt idx="0">
                  <c:v>Selected LA- (none)</c:v>
                </c:pt>
              </c:strCache>
            </c:strRef>
          </c:tx>
          <c:spPr>
            <a:solidFill>
              <a:srgbClr val="66FF99"/>
            </a:solidFill>
            <a:ln w="12700">
              <a:solidFill>
                <a:srgbClr val="808080"/>
              </a:solidFill>
              <a:prstDash val="solid"/>
            </a:ln>
          </c:spPr>
          <c:invertIfNegative val="0"/>
          <c:cat>
            <c:strRef>
              <c:f>'Looked After Children'!$X$285:$X$308</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Children'!$AH$285:$AH$308</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0"/>
        <c:overlap val="100"/>
        <c:axId val="252868096"/>
        <c:axId val="252869632"/>
      </c:barChart>
      <c:barChart>
        <c:barDir val="bar"/>
        <c:grouping val="clustered"/>
        <c:varyColors val="0"/>
        <c:ser>
          <c:idx val="0"/>
          <c:order val="0"/>
          <c:tx>
            <c:strRef>
              <c:f>'Looked After Children'!$H$284</c:f>
              <c:strCache>
                <c:ptCount val="1"/>
                <c:pt idx="0">
                  <c:v>16-17</c:v>
                </c:pt>
              </c:strCache>
            </c:strRef>
          </c:tx>
          <c:spPr>
            <a:solidFill>
              <a:srgbClr val="9B4719"/>
            </a:solidFill>
            <a:ln w="12700">
              <a:solidFill>
                <a:srgbClr val="000000"/>
              </a:solidFill>
              <a:prstDash val="solid"/>
            </a:ln>
          </c:spPr>
          <c:invertIfNegative val="0"/>
          <c:cat>
            <c:strRef>
              <c:f>'Looked After Children'!$X$285:$X$308</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Children'!$H$285:$H$308</c:f>
              <c:numCache>
                <c:formatCode>0.0</c:formatCode>
                <c:ptCount val="24"/>
                <c:pt idx="0">
                  <c:v>110.30570438071227</c:v>
                </c:pt>
                <c:pt idx="1">
                  <c:v>208.92857142857144</c:v>
                </c:pt>
                <c:pt idx="2">
                  <c:v>92.41724111809711</c:v>
                </c:pt>
                <c:pt idx="3">
                  <c:v>113.77792542147662</c:v>
                </c:pt>
                <c:pt idx="4">
                  <c:v>114.74987106756059</c:v>
                </c:pt>
                <c:pt idx="5">
                  <c:v>130.76168682576005</c:v>
                </c:pt>
                <c:pt idx="6">
                  <c:v>149.2702344095533</c:v>
                </c:pt>
                <c:pt idx="7">
                  <c:v>109.49452527373631</c:v>
                </c:pt>
                <c:pt idx="8">
                  <c:v>115.85462624980163</c:v>
                </c:pt>
                <c:pt idx="9">
                  <c:v>112.49259917110716</c:v>
                </c:pt>
                <c:pt idx="10">
                  <c:v>283.30601732615315</c:v>
                </c:pt>
                <c:pt idx="11">
                  <c:v>156.57934357121349</c:v>
                </c:pt>
                <c:pt idx="12">
                  <c:v>151.26512651265128</c:v>
                </c:pt>
                <c:pt idx="13">
                  <c:v>104.52405649086411</c:v>
                </c:pt>
                <c:pt idx="14">
                  <c:v>175.93397046046917</c:v>
                </c:pt>
                <c:pt idx="15">
                  <c:v>99.405021041938767</c:v>
                </c:pt>
                <c:pt idx="16">
                  <c:v>162.94508147254072</c:v>
                </c:pt>
                <c:pt idx="17">
                  <c:v>211.91085129704055</c:v>
                </c:pt>
                <c:pt idx="18">
                  <c:v>89.834515366430267</c:v>
                </c:pt>
                <c:pt idx="19">
                  <c:v>111.41452758055708</c:v>
                </c:pt>
                <c:pt idx="20">
                  <c:v>83.123425692695207</c:v>
                </c:pt>
                <c:pt idx="21">
                  <c:v>90.384132563394431</c:v>
                </c:pt>
                <c:pt idx="22">
                  <c:v>124.07188414787818</c:v>
                </c:pt>
                <c:pt idx="23">
                  <c:v>138.65088780506858</c:v>
                </c:pt>
              </c:numCache>
            </c:numRef>
          </c:val>
        </c:ser>
        <c:dLbls>
          <c:showLegendKey val="0"/>
          <c:showVal val="0"/>
          <c:showCatName val="0"/>
          <c:showSerName val="0"/>
          <c:showPercent val="0"/>
          <c:showBubbleSize val="0"/>
        </c:dLbls>
        <c:gapWidth val="40"/>
        <c:axId val="252879616"/>
        <c:axId val="252881152"/>
      </c:barChart>
      <c:catAx>
        <c:axId val="252868096"/>
        <c:scaling>
          <c:orientation val="maxMin"/>
        </c:scaling>
        <c:delete val="1"/>
        <c:axPos val="l"/>
        <c:majorGridlines/>
        <c:majorTickMark val="out"/>
        <c:minorTickMark val="none"/>
        <c:tickLblPos val="nextTo"/>
        <c:crossAx val="252869632"/>
        <c:crosses val="autoZero"/>
        <c:auto val="1"/>
        <c:lblAlgn val="ctr"/>
        <c:lblOffset val="100"/>
        <c:noMultiLvlLbl val="0"/>
      </c:catAx>
      <c:valAx>
        <c:axId val="252869632"/>
        <c:scaling>
          <c:orientation val="minMax"/>
          <c:max val="25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252868096"/>
        <c:crosses val="max"/>
        <c:crossBetween val="between"/>
      </c:valAx>
      <c:catAx>
        <c:axId val="252879616"/>
        <c:scaling>
          <c:orientation val="maxMin"/>
        </c:scaling>
        <c:delete val="1"/>
        <c:axPos val="l"/>
        <c:majorTickMark val="out"/>
        <c:minorTickMark val="none"/>
        <c:tickLblPos val="nextTo"/>
        <c:crossAx val="252881152"/>
        <c:crosses val="autoZero"/>
        <c:auto val="1"/>
        <c:lblAlgn val="ctr"/>
        <c:lblOffset val="100"/>
        <c:noMultiLvlLbl val="0"/>
      </c:catAx>
      <c:valAx>
        <c:axId val="252881152"/>
        <c:scaling>
          <c:orientation val="minMax"/>
        </c:scaling>
        <c:delete val="1"/>
        <c:axPos val="t"/>
        <c:numFmt formatCode="0.0" sourceLinked="1"/>
        <c:majorTickMark val="out"/>
        <c:minorTickMark val="none"/>
        <c:tickLblPos val="nextTo"/>
        <c:crossAx val="252879616"/>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8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CPP who were UASC</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'Looked After Children'!$Z$4</c:f>
              <c:strCache>
                <c:ptCount val="1"/>
                <c:pt idx="0">
                  <c:v>Selected LA- (none)</c:v>
                </c:pt>
              </c:strCache>
            </c:strRef>
          </c:tx>
          <c:spPr>
            <a:solidFill>
              <a:srgbClr val="66FF99"/>
            </a:solidFill>
            <a:ln>
              <a:solidFill>
                <a:schemeClr val="tx1">
                  <a:lumMod val="75000"/>
                  <a:lumOff val="25000"/>
                </a:schemeClr>
              </a:solidFill>
            </a:ln>
          </c:spPr>
          <c:invertIfNegative val="0"/>
          <c:cat>
            <c:numRef>
              <c:f>'Looked After Children'!$K$8:$O$8</c:f>
              <c:numCache>
                <c:formatCode>General</c:formatCode>
                <c:ptCount val="5"/>
                <c:pt idx="0">
                  <c:v>2014</c:v>
                </c:pt>
                <c:pt idx="1">
                  <c:v>2015</c:v>
                </c:pt>
                <c:pt idx="2">
                  <c:v>2016</c:v>
                </c:pt>
                <c:pt idx="3">
                  <c:v>2017</c:v>
                </c:pt>
                <c:pt idx="4">
                  <c:v>2018</c:v>
                </c:pt>
              </c:numCache>
            </c:numRef>
          </c:cat>
          <c:val>
            <c:numRef>
              <c:f>'Looked After Children'!$BB$64:$BF$64</c:f>
              <c:numCache>
                <c:formatCode>0%</c:formatCode>
                <c:ptCount val="5"/>
                <c:pt idx="0">
                  <c:v>#N/A</c:v>
                </c:pt>
                <c:pt idx="1">
                  <c:v>#N/A</c:v>
                </c:pt>
                <c:pt idx="2">
                  <c:v>#N/A</c:v>
                </c:pt>
                <c:pt idx="3">
                  <c:v>#N/A</c:v>
                </c:pt>
                <c:pt idx="4">
                  <c:v>#N/A</c:v>
                </c:pt>
              </c:numCache>
            </c:numRef>
          </c:val>
        </c:ser>
        <c:ser>
          <c:idx val="4"/>
          <c:order val="1"/>
          <c:tx>
            <c:strRef>
              <c:f>'Looked After Children'!$B$167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'Looked After Children'!$K$8:$O$8</c:f>
              <c:numCache>
                <c:formatCode>General</c:formatCode>
                <c:ptCount val="5"/>
                <c:pt idx="0">
                  <c:v>2014</c:v>
                </c:pt>
                <c:pt idx="1">
                  <c:v>2015</c:v>
                </c:pt>
                <c:pt idx="2">
                  <c:v>2016</c:v>
                </c:pt>
                <c:pt idx="3">
                  <c:v>2017</c:v>
                </c:pt>
                <c:pt idx="4">
                  <c:v>2018</c:v>
                </c:pt>
              </c:numCache>
            </c:numRef>
          </c:cat>
          <c:val>
            <c:numRef>
              <c:f>'Looked After Children'!$D$202:$H$202</c:f>
              <c:numCache>
                <c:formatCode>0%</c:formatCode>
                <c:ptCount val="5"/>
                <c:pt idx="0">
                  <c:v>0.12234636871508379</c:v>
                </c:pt>
                <c:pt idx="1">
                  <c:v>#N/A</c:v>
                </c:pt>
                <c:pt idx="2">
                  <c:v>0.12208713272543059</c:v>
                </c:pt>
                <c:pt idx="3">
                  <c:v>0.11698880976602238</c:v>
                </c:pt>
                <c:pt idx="4">
                  <c:v>0.11899999999999999</c:v>
                </c:pt>
              </c:numCache>
            </c:numRef>
          </c:val>
        </c:ser>
        <c:ser>
          <c:idx val="0"/>
          <c:order val="2"/>
          <c:tx>
            <c:strRef>
              <c:f>'Looked After Children'!$B$168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'Looked After Children'!$D$203:$H$203</c:f>
              <c:numCache>
                <c:formatCode>0%</c:formatCode>
                <c:ptCount val="5"/>
                <c:pt idx="0">
                  <c:v>0.10928644092428426</c:v>
                </c:pt>
                <c:pt idx="1">
                  <c:v>#N/A</c:v>
                </c:pt>
                <c:pt idx="2">
                  <c:v>0.10298295454545454</c:v>
                </c:pt>
                <c:pt idx="3">
                  <c:v>0.10359553657528585</c:v>
                </c:pt>
                <c:pt idx="4">
                  <c:v>0.10461416070007955</c:v>
                </c:pt>
              </c:numCache>
            </c:numRef>
          </c:val>
        </c:ser>
        <c:dLbls>
          <c:showLegendKey val="0"/>
          <c:showVal val="0"/>
          <c:showCatName val="0"/>
          <c:showSerName val="0"/>
          <c:showPercent val="0"/>
          <c:showBubbleSize val="0"/>
        </c:dLbls>
        <c:gapWidth val="100"/>
        <c:axId val="252926592"/>
        <c:axId val="252928384"/>
      </c:barChart>
      <c:catAx>
        <c:axId val="252926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2928384"/>
        <c:crosses val="autoZero"/>
        <c:auto val="1"/>
        <c:lblAlgn val="ctr"/>
        <c:lblOffset val="100"/>
        <c:noMultiLvlLbl val="0"/>
      </c:catAx>
      <c:valAx>
        <c:axId val="25292838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292659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at 31st March who were UASC</a:t>
            </a:r>
          </a:p>
        </c:rich>
      </c:tx>
      <c:layout>
        <c:manualLayout>
          <c:xMode val="edge"/>
          <c:yMode val="edge"/>
          <c:x val="0.11045709917624857"/>
          <c:y val="2.0750544393247337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'Looked After Children'!$AK$40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'Looked After Children'!$BG$39:$BK$39</c:f>
              <c:numCache>
                <c:formatCode>General</c:formatCode>
                <c:ptCount val="5"/>
                <c:pt idx="0">
                  <c:v>2014</c:v>
                </c:pt>
                <c:pt idx="1">
                  <c:v>2015</c:v>
                </c:pt>
                <c:pt idx="2">
                  <c:v>2016</c:v>
                </c:pt>
                <c:pt idx="3">
                  <c:v>2017</c:v>
                </c:pt>
                <c:pt idx="4">
                  <c:v>2018</c:v>
                </c:pt>
              </c:numCache>
            </c:numRef>
          </c:cat>
          <c:val>
            <c:numRef>
              <c:f>'Looked After Children'!$BG$40:$BK$40</c:f>
              <c:numCache>
                <c:formatCode>0.0%</c:formatCode>
                <c:ptCount val="5"/>
                <c:pt idx="0">
                  <c:v>#N/A</c:v>
                </c:pt>
                <c:pt idx="1">
                  <c:v>#N/A</c:v>
                </c:pt>
                <c:pt idx="2">
                  <c:v>#N/A</c:v>
                </c:pt>
                <c:pt idx="3">
                  <c:v>#N/A</c:v>
                </c:pt>
                <c:pt idx="4">
                  <c:v>#N/A</c:v>
                </c:pt>
              </c:numCache>
            </c:numRef>
          </c:val>
          <c:smooth val="0"/>
        </c:ser>
        <c:ser>
          <c:idx val="1"/>
          <c:order val="1"/>
          <c:tx>
            <c:strRef>
              <c:f>'Looked After Children'!$AK$41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Children'!$BG$41:$BK$41</c:f>
              <c:numCache>
                <c:formatCode>0.0%</c:formatCode>
                <c:ptCount val="5"/>
                <c:pt idx="0">
                  <c:v>1.948051948051948E-2</c:v>
                </c:pt>
                <c:pt idx="1">
                  <c:v>2.1186440677966101E-2</c:v>
                </c:pt>
                <c:pt idx="2">
                  <c:v>7.7625570776255703E-2</c:v>
                </c:pt>
                <c:pt idx="3">
                  <c:v>8.3333333333333329E-2</c:v>
                </c:pt>
                <c:pt idx="4">
                  <c:v>6.9377990430622011E-2</c:v>
                </c:pt>
              </c:numCache>
            </c:numRef>
          </c:val>
          <c:smooth val="0"/>
        </c:ser>
        <c:ser>
          <c:idx val="2"/>
          <c:order val="2"/>
          <c:tx>
            <c:strRef>
              <c:f>'Looked After Children'!$AK$42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Children'!$BG$42:$BK$42</c:f>
              <c:numCache>
                <c:formatCode>0.0%</c:formatCode>
                <c:ptCount val="5"/>
                <c:pt idx="0">
                  <c:v>3.8812785388127852E-2</c:v>
                </c:pt>
                <c:pt idx="1">
                  <c:v>4.1379310344827586E-2</c:v>
                </c:pt>
                <c:pt idx="2">
                  <c:v>4.1394335511982572E-2</c:v>
                </c:pt>
                <c:pt idx="3">
                  <c:v>5.2863436123348019E-2</c:v>
                </c:pt>
                <c:pt idx="4">
                  <c:v>7.3684210526315783E-2</c:v>
                </c:pt>
              </c:numCache>
            </c:numRef>
          </c:val>
          <c:smooth val="0"/>
        </c:ser>
        <c:ser>
          <c:idx val="5"/>
          <c:order val="3"/>
          <c:tx>
            <c:strRef>
              <c:f>'Looked After Children'!$AK$43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Children'!$BG$43:$BK$43</c:f>
              <c:numCache>
                <c:formatCode>0.0%</c:formatCode>
                <c:ptCount val="5"/>
                <c:pt idx="0">
                  <c:v>#N/A</c:v>
                </c:pt>
                <c:pt idx="1">
                  <c:v>1.098901098901099E-2</c:v>
                </c:pt>
                <c:pt idx="2">
                  <c:v>3.1307550644567222E-2</c:v>
                </c:pt>
                <c:pt idx="3">
                  <c:v>4.3243243243243246E-2</c:v>
                </c:pt>
                <c:pt idx="4">
                  <c:v>3.316749585406302E-2</c:v>
                </c:pt>
              </c:numCache>
            </c:numRef>
          </c:val>
          <c:smooth val="0"/>
        </c:ser>
        <c:ser>
          <c:idx val="9"/>
          <c:order val="4"/>
          <c:tx>
            <c:strRef>
              <c:f>'Looked After Children'!$AK$44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Children'!$BG$44:$BK$44</c:f>
              <c:numCache>
                <c:formatCode>0.0%</c:formatCode>
                <c:ptCount val="5"/>
                <c:pt idx="0">
                  <c:v>2.1343873517786563E-2</c:v>
                </c:pt>
                <c:pt idx="1">
                  <c:v>1.5003750937734433E-2</c:v>
                </c:pt>
                <c:pt idx="2">
                  <c:v>2.2222222222222223E-2</c:v>
                </c:pt>
                <c:pt idx="3">
                  <c:v>5.5555555555555552E-2</c:v>
                </c:pt>
                <c:pt idx="4">
                  <c:v>7.0263488080301126E-2</c:v>
                </c:pt>
              </c:numCache>
            </c:numRef>
          </c:val>
          <c:smooth val="0"/>
        </c:ser>
        <c:ser>
          <c:idx val="10"/>
          <c:order val="5"/>
          <c:tx>
            <c:strRef>
              <c:f>'Looked After Children'!$AK$45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Children'!$BG$45:$BK$45</c:f>
              <c:numCache>
                <c:formatCode>0.0%</c:formatCode>
                <c:ptCount val="5"/>
                <c:pt idx="0">
                  <c:v>0</c:v>
                </c:pt>
                <c:pt idx="1">
                  <c:v>0</c:v>
                </c:pt>
                <c:pt idx="2">
                  <c:v>0</c:v>
                </c:pt>
                <c:pt idx="3">
                  <c:v>3.0701754385964911E-2</c:v>
                </c:pt>
                <c:pt idx="4">
                  <c:v>3.0973451327433628E-2</c:v>
                </c:pt>
              </c:numCache>
            </c:numRef>
          </c:val>
          <c:smooth val="0"/>
        </c:ser>
        <c:ser>
          <c:idx val="11"/>
          <c:order val="6"/>
          <c:tx>
            <c:strRef>
              <c:f>'Looked After Children'!$AK$46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Children'!$BG$46:$BK$46</c:f>
              <c:numCache>
                <c:formatCode>0.0%</c:formatCode>
                <c:ptCount val="5"/>
                <c:pt idx="0">
                  <c:v>0.11758241758241758</c:v>
                </c:pt>
                <c:pt idx="1">
                  <c:v>0.19657204070701662</c:v>
                </c:pt>
                <c:pt idx="2">
                  <c:v>0.37510803802938636</c:v>
                </c:pt>
                <c:pt idx="3">
                  <c:v>0.25499474237644587</c:v>
                </c:pt>
                <c:pt idx="4">
                  <c:v>0.14285714285714285</c:v>
                </c:pt>
              </c:numCache>
            </c:numRef>
          </c:val>
          <c:smooth val="0"/>
        </c:ser>
        <c:ser>
          <c:idx val="12"/>
          <c:order val="7"/>
          <c:tx>
            <c:strRef>
              <c:f>'Looked After Children'!$AK$47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Children'!$BG$47:$BK$47</c:f>
              <c:numCache>
                <c:formatCode>0.0%</c:formatCode>
                <c:ptCount val="5"/>
                <c:pt idx="0">
                  <c:v>0</c:v>
                </c:pt>
                <c:pt idx="1">
                  <c:v>#N/A</c:v>
                </c:pt>
                <c:pt idx="2">
                  <c:v>#N/A</c:v>
                </c:pt>
                <c:pt idx="3">
                  <c:v>#N/A</c:v>
                </c:pt>
                <c:pt idx="4">
                  <c:v>#N/A</c:v>
                </c:pt>
              </c:numCache>
            </c:numRef>
          </c:val>
          <c:smooth val="0"/>
        </c:ser>
        <c:ser>
          <c:idx val="13"/>
          <c:order val="8"/>
          <c:tx>
            <c:strRef>
              <c:f>'Looked After Children'!$AK$48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Children'!$BG$48:$BK$48</c:f>
              <c:numCache>
                <c:formatCode>0.0%</c:formatCode>
                <c:ptCount val="5"/>
                <c:pt idx="0">
                  <c:v>2.6402640264026403E-2</c:v>
                </c:pt>
                <c:pt idx="1">
                  <c:v>7.3746312684365781E-2</c:v>
                </c:pt>
                <c:pt idx="2">
                  <c:v>0.11884057971014493</c:v>
                </c:pt>
                <c:pt idx="3">
                  <c:v>0.10353535353535354</c:v>
                </c:pt>
                <c:pt idx="4">
                  <c:v>6.6496163682864456E-2</c:v>
                </c:pt>
              </c:numCache>
            </c:numRef>
          </c:val>
          <c:smooth val="0"/>
        </c:ser>
        <c:ser>
          <c:idx val="15"/>
          <c:order val="9"/>
          <c:tx>
            <c:strRef>
              <c:f>'Looked After Children'!$AK$49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Children'!$BG$49:$BK$49</c:f>
              <c:numCache>
                <c:formatCode>0.0%</c:formatCode>
                <c:ptCount val="5"/>
                <c:pt idx="0">
                  <c:v>4.3290043290043288E-2</c:v>
                </c:pt>
                <c:pt idx="1">
                  <c:v>8.2352941176470587E-2</c:v>
                </c:pt>
                <c:pt idx="2">
                  <c:v>9.7807757166947729E-2</c:v>
                </c:pt>
                <c:pt idx="3">
                  <c:v>8.1081081081081086E-2</c:v>
                </c:pt>
                <c:pt idx="4">
                  <c:v>8.3211678832116789E-2</c:v>
                </c:pt>
              </c:numCache>
            </c:numRef>
          </c:val>
          <c:smooth val="0"/>
        </c:ser>
        <c:ser>
          <c:idx val="16"/>
          <c:order val="10"/>
          <c:tx>
            <c:strRef>
              <c:f>'Looked After Children'!$AK$50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Children'!$BG$50:$BK$50</c:f>
              <c:numCache>
                <c:formatCode>0.0%</c:formatCode>
                <c:ptCount val="5"/>
                <c:pt idx="0">
                  <c:v>2.8301886792452831E-2</c:v>
                </c:pt>
                <c:pt idx="1">
                  <c:v>2.8125000000000001E-2</c:v>
                </c:pt>
                <c:pt idx="2">
                  <c:v>9.9378881987577633E-2</c:v>
                </c:pt>
                <c:pt idx="3">
                  <c:v>0.12569832402234637</c:v>
                </c:pt>
                <c:pt idx="4">
                  <c:v>0.17349397590361446</c:v>
                </c:pt>
              </c:numCache>
            </c:numRef>
          </c:val>
          <c:smooth val="0"/>
        </c:ser>
        <c:ser>
          <c:idx val="17"/>
          <c:order val="11"/>
          <c:tx>
            <c:strRef>
              <c:f>'Looked After Children'!$AK$51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Children'!$BG$51:$BK$51</c:f>
              <c:numCache>
                <c:formatCode>0.0%</c:formatCode>
                <c:ptCount val="5"/>
                <c:pt idx="0">
                  <c:v>#N/A</c:v>
                </c:pt>
                <c:pt idx="1">
                  <c:v>#N/A</c:v>
                </c:pt>
                <c:pt idx="2">
                  <c:v>2.7272727272727271E-2</c:v>
                </c:pt>
                <c:pt idx="3">
                  <c:v>4.1825095057034217E-2</c:v>
                </c:pt>
                <c:pt idx="4">
                  <c:v>3.237410071942446E-2</c:v>
                </c:pt>
              </c:numCache>
            </c:numRef>
          </c:val>
          <c:smooth val="0"/>
        </c:ser>
        <c:ser>
          <c:idx val="19"/>
          <c:order val="12"/>
          <c:tx>
            <c:strRef>
              <c:f>'Looked After Children'!$AK$52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Children'!$BG$52:$BK$52</c:f>
              <c:numCache>
                <c:formatCode>0.0%</c:formatCode>
                <c:ptCount val="5"/>
                <c:pt idx="0">
                  <c:v>5.8201058201058198E-2</c:v>
                </c:pt>
                <c:pt idx="1">
                  <c:v>5.1020408163265307E-2</c:v>
                </c:pt>
                <c:pt idx="2">
                  <c:v>6.7039106145251395E-2</c:v>
                </c:pt>
                <c:pt idx="3">
                  <c:v>7.3684210526315783E-2</c:v>
                </c:pt>
                <c:pt idx="4">
                  <c:v>3.8834951456310676E-2</c:v>
                </c:pt>
              </c:numCache>
            </c:numRef>
          </c:val>
          <c:smooth val="0"/>
        </c:ser>
        <c:ser>
          <c:idx val="3"/>
          <c:order val="13"/>
          <c:tx>
            <c:strRef>
              <c:f>'Looked After Children'!$AK$53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Children'!$BG$53:$BK$53</c:f>
              <c:numCache>
                <c:formatCode>0.0%</c:formatCode>
                <c:ptCount val="5"/>
                <c:pt idx="0">
                  <c:v>#N/A</c:v>
                </c:pt>
                <c:pt idx="1">
                  <c:v>#N/A</c:v>
                </c:pt>
                <c:pt idx="2">
                  <c:v>#N/A</c:v>
                </c:pt>
                <c:pt idx="3">
                  <c:v>2.9411764705882353E-2</c:v>
                </c:pt>
                <c:pt idx="4">
                  <c:v>3.4482758620689655E-2</c:v>
                </c:pt>
              </c:numCache>
            </c:numRef>
          </c:val>
          <c:smooth val="0"/>
        </c:ser>
        <c:ser>
          <c:idx val="20"/>
          <c:order val="14"/>
          <c:tx>
            <c:strRef>
              <c:f>'Looked After Children'!$AK$54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Children'!$BG$54:$BK$54</c:f>
              <c:numCache>
                <c:formatCode>0.0%</c:formatCode>
                <c:ptCount val="5"/>
                <c:pt idx="0">
                  <c:v>#N/A</c:v>
                </c:pt>
                <c:pt idx="1">
                  <c:v>1.0309278350515464E-2</c:v>
                </c:pt>
                <c:pt idx="2">
                  <c:v>#N/A</c:v>
                </c:pt>
                <c:pt idx="3">
                  <c:v>2.0370370370370372E-2</c:v>
                </c:pt>
                <c:pt idx="4">
                  <c:v>2.681992337164751E-2</c:v>
                </c:pt>
              </c:numCache>
            </c:numRef>
          </c:val>
          <c:smooth val="0"/>
        </c:ser>
        <c:ser>
          <c:idx val="22"/>
          <c:order val="15"/>
          <c:tx>
            <c:strRef>
              <c:f>'Looked After Children'!$AK$55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Children'!$BG$55:$BK$55</c:f>
              <c:numCache>
                <c:formatCode>0.0%</c:formatCode>
                <c:ptCount val="5"/>
                <c:pt idx="0">
                  <c:v>9.205548549810845E-2</c:v>
                </c:pt>
                <c:pt idx="1">
                  <c:v>0.12836970474967907</c:v>
                </c:pt>
                <c:pt idx="2">
                  <c:v>0.17416378316032297</c:v>
                </c:pt>
                <c:pt idx="3">
                  <c:v>0.16340621403912542</c:v>
                </c:pt>
                <c:pt idx="4">
                  <c:v>0.11961206896551724</c:v>
                </c:pt>
              </c:numCache>
            </c:numRef>
          </c:val>
          <c:smooth val="0"/>
        </c:ser>
        <c:ser>
          <c:idx val="7"/>
          <c:order val="16"/>
          <c:tx>
            <c:strRef>
              <c:f>'Looked After Children'!$AK$56</c:f>
              <c:strCache>
                <c:ptCount val="1"/>
                <c:pt idx="0">
                  <c:v>Swindon</c:v>
                </c:pt>
              </c:strCache>
            </c:strRef>
          </c:tx>
          <c:spPr>
            <a:ln w="15875"/>
          </c:spPr>
          <c:marker>
            <c:symbol val="triangle"/>
            <c:size val="5"/>
            <c:spPr>
              <a:solidFill>
                <a:schemeClr val="accent2">
                  <a:lumMod val="20000"/>
                  <a:lumOff val="80000"/>
                </a:schemeClr>
              </a:solidFill>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Children'!$BG$56:$BK$56</c:f>
              <c:numCache>
                <c:formatCode>0.0%</c:formatCode>
                <c:ptCount val="5"/>
                <c:pt idx="0">
                  <c:v>#N/A</c:v>
                </c:pt>
                <c:pt idx="1">
                  <c:v>#N/A</c:v>
                </c:pt>
                <c:pt idx="2">
                  <c:v>4.778156996587031E-2</c:v>
                </c:pt>
                <c:pt idx="3">
                  <c:v>6.363636363636363E-2</c:v>
                </c:pt>
                <c:pt idx="4">
                  <c:v>7.2222222222222215E-2</c:v>
                </c:pt>
              </c:numCache>
            </c:numRef>
          </c:val>
          <c:smooth val="0"/>
        </c:ser>
        <c:ser>
          <c:idx val="8"/>
          <c:order val="17"/>
          <c:tx>
            <c:strRef>
              <c:f>'Looked After Children'!$AK$57</c:f>
              <c:strCache>
                <c:ptCount val="1"/>
                <c:pt idx="0">
                  <c:v>Torbay</c:v>
                </c:pt>
              </c:strCache>
            </c:strRef>
          </c:tx>
          <c:spPr>
            <a:ln w="15875"/>
          </c:spPr>
          <c:marker>
            <c:symbol val="circle"/>
            <c:size val="5"/>
            <c:spPr>
              <a:solidFill>
                <a:schemeClr val="accent3">
                  <a:lumMod val="20000"/>
                  <a:lumOff val="80000"/>
                </a:schemeClr>
              </a:solidFill>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Children'!$BG$57:$BK$57</c:f>
              <c:numCache>
                <c:formatCode>0.0%</c:formatCode>
                <c:ptCount val="5"/>
                <c:pt idx="0">
                  <c:v>0</c:v>
                </c:pt>
                <c:pt idx="1">
                  <c:v>0</c:v>
                </c:pt>
                <c:pt idx="2">
                  <c:v>0</c:v>
                </c:pt>
                <c:pt idx="3">
                  <c:v>#N/A</c:v>
                </c:pt>
                <c:pt idx="4">
                  <c:v>#N/A</c:v>
                </c:pt>
              </c:numCache>
            </c:numRef>
          </c:val>
          <c:smooth val="0"/>
        </c:ser>
        <c:ser>
          <c:idx val="23"/>
          <c:order val="18"/>
          <c:tx>
            <c:strRef>
              <c:f>'Looked After Children'!$AK$58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Children'!$BG$58:$BK$58</c:f>
              <c:numCache>
                <c:formatCode>0.0%</c:formatCode>
                <c:ptCount val="5"/>
                <c:pt idx="0">
                  <c:v>4.4871794871794872E-2</c:v>
                </c:pt>
                <c:pt idx="1">
                  <c:v>5.8479532163742687E-2</c:v>
                </c:pt>
                <c:pt idx="2">
                  <c:v>8.2802547770700632E-2</c:v>
                </c:pt>
                <c:pt idx="3">
                  <c:v>9.9378881987577633E-2</c:v>
                </c:pt>
                <c:pt idx="4">
                  <c:v>0.10344827586206896</c:v>
                </c:pt>
              </c:numCache>
            </c:numRef>
          </c:val>
          <c:smooth val="0"/>
        </c:ser>
        <c:ser>
          <c:idx val="24"/>
          <c:order val="19"/>
          <c:tx>
            <c:strRef>
              <c:f>'Looked After Children'!$AK$59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Children'!$BG$59:$BK$59</c:f>
              <c:numCache>
                <c:formatCode>0.0%</c:formatCode>
                <c:ptCount val="5"/>
                <c:pt idx="0">
                  <c:v>5.647840531561462E-2</c:v>
                </c:pt>
                <c:pt idx="1">
                  <c:v>5.5900621118012424E-2</c:v>
                </c:pt>
                <c:pt idx="2">
                  <c:v>0.10015649452269171</c:v>
                </c:pt>
                <c:pt idx="3">
                  <c:v>0.11010558069381599</c:v>
                </c:pt>
                <c:pt idx="4">
                  <c:v>9.8011363636363633E-2</c:v>
                </c:pt>
              </c:numCache>
            </c:numRef>
          </c:val>
          <c:smooth val="0"/>
        </c:ser>
        <c:ser>
          <c:idx val="25"/>
          <c:order val="20"/>
          <c:tx>
            <c:strRef>
              <c:f>'Looked After Children'!$AK$60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Children'!$BG$60:$BK$60</c:f>
              <c:numCache>
                <c:formatCode>0.0%</c:formatCode>
                <c:ptCount val="5"/>
                <c:pt idx="0">
                  <c:v>#N/A</c:v>
                </c:pt>
                <c:pt idx="1">
                  <c:v>9.0909090909090912E-2</c:v>
                </c:pt>
                <c:pt idx="2">
                  <c:v>#N/A</c:v>
                </c:pt>
                <c:pt idx="3">
                  <c:v>6.4220183486238536E-2</c:v>
                </c:pt>
                <c:pt idx="4">
                  <c:v>6.5420560747663545E-2</c:v>
                </c:pt>
              </c:numCache>
            </c:numRef>
          </c:val>
          <c:smooth val="0"/>
        </c:ser>
        <c:ser>
          <c:idx val="26"/>
          <c:order val="21"/>
          <c:tx>
            <c:strRef>
              <c:f>'Looked After Children'!$AK$61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Children'!$BG$61:$BK$61</c:f>
              <c:numCache>
                <c:formatCode>0.0%</c:formatCode>
                <c:ptCount val="5"/>
                <c:pt idx="0">
                  <c:v>0</c:v>
                </c:pt>
                <c:pt idx="1">
                  <c:v>#N/A</c:v>
                </c:pt>
                <c:pt idx="2">
                  <c:v>#N/A</c:v>
                </c:pt>
                <c:pt idx="3">
                  <c:v>0.10666666666666667</c:v>
                </c:pt>
                <c:pt idx="4">
                  <c:v>0.13207547169811321</c:v>
                </c:pt>
              </c:numCache>
            </c:numRef>
          </c:val>
          <c:smooth val="0"/>
        </c:ser>
        <c:ser>
          <c:idx val="4"/>
          <c:order val="22"/>
          <c:tx>
            <c:strRef>
              <c:f>'Looked After Children'!$AK$62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Children'!$BG$62:$BK$62</c:f>
              <c:numCache>
                <c:formatCode>0.0%</c:formatCode>
                <c:ptCount val="5"/>
                <c:pt idx="0">
                  <c:v>5.027932960893855E-2</c:v>
                </c:pt>
                <c:pt idx="1">
                  <c:v>7.3039742212674549E-2</c:v>
                </c:pt>
                <c:pt idx="2">
                  <c:v>0.13779128672745694</c:v>
                </c:pt>
                <c:pt idx="3">
                  <c:v>0.10986775178026449</c:v>
                </c:pt>
                <c:pt idx="4">
                  <c:v>8.5000000000000006E-2</c:v>
                </c:pt>
              </c:numCache>
            </c:numRef>
          </c:val>
          <c:smooth val="0"/>
        </c:ser>
        <c:ser>
          <c:idx val="14"/>
          <c:order val="23"/>
          <c:tx>
            <c:strRef>
              <c:f>'Looked After Children'!$AK$63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Children'!$BG$63:$BK$63</c:f>
              <c:numCache>
                <c:formatCode>0.0%</c:formatCode>
                <c:ptCount val="5"/>
                <c:pt idx="0">
                  <c:v>2.9937509082982126E-2</c:v>
                </c:pt>
                <c:pt idx="1">
                  <c:v>3.9729379588311499E-2</c:v>
                </c:pt>
                <c:pt idx="2">
                  <c:v>6.1647727272727271E-2</c:v>
                </c:pt>
                <c:pt idx="3">
                  <c:v>6.4609450337512059E-2</c:v>
                </c:pt>
                <c:pt idx="4">
                  <c:v>5.940068947228852E-2</c:v>
                </c:pt>
              </c:numCache>
            </c:numRef>
          </c:val>
          <c:smooth val="0"/>
        </c:ser>
        <c:ser>
          <c:idx val="6"/>
          <c:order val="24"/>
          <c:tx>
            <c:strRef>
              <c:f>'Looked After Children'!$AK$64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'Looked After Children'!$BG$39:$BK$39</c:f>
              <c:numCache>
                <c:formatCode>General</c:formatCode>
                <c:ptCount val="5"/>
                <c:pt idx="0">
                  <c:v>2014</c:v>
                </c:pt>
                <c:pt idx="1">
                  <c:v>2015</c:v>
                </c:pt>
                <c:pt idx="2">
                  <c:v>2016</c:v>
                </c:pt>
                <c:pt idx="3">
                  <c:v>2017</c:v>
                </c:pt>
                <c:pt idx="4">
                  <c:v>2018</c:v>
                </c:pt>
              </c:numCache>
            </c:numRef>
          </c:cat>
          <c:val>
            <c:numRef>
              <c:f>'Looked After Children'!$BG$64:$BK$64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2367232"/>
        <c:axId val="252368768"/>
      </c:lineChart>
      <c:catAx>
        <c:axId val="252367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2368768"/>
        <c:crosses val="autoZero"/>
        <c:auto val="1"/>
        <c:lblAlgn val="ctr"/>
        <c:lblOffset val="100"/>
        <c:tickLblSkip val="1"/>
        <c:tickMarkSkip val="1"/>
        <c:noMultiLvlLbl val="0"/>
      </c:catAx>
      <c:valAx>
        <c:axId val="2523687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23672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914838350626276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Children Placed for Adoption </a:t>
            </a:r>
            <a:r>
              <a:rPr lang="en-GB"/>
              <a:t>vs. IDACI</a:t>
            </a:r>
          </a:p>
        </c:rich>
      </c:tx>
      <c:layout>
        <c:manualLayout>
          <c:xMode val="edge"/>
          <c:yMode val="edge"/>
          <c:x val="0.1518538504365276"/>
          <c:y val="3.0160115518418969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Adoption!$AR$38</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5634218289085547"/>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1.4749262536873156E-2"/>
                  <c:y val="0"/>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30008055176"/>
                  <c:y val="-1.9724901603847381E-2"/>
                </c:manualLayout>
              </c:layout>
              <c:tx>
                <c:rich>
                  <a:bodyPr/>
                  <a:lstStyle/>
                  <a:p>
                    <a:r>
                      <a:rPr lang="en-US"/>
                      <a:t>Buckinghamshire</a:t>
                    </a:r>
                  </a:p>
                </c:rich>
              </c:tx>
              <c:dLblPos val="r"/>
              <c:showLegendKey val="0"/>
              <c:showVal val="0"/>
              <c:showCatName val="1"/>
              <c:showSerName val="0"/>
              <c:showPercent val="0"/>
              <c:showBubbleSize val="0"/>
            </c:dLbl>
            <c:dLbl>
              <c:idx val="3"/>
              <c:layout/>
              <c:tx>
                <c:rich>
                  <a:bodyPr/>
                  <a:lstStyle/>
                  <a:p>
                    <a:r>
                      <a:rPr lang="en-US"/>
                      <a:t>East Sussex</a:t>
                    </a:r>
                  </a:p>
                </c:rich>
              </c:tx>
              <c:showLegendKey val="0"/>
              <c:showVal val="0"/>
              <c:showCatName val="1"/>
              <c:showSerName val="0"/>
              <c:showPercent val="0"/>
              <c:showBubbleSize val="0"/>
            </c:dLbl>
            <c:dLbl>
              <c:idx val="4"/>
              <c:layout/>
              <c:tx>
                <c:rich>
                  <a:bodyPr/>
                  <a:lstStyle/>
                  <a:p>
                    <a:r>
                      <a:rPr lang="en-US"/>
                      <a:t>Hampshire</a:t>
                    </a:r>
                  </a:p>
                </c:rich>
              </c:tx>
              <c:dLblPos val="r"/>
              <c:showLegendKey val="0"/>
              <c:showVal val="0"/>
              <c:showCatName val="1"/>
              <c:showSerName val="0"/>
              <c:showPercent val="0"/>
              <c:showBubbleSize val="0"/>
            </c:dLbl>
            <c:dLbl>
              <c:idx val="5"/>
              <c:layout/>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layout/>
              <c:tx>
                <c:rich>
                  <a:bodyPr/>
                  <a:lstStyle/>
                  <a:p>
                    <a:r>
                      <a:rPr lang="en-US"/>
                      <a:t>Medway</a:t>
                    </a:r>
                  </a:p>
                </c:rich>
              </c:tx>
              <c:dLblPos val="r"/>
              <c:showLegendKey val="0"/>
              <c:showVal val="0"/>
              <c:showCatName val="1"/>
              <c:showSerName val="0"/>
              <c:showPercent val="0"/>
              <c:showBubbleSize val="0"/>
            </c:dLbl>
            <c:dLbl>
              <c:idx val="8"/>
              <c:layout>
                <c:manualLayout>
                  <c:x val="-0.13768448191763641"/>
                  <c:y val="-5.9656958397022227E-3"/>
                </c:manualLayout>
              </c:layout>
              <c:tx>
                <c:rich>
                  <a:bodyPr/>
                  <a:lstStyle/>
                  <a:p>
                    <a:r>
                      <a:rPr lang="en-US"/>
                      <a:t>Milton Keynes</a:t>
                    </a:r>
                  </a:p>
                </c:rich>
              </c:tx>
              <c:dLblPos val="r"/>
              <c:showLegendKey val="0"/>
              <c:showVal val="0"/>
              <c:showCatName val="1"/>
              <c:showSerName val="0"/>
              <c:showPercent val="0"/>
              <c:showBubbleSize val="0"/>
            </c:dLbl>
            <c:dLbl>
              <c:idx val="9"/>
              <c:layout/>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layout/>
              <c:tx>
                <c:rich>
                  <a:bodyPr/>
                  <a:lstStyle/>
                  <a:p>
                    <a:r>
                      <a:rPr lang="en-US"/>
                      <a:t>Reading</a:t>
                    </a:r>
                  </a:p>
                </c:rich>
              </c:tx>
              <c:dLblPos val="r"/>
              <c:showLegendKey val="0"/>
              <c:showVal val="0"/>
              <c:showCatName val="1"/>
              <c:showSerName val="0"/>
              <c:showPercent val="0"/>
              <c:showBubbleSize val="0"/>
            </c:dLbl>
            <c:dLbl>
              <c:idx val="12"/>
              <c:layout/>
              <c:tx>
                <c:rich>
                  <a:bodyPr/>
                  <a:lstStyle/>
                  <a:p>
                    <a:r>
                      <a:rPr lang="en-US"/>
                      <a:t>Slough</a:t>
                    </a:r>
                  </a:p>
                </c:rich>
              </c:tx>
              <c:showLegendKey val="0"/>
              <c:showVal val="0"/>
              <c:showCatName val="1"/>
              <c:showSerName val="0"/>
              <c:showPercent val="0"/>
              <c:showBubbleSize val="0"/>
            </c:dLbl>
            <c:dLbl>
              <c:idx val="13"/>
              <c:layout/>
              <c:tx>
                <c:rich>
                  <a:bodyPr/>
                  <a:lstStyle/>
                  <a:p>
                    <a:r>
                      <a:rPr lang="en-US"/>
                      <a:t>Southampton</a:t>
                    </a:r>
                  </a:p>
                </c:rich>
              </c:tx>
              <c:dLblPos val="l"/>
              <c:showLegendKey val="0"/>
              <c:showVal val="0"/>
              <c:showCatName val="1"/>
              <c:showSerName val="0"/>
              <c:showPercent val="0"/>
              <c:showBubbleSize val="0"/>
            </c:dLbl>
            <c:dLbl>
              <c:idx val="14"/>
              <c:layout/>
              <c:tx>
                <c:rich>
                  <a:bodyPr/>
                  <a:lstStyle/>
                  <a:p>
                    <a:r>
                      <a:rPr lang="en-US"/>
                      <a:t>Surrey</a:t>
                    </a:r>
                  </a:p>
                </c:rich>
              </c:tx>
              <c:dLblPos val="l"/>
              <c:showLegendKey val="0"/>
              <c:showVal val="0"/>
              <c:showCatName val="1"/>
              <c:showSerName val="0"/>
              <c:showPercent val="0"/>
              <c:showBubbleSize val="0"/>
            </c:dLbl>
            <c:dLbl>
              <c:idx val="15"/>
              <c:layout/>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800544710491783"/>
                  <c:y val="1.3242527825470671E-2"/>
                </c:manualLayout>
              </c:layout>
              <c:tx>
                <c:rich>
                  <a:bodyPr/>
                  <a:lstStyle/>
                  <a:p>
                    <a:r>
                      <a:rPr lang="en-US"/>
                      <a:t>Windsor &amp; Maidenhead</a:t>
                    </a:r>
                  </a:p>
                </c:rich>
              </c:tx>
              <c:dLblPos val="r"/>
              <c:showLegendKey val="0"/>
              <c:showVal val="0"/>
              <c:showCatName val="1"/>
              <c:showSerName val="0"/>
              <c:showPercent val="0"/>
              <c:showBubbleSize val="0"/>
            </c:dLbl>
            <c:dLbl>
              <c:idx val="18"/>
              <c:layout/>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trendline>
            <c:spPr>
              <a:ln>
                <a:solidFill>
                  <a:srgbClr val="C00000"/>
                </a:solidFill>
              </a:ln>
            </c:spPr>
            <c:trendlineType val="linear"/>
            <c:dispRSqr val="1"/>
            <c:dispEq val="0"/>
            <c:trendlineLbl>
              <c:layout>
                <c:manualLayout>
                  <c:x val="0.13379718890278902"/>
                  <c:y val="-1.7179559928937757E-2"/>
                </c:manualLayout>
              </c:layout>
              <c:numFmt formatCode="General" sourceLinked="0"/>
              <c:txPr>
                <a:bodyPr/>
                <a:lstStyle/>
                <a:p>
                  <a:pPr>
                    <a:defRPr sz="900">
                      <a:solidFill>
                        <a:srgbClr val="C00000"/>
                      </a:solidFill>
                    </a:defRPr>
                  </a:pPr>
                  <a:endParaRPr lang="en-US"/>
                </a:p>
              </c:txPr>
            </c:trendlineLbl>
          </c:trendline>
          <c:xVal>
            <c:numRef>
              <c:f>(Adoption!$AR$41:$AR$53,Adoption!$AR$55:$AR$56,Adoption!$AR$59:$AR$62)</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(Adoption!$AQ$41:$AQ$53,Adoption!$AQ$55:$AQ$56,Adoption!$AQ$59:$AQ$62)</c:f>
              <c:numCache>
                <c:formatCode>0.0</c:formatCode>
                <c:ptCount val="19"/>
                <c:pt idx="0">
                  <c:v>#N/A</c:v>
                </c:pt>
                <c:pt idx="1">
                  <c:v>3.7268786410623562</c:v>
                </c:pt>
                <c:pt idx="2">
                  <c:v>0.73126142595978061</c:v>
                </c:pt>
                <c:pt idx="3">
                  <c:v>2.4517893347163939</c:v>
                </c:pt>
                <c:pt idx="4">
                  <c:v>1.941308936374482</c:v>
                </c:pt>
                <c:pt idx="5">
                  <c:v>#N/A</c:v>
                </c:pt>
                <c:pt idx="6">
                  <c:v>1.6662203576422983</c:v>
                </c:pt>
                <c:pt idx="7">
                  <c:v>3.596953536743662</c:v>
                </c:pt>
                <c:pt idx="8">
                  <c:v>#N/A</c:v>
                </c:pt>
                <c:pt idx="9">
                  <c:v>1.3245587128077856</c:v>
                </c:pt>
                <c:pt idx="10">
                  <c:v>#N/A</c:v>
                </c:pt>
                <c:pt idx="11">
                  <c:v>3.2351117461515648</c:v>
                </c:pt>
                <c:pt idx="12">
                  <c:v>1.8966334755808441</c:v>
                </c:pt>
                <c:pt idx="13">
                  <c:v>5.5660471126130604</c:v>
                </c:pt>
                <c:pt idx="14">
                  <c:v>0.53783062177061525</c:v>
                </c:pt>
                <c:pt idx="15">
                  <c:v>#N/A</c:v>
                </c:pt>
                <c:pt idx="16">
                  <c:v>2.3660989952735729</c:v>
                </c:pt>
                <c:pt idx="17">
                  <c:v>#N/A</c:v>
                </c:pt>
                <c:pt idx="18">
                  <c:v>#N/A</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layout/>
              <c:tx>
                <c:rich>
                  <a:bodyPr/>
                  <a:lstStyle/>
                  <a:p>
                    <a:r>
                      <a:rPr lang="en-GB"/>
                      <a:t>Somerset</a:t>
                    </a:r>
                  </a:p>
                </c:rich>
              </c:tx>
              <c:showLegendKey val="0"/>
              <c:showVal val="0"/>
              <c:showCatName val="0"/>
              <c:showSerName val="1"/>
              <c:showPercent val="0"/>
              <c:showBubbleSize val="0"/>
            </c:dLbl>
            <c:dLbl>
              <c:idx val="1"/>
              <c:layout/>
              <c:tx>
                <c:rich>
                  <a:bodyPr/>
                  <a:lstStyle/>
                  <a:p>
                    <a:r>
                      <a:rPr lang="en-GB"/>
                      <a:t>Swindon</a:t>
                    </a:r>
                  </a:p>
                </c:rich>
              </c:tx>
              <c:dLblPos val="l"/>
              <c:showLegendKey val="0"/>
              <c:showVal val="0"/>
              <c:showCatName val="0"/>
              <c:showSerName val="1"/>
              <c:showPercent val="0"/>
              <c:showBubbleSize val="0"/>
            </c:dLbl>
            <c:dLbl>
              <c:idx val="2"/>
              <c:layout/>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(Adoption!$AR$54,Adoption!$AR$57,Adoption!$AR$58)</c:f>
              <c:numCache>
                <c:formatCode>0.0</c:formatCode>
                <c:ptCount val="3"/>
                <c:pt idx="0">
                  <c:v>14.8</c:v>
                </c:pt>
                <c:pt idx="1">
                  <c:v>17.2</c:v>
                </c:pt>
                <c:pt idx="2">
                  <c:v>24.1</c:v>
                </c:pt>
              </c:numCache>
            </c:numRef>
          </c:xVal>
          <c:yVal>
            <c:numRef>
              <c:f>(Adoption!$AQ$54,Adoption!$AQ$57,Adoption!$AQ$58)</c:f>
              <c:numCache>
                <c:formatCode>0.0</c:formatCode>
                <c:ptCount val="3"/>
                <c:pt idx="0">
                  <c:v>#N/A</c:v>
                </c:pt>
                <c:pt idx="1">
                  <c:v>#N/A</c:v>
                </c:pt>
                <c:pt idx="2">
                  <c:v>2.7540622418066651</c:v>
                </c:pt>
              </c:numCache>
            </c:numRef>
          </c:yVal>
          <c:smooth val="0"/>
        </c:ser>
        <c:ser>
          <c:idx val="1"/>
          <c:order val="2"/>
          <c:tx>
            <c:strRef>
              <c:f>Adoption!$AA$4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Adoption!$Z$41</c:f>
              <c:numCache>
                <c:formatCode>0.00</c:formatCode>
                <c:ptCount val="1"/>
                <c:pt idx="0">
                  <c:v>#N/A</c:v>
                </c:pt>
              </c:numCache>
            </c:numRef>
          </c:xVal>
          <c:yVal>
            <c:numRef>
              <c:f>Adoption!$AA$41</c:f>
              <c:numCache>
                <c:formatCode>0.00</c:formatCode>
                <c:ptCount val="1"/>
                <c:pt idx="0">
                  <c:v>#N/A</c:v>
                </c:pt>
              </c:numCache>
            </c:numRef>
          </c:yVal>
          <c:smooth val="0"/>
        </c:ser>
        <c:ser>
          <c:idx val="4"/>
          <c:order val="3"/>
          <c:tx>
            <c:strRef>
              <c:f>Adoption!$B$31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Adoption!$R$31</c:f>
              <c:numCache>
                <c:formatCode>0.0</c:formatCode>
                <c:ptCount val="1"/>
                <c:pt idx="0">
                  <c:v>14.45223640702325</c:v>
                </c:pt>
              </c:numCache>
            </c:numRef>
          </c:xVal>
          <c:yVal>
            <c:numRef>
              <c:f>Adoption!$O$31</c:f>
              <c:numCache>
                <c:formatCode>0.0</c:formatCode>
                <c:ptCount val="1"/>
                <c:pt idx="0">
                  <c:v>1.7490926581835673</c:v>
                </c:pt>
              </c:numCache>
            </c:numRef>
          </c:yVal>
          <c:smooth val="0"/>
        </c:ser>
        <c:dLbls>
          <c:showLegendKey val="0"/>
          <c:showVal val="0"/>
          <c:showCatName val="0"/>
          <c:showSerName val="0"/>
          <c:showPercent val="0"/>
          <c:showBubbleSize val="0"/>
        </c:dLbls>
        <c:axId val="252416768"/>
        <c:axId val="252419072"/>
      </c:scatterChart>
      <c:valAx>
        <c:axId val="252416768"/>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2160319120949044"/>
              <c:y val="0.919292120865937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2419072"/>
        <c:crosses val="autoZero"/>
        <c:crossBetween val="midCat"/>
      </c:valAx>
      <c:valAx>
        <c:axId val="25241907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t>
                </a:r>
                <a:r>
                  <a:rPr lang="en-GB" sz="800" b="1" i="0" u="none" strike="noStrike" baseline="0">
                    <a:effectLst/>
                  </a:rPr>
                  <a:t>Children Placed for Adoption </a:t>
                </a:r>
                <a:r>
                  <a:rPr lang="en-GB"/>
                  <a:t>per 10,000 0-17 year olds</a:t>
                </a:r>
              </a:p>
            </c:rich>
          </c:tx>
          <c:layout>
            <c:manualLayout>
              <c:xMode val="edge"/>
              <c:yMode val="edge"/>
              <c:x val="4.1925738303691062E-2"/>
              <c:y val="0.12308404866880428"/>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241676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Percentage change in Number of Referrals 2015-2018</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Referrals!$I$7</c:f>
              <c:strCache>
                <c:ptCount val="1"/>
                <c:pt idx="0">
                  <c:v>% Change 2015-18</c:v>
                </c:pt>
              </c:strCache>
            </c:strRef>
          </c:tx>
          <c:spPr>
            <a:solidFill>
              <a:srgbClr val="FB994F"/>
            </a:solidFill>
            <a:ln w="25400">
              <a:noFill/>
            </a:ln>
          </c:spPr>
          <c:invertIfNegative val="0"/>
          <c:cat>
            <c:strRef>
              <c:f>Referrals!$B$9:$B$32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Referrals!$I$9:$I$32</c:f>
              <c:numCache>
                <c:formatCode>0.0%</c:formatCode>
                <c:ptCount val="24"/>
                <c:pt idx="0">
                  <c:v>0.71603773584905661</c:v>
                </c:pt>
                <c:pt idx="1">
                  <c:v>-0.54235664431367181</c:v>
                </c:pt>
                <c:pt idx="2">
                  <c:v>1.0154026125950477</c:v>
                </c:pt>
                <c:pt idx="3">
                  <c:v>9.4486215538847118E-2</c:v>
                </c:pt>
                <c:pt idx="4">
                  <c:v>-3.7853006149620873E-2</c:v>
                </c:pt>
                <c:pt idx="5">
                  <c:v>-6.8631578947368418E-2</c:v>
                </c:pt>
                <c:pt idx="6">
                  <c:v>0.17206122572448423</c:v>
                </c:pt>
                <c:pt idx="7">
                  <c:v>-0.15194805194805194</c:v>
                </c:pt>
                <c:pt idx="8">
                  <c:v>-8.1743869209809264E-2</c:v>
                </c:pt>
                <c:pt idx="9">
                  <c:v>0.20324916122196715</c:v>
                </c:pt>
                <c:pt idx="10">
                  <c:v>0.48099947943779281</c:v>
                </c:pt>
                <c:pt idx="11">
                  <c:v>0.57083084279736995</c:v>
                </c:pt>
                <c:pt idx="12">
                  <c:v>-0.30280455740578438</c:v>
                </c:pt>
                <c:pt idx="13">
                  <c:v>-7.619388302629225E-2</c:v>
                </c:pt>
                <c:pt idx="14">
                  <c:v>-0.59216481972842205</c:v>
                </c:pt>
                <c:pt idx="15">
                  <c:v>0.36546748171159432</c:v>
                </c:pt>
                <c:pt idx="16">
                  <c:v>0.36867924528301887</c:v>
                </c:pt>
                <c:pt idx="17">
                  <c:v>-0.1541705716963449</c:v>
                </c:pt>
                <c:pt idx="18">
                  <c:v>0.20095313741064336</c:v>
                </c:pt>
                <c:pt idx="19">
                  <c:v>0.44499060286251263</c:v>
                </c:pt>
                <c:pt idx="20">
                  <c:v>1.2404580152671756E-2</c:v>
                </c:pt>
                <c:pt idx="21">
                  <c:v>0.38484848484848483</c:v>
                </c:pt>
                <c:pt idx="22">
                  <c:v>0.1</c:v>
                </c:pt>
                <c:pt idx="23">
                  <c:v>3.1513530522341092E-2</c:v>
                </c:pt>
              </c:numCache>
            </c:numRef>
          </c:val>
        </c:ser>
        <c:ser>
          <c:idx val="1"/>
          <c:order val="1"/>
          <c:tx>
            <c:strRef>
              <c:f>Referrals!$Z$4</c:f>
              <c:strCache>
                <c:ptCount val="1"/>
                <c:pt idx="0">
                  <c:v>Selected LA- (none)</c:v>
                </c:pt>
              </c:strCache>
            </c:strRef>
          </c:tx>
          <c:spPr>
            <a:solidFill>
              <a:srgbClr val="66FF99"/>
            </a:solidFill>
            <a:ln w="12700">
              <a:solidFill>
                <a:srgbClr val="000000"/>
              </a:solidFill>
              <a:prstDash val="solid"/>
            </a:ln>
          </c:spPr>
          <c:invertIfNegative val="0"/>
          <c:cat>
            <c:strRef>
              <c:f>Referrals!$B$9:$B$32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Referrals!$Y$76:$Y$99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179822976"/>
        <c:axId val="179824512"/>
      </c:barChart>
      <c:catAx>
        <c:axId val="17982297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824512"/>
        <c:crosses val="autoZero"/>
        <c:auto val="1"/>
        <c:lblAlgn val="ctr"/>
        <c:lblOffset val="100"/>
        <c:noMultiLvlLbl val="0"/>
      </c:catAx>
      <c:valAx>
        <c:axId val="17982451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822976"/>
        <c:crosses val="max"/>
        <c:crossBetween val="between"/>
      </c:valAx>
      <c:spPr>
        <a:noFill/>
        <a:ln w="3175">
          <a:solidFill>
            <a:srgbClr val="000000"/>
          </a:solidFill>
          <a:prstDash val="solid"/>
        </a:ln>
      </c:spPr>
    </c:plotArea>
    <c:legend>
      <c:legendPos val="t"/>
      <c:layout>
        <c:manualLayout>
          <c:xMode val="edge"/>
          <c:yMode val="edge"/>
          <c:x val="0.2503198463828385"/>
          <c:y val="6.9798205456876025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Placed for Adoption at 31st March, per </a:t>
            </a:r>
          </a:p>
          <a:p>
            <a:pPr>
              <a:defRPr sz="1000" b="1" i="0" u="none" strike="noStrike" baseline="0">
                <a:solidFill>
                  <a:srgbClr val="000000"/>
                </a:solidFill>
                <a:latin typeface="Arial"/>
                <a:ea typeface="Arial"/>
                <a:cs typeface="Arial"/>
              </a:defRPr>
            </a:pPr>
            <a:r>
              <a:rPr lang="en-GB"/>
              <a:t>10,000 0-17 year olds</a:t>
            </a:r>
          </a:p>
        </c:rich>
      </c:tx>
      <c:layout>
        <c:manualLayout>
          <c:xMode val="edge"/>
          <c:yMode val="edge"/>
          <c:x val="0.15320282593134357"/>
          <c:y val="1.054754304786173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4050498859185963"/>
        </c:manualLayout>
      </c:layout>
      <c:lineChart>
        <c:grouping val="standard"/>
        <c:varyColors val="0"/>
        <c:ser>
          <c:idx val="0"/>
          <c:order val="0"/>
          <c:tx>
            <c:strRef>
              <c:f>Adoption!$AL$41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Adoption!$D$8:$H$8</c:f>
              <c:numCache>
                <c:formatCode>General</c:formatCode>
                <c:ptCount val="5"/>
                <c:pt idx="0">
                  <c:v>2014</c:v>
                </c:pt>
                <c:pt idx="1">
                  <c:v>2015</c:v>
                </c:pt>
                <c:pt idx="2">
                  <c:v>2016</c:v>
                </c:pt>
                <c:pt idx="3">
                  <c:v>2017</c:v>
                </c:pt>
                <c:pt idx="4">
                  <c:v>2018</c:v>
                </c:pt>
              </c:numCache>
            </c:numRef>
          </c:cat>
          <c:val>
            <c:numRef>
              <c:f>Adoption!$AM$41:$AQ$41</c:f>
              <c:numCache>
                <c:formatCode>0.0</c:formatCode>
                <c:ptCount val="5"/>
                <c:pt idx="0">
                  <c:v>#N/A</c:v>
                </c:pt>
                <c:pt idx="1">
                  <c:v>1.7985611510791368</c:v>
                </c:pt>
                <c:pt idx="2">
                  <c:v>1.773049645390071</c:v>
                </c:pt>
                <c:pt idx="3">
                  <c:v>#N/A</c:v>
                </c:pt>
                <c:pt idx="4">
                  <c:v>#N/A</c:v>
                </c:pt>
              </c:numCache>
            </c:numRef>
          </c:val>
          <c:smooth val="0"/>
        </c:ser>
        <c:ser>
          <c:idx val="1"/>
          <c:order val="1"/>
          <c:tx>
            <c:strRef>
              <c:f>Adoption!$AL$42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Adoption!$AM$42:$AQ$42</c:f>
              <c:numCache>
                <c:formatCode>0.0</c:formatCode>
                <c:ptCount val="5"/>
                <c:pt idx="0">
                  <c:v>4.9504950495049505</c:v>
                </c:pt>
                <c:pt idx="1">
                  <c:v>4.9019607843137258</c:v>
                </c:pt>
                <c:pt idx="2">
                  <c:v>2.9296875</c:v>
                </c:pt>
                <c:pt idx="3">
                  <c:v>6.045123925040464</c:v>
                </c:pt>
                <c:pt idx="4">
                  <c:v>3.7268786410623562</c:v>
                </c:pt>
              </c:numCache>
            </c:numRef>
          </c:val>
          <c:smooth val="0"/>
        </c:ser>
        <c:ser>
          <c:idx val="2"/>
          <c:order val="2"/>
          <c:tx>
            <c:strRef>
              <c:f>Adoption!$AL$43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Adoption!$AM$43:$AQ$43</c:f>
              <c:numCache>
                <c:formatCode>0.0</c:formatCode>
                <c:ptCount val="5"/>
                <c:pt idx="0">
                  <c:v>1.2755102040816328</c:v>
                </c:pt>
                <c:pt idx="1">
                  <c:v>2.1026072329688814</c:v>
                </c:pt>
                <c:pt idx="2">
                  <c:v>2.0729684908789388</c:v>
                </c:pt>
                <c:pt idx="3">
                  <c:v>1.1456159731598543</c:v>
                </c:pt>
                <c:pt idx="4">
                  <c:v>0.73126142595978061</c:v>
                </c:pt>
              </c:numCache>
            </c:numRef>
          </c:val>
          <c:smooth val="0"/>
        </c:ser>
        <c:ser>
          <c:idx val="5"/>
          <c:order val="3"/>
          <c:tx>
            <c:strRef>
              <c:f>Adoption!$AL$44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Adoption!$AM$44:$AQ$44</c:f>
              <c:numCache>
                <c:formatCode>0.0</c:formatCode>
                <c:ptCount val="5"/>
                <c:pt idx="0">
                  <c:v>2.8625954198473282</c:v>
                </c:pt>
                <c:pt idx="1">
                  <c:v>3.795066413662239</c:v>
                </c:pt>
                <c:pt idx="2">
                  <c:v>2.8328611898016995</c:v>
                </c:pt>
                <c:pt idx="3">
                  <c:v>2.8322460655381736</c:v>
                </c:pt>
                <c:pt idx="4">
                  <c:v>2.4517893347163939</c:v>
                </c:pt>
              </c:numCache>
            </c:numRef>
          </c:val>
          <c:smooth val="0"/>
        </c:ser>
        <c:ser>
          <c:idx val="9"/>
          <c:order val="4"/>
          <c:tx>
            <c:strRef>
              <c:f>Adoption!$AL$45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Adoption!$AM$45:$AQ$45</c:f>
              <c:numCache>
                <c:formatCode>0.0</c:formatCode>
                <c:ptCount val="5"/>
                <c:pt idx="0">
                  <c:v>2.1284143313231643</c:v>
                </c:pt>
                <c:pt idx="1">
                  <c:v>2.4866785079928952</c:v>
                </c:pt>
                <c:pt idx="2">
                  <c:v>2.1284143313231643</c:v>
                </c:pt>
                <c:pt idx="3">
                  <c:v>1.4498339763288082</c:v>
                </c:pt>
                <c:pt idx="4">
                  <c:v>1.941308936374482</c:v>
                </c:pt>
              </c:numCache>
            </c:numRef>
          </c:val>
          <c:smooth val="0"/>
        </c:ser>
        <c:ser>
          <c:idx val="10"/>
          <c:order val="5"/>
          <c:tx>
            <c:strRef>
              <c:f>Adoption!$AL$46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Adoption!$AM$46:$AQ$46</c:f>
              <c:numCache>
                <c:formatCode>0.0</c:formatCode>
                <c:ptCount val="5"/>
                <c:pt idx="0">
                  <c:v>#N/A</c:v>
                </c:pt>
                <c:pt idx="1">
                  <c:v>3.9215686274509802</c:v>
                </c:pt>
                <c:pt idx="2">
                  <c:v>#N/A</c:v>
                </c:pt>
                <c:pt idx="3">
                  <c:v>3.9682539682539684</c:v>
                </c:pt>
                <c:pt idx="4">
                  <c:v>#N/A</c:v>
                </c:pt>
              </c:numCache>
            </c:numRef>
          </c:val>
          <c:smooth val="0"/>
        </c:ser>
        <c:ser>
          <c:idx val="11"/>
          <c:order val="6"/>
          <c:tx>
            <c:strRef>
              <c:f>Adoption!$AL$47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Adoption!$AM$47:$AQ$47</c:f>
              <c:numCache>
                <c:formatCode>0.0</c:formatCode>
                <c:ptCount val="5"/>
                <c:pt idx="0">
                  <c:v>3.5319410319410318</c:v>
                </c:pt>
                <c:pt idx="1">
                  <c:v>2.1321961620469083</c:v>
                </c:pt>
                <c:pt idx="2">
                  <c:v>1.513317191283293</c:v>
                </c:pt>
                <c:pt idx="3">
                  <c:v>1.6514284856400787</c:v>
                </c:pt>
                <c:pt idx="4">
                  <c:v>1.6662203576422983</c:v>
                </c:pt>
              </c:numCache>
            </c:numRef>
          </c:val>
          <c:smooth val="0"/>
        </c:ser>
        <c:ser>
          <c:idx val="12"/>
          <c:order val="7"/>
          <c:tx>
            <c:strRef>
              <c:f>Adoption!$AL$48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Adoption!$AM$48:$AQ$48</c:f>
              <c:numCache>
                <c:formatCode>0.0</c:formatCode>
                <c:ptCount val="5"/>
                <c:pt idx="0">
                  <c:v>6.4935064935064934</c:v>
                </c:pt>
                <c:pt idx="1">
                  <c:v>3.2</c:v>
                </c:pt>
                <c:pt idx="2">
                  <c:v>3.9556962025316453</c:v>
                </c:pt>
                <c:pt idx="3">
                  <c:v>5.6517575396015509</c:v>
                </c:pt>
                <c:pt idx="4">
                  <c:v>3.596953536743662</c:v>
                </c:pt>
              </c:numCache>
            </c:numRef>
          </c:val>
          <c:smooth val="0"/>
        </c:ser>
        <c:ser>
          <c:idx val="13"/>
          <c:order val="8"/>
          <c:tx>
            <c:strRef>
              <c:f>Adoption!$AL$49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Adoption!$AM$49:$AQ$49</c:f>
              <c:numCache>
                <c:formatCode>0.0</c:formatCode>
                <c:ptCount val="5"/>
                <c:pt idx="0">
                  <c:v>1.5625</c:v>
                </c:pt>
                <c:pt idx="1">
                  <c:v>1.5337423312883436</c:v>
                </c:pt>
                <c:pt idx="2">
                  <c:v>#N/A</c:v>
                </c:pt>
                <c:pt idx="3">
                  <c:v>0.8935751943526048</c:v>
                </c:pt>
                <c:pt idx="4">
                  <c:v>#N/A</c:v>
                </c:pt>
              </c:numCache>
            </c:numRef>
          </c:val>
          <c:smooth val="0"/>
        </c:ser>
        <c:ser>
          <c:idx val="15"/>
          <c:order val="9"/>
          <c:tx>
            <c:strRef>
              <c:f>Adoption!$AL$50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Adoption!$AM$50:$AQ$50</c:f>
              <c:numCache>
                <c:formatCode>0.0</c:formatCode>
                <c:ptCount val="5"/>
                <c:pt idx="0">
                  <c:v>1.4255167498218104</c:v>
                </c:pt>
                <c:pt idx="1">
                  <c:v>2.1246458923512748</c:v>
                </c:pt>
                <c:pt idx="2">
                  <c:v>1.4104372355430184</c:v>
                </c:pt>
                <c:pt idx="3">
                  <c:v>1.889472837078455</c:v>
                </c:pt>
                <c:pt idx="4">
                  <c:v>1.3245587128077856</c:v>
                </c:pt>
              </c:numCache>
            </c:numRef>
          </c:val>
          <c:smooth val="0"/>
        </c:ser>
        <c:ser>
          <c:idx val="16"/>
          <c:order val="10"/>
          <c:tx>
            <c:strRef>
              <c:f>Adoption!$AL$51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Adoption!$AM$51:$AQ$51</c:f>
              <c:numCache>
                <c:formatCode>0.0</c:formatCode>
                <c:ptCount val="5"/>
                <c:pt idx="0">
                  <c:v>4.694835680751174</c:v>
                </c:pt>
                <c:pt idx="1">
                  <c:v>3.4562211981566819</c:v>
                </c:pt>
                <c:pt idx="2">
                  <c:v>4.5662100456621006</c:v>
                </c:pt>
                <c:pt idx="3">
                  <c:v>#N/A</c:v>
                </c:pt>
                <c:pt idx="4">
                  <c:v>#N/A</c:v>
                </c:pt>
              </c:numCache>
            </c:numRef>
          </c:val>
          <c:smooth val="0"/>
        </c:ser>
        <c:ser>
          <c:idx val="17"/>
          <c:order val="11"/>
          <c:tx>
            <c:strRef>
              <c:f>Adoption!$AL$52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Adoption!$AM$52:$AQ$52</c:f>
              <c:numCache>
                <c:formatCode>0.0</c:formatCode>
                <c:ptCount val="5"/>
                <c:pt idx="0">
                  <c:v>4.3227665706051877</c:v>
                </c:pt>
                <c:pt idx="1">
                  <c:v>5.5710306406685239</c:v>
                </c:pt>
                <c:pt idx="2">
                  <c:v>1.3736263736263736</c:v>
                </c:pt>
                <c:pt idx="3">
                  <c:v>#N/A</c:v>
                </c:pt>
                <c:pt idx="4">
                  <c:v>3.2351117461515648</c:v>
                </c:pt>
              </c:numCache>
            </c:numRef>
          </c:val>
          <c:smooth val="0"/>
        </c:ser>
        <c:ser>
          <c:idx val="19"/>
          <c:order val="12"/>
          <c:tx>
            <c:strRef>
              <c:f>Adoption!$AL$53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Adoption!$AM$53:$AQ$53</c:f>
              <c:numCache>
                <c:formatCode>0.0</c:formatCode>
                <c:ptCount val="5"/>
                <c:pt idx="0">
                  <c:v>3.8560411311053988</c:v>
                </c:pt>
                <c:pt idx="1">
                  <c:v>#N/A</c:v>
                </c:pt>
                <c:pt idx="2">
                  <c:v>1.2315270935960589</c:v>
                </c:pt>
                <c:pt idx="3">
                  <c:v>1.9320871371298844</c:v>
                </c:pt>
                <c:pt idx="4">
                  <c:v>1.8966334755808441</c:v>
                </c:pt>
              </c:numCache>
            </c:numRef>
          </c:val>
          <c:smooth val="0"/>
        </c:ser>
        <c:ser>
          <c:idx val="3"/>
          <c:order val="13"/>
          <c:tx>
            <c:strRef>
              <c:f>Adoption!$AL$54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Adoption!$AM$54:$AQ$54</c:f>
              <c:numCache>
                <c:formatCode>0.0</c:formatCode>
                <c:ptCount val="5"/>
                <c:pt idx="0">
                  <c:v>3.2169117647058822</c:v>
                </c:pt>
                <c:pt idx="1">
                  <c:v>2.2956841138659319</c:v>
                </c:pt>
                <c:pt idx="2">
                  <c:v>1.3736263736263736</c:v>
                </c:pt>
                <c:pt idx="3">
                  <c:v>1.4590951786023694</c:v>
                </c:pt>
                <c:pt idx="4">
                  <c:v>#N/A</c:v>
                </c:pt>
              </c:numCache>
            </c:numRef>
          </c:val>
          <c:smooth val="0"/>
        </c:ser>
        <c:ser>
          <c:idx val="20"/>
          <c:order val="14"/>
          <c:tx>
            <c:strRef>
              <c:f>Adoption!$AL$55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Adoption!$AM$55:$AQ$55</c:f>
              <c:numCache>
                <c:formatCode>0.0</c:formatCode>
                <c:ptCount val="5"/>
                <c:pt idx="0">
                  <c:v>8.4388185654008439</c:v>
                </c:pt>
                <c:pt idx="1">
                  <c:v>10.2880658436214</c:v>
                </c:pt>
                <c:pt idx="2">
                  <c:v>12.195121951219512</c:v>
                </c:pt>
                <c:pt idx="3">
                  <c:v>8.0158714254223362</c:v>
                </c:pt>
                <c:pt idx="4">
                  <c:v>5.5660471126130604</c:v>
                </c:pt>
              </c:numCache>
            </c:numRef>
          </c:val>
          <c:smooth val="0"/>
        </c:ser>
        <c:ser>
          <c:idx val="22"/>
          <c:order val="15"/>
          <c:tx>
            <c:strRef>
              <c:f>Adoption!$AL$56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Adoption!$AM$56:$AQ$56</c:f>
              <c:numCache>
                <c:formatCode>0.0</c:formatCode>
                <c:ptCount val="5"/>
                <c:pt idx="0">
                  <c:v>1.7857142857142858</c:v>
                </c:pt>
                <c:pt idx="1">
                  <c:v>1.5710919088766693</c:v>
                </c:pt>
                <c:pt idx="2">
                  <c:v>1.3650546021840875</c:v>
                </c:pt>
                <c:pt idx="3">
                  <c:v>0.84942412905069131</c:v>
                </c:pt>
                <c:pt idx="4">
                  <c:v>0.53783062177061525</c:v>
                </c:pt>
              </c:numCache>
            </c:numRef>
          </c:val>
          <c:smooth val="0"/>
        </c:ser>
        <c:ser>
          <c:idx val="7"/>
          <c:order val="16"/>
          <c:tx>
            <c:strRef>
              <c:f>Adoption!$AL$57</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Adoption!$AM$57:$AQ$57</c:f>
              <c:numCache>
                <c:formatCode>0.0</c:formatCode>
                <c:ptCount val="5"/>
                <c:pt idx="0">
                  <c:v>1.0438413361169103</c:v>
                </c:pt>
                <c:pt idx="1">
                  <c:v>#N/A</c:v>
                </c:pt>
                <c:pt idx="2">
                  <c:v>1.0204081632653061</c:v>
                </c:pt>
                <c:pt idx="3">
                  <c:v>#N/A</c:v>
                </c:pt>
                <c:pt idx="4">
                  <c:v>#N/A</c:v>
                </c:pt>
              </c:numCache>
            </c:numRef>
          </c:val>
          <c:smooth val="0"/>
        </c:ser>
        <c:ser>
          <c:idx val="8"/>
          <c:order val="17"/>
          <c:tx>
            <c:strRef>
              <c:f>Adoption!$AL$58</c:f>
              <c:strCache>
                <c:ptCount val="1"/>
                <c:pt idx="0">
                  <c:v>Torbay</c:v>
                </c:pt>
              </c:strCache>
            </c:strRef>
          </c:tx>
          <c:spPr>
            <a:ln w="15875"/>
          </c:spPr>
          <c:marker>
            <c:symbol val="circle"/>
            <c:size val="5"/>
            <c:spPr>
              <a:solidFill>
                <a:schemeClr val="accent3">
                  <a:lumMod val="20000"/>
                  <a:lumOff val="80000"/>
                </a:schemeClr>
              </a:solidFill>
            </c:spPr>
          </c:marker>
          <c:val>
            <c:numRef>
              <c:f>Adoption!$AM$58:$AQ$58</c:f>
              <c:numCache>
                <c:formatCode>0.0</c:formatCode>
                <c:ptCount val="5"/>
                <c:pt idx="0">
                  <c:v>4.032258064516129</c:v>
                </c:pt>
                <c:pt idx="1">
                  <c:v>7.9681274900398407</c:v>
                </c:pt>
                <c:pt idx="2">
                  <c:v>3.9682539682539684</c:v>
                </c:pt>
                <c:pt idx="3">
                  <c:v>5.517676270050841</c:v>
                </c:pt>
                <c:pt idx="4">
                  <c:v>2.7540622418066651</c:v>
                </c:pt>
              </c:numCache>
            </c:numRef>
          </c:val>
          <c:smooth val="0"/>
        </c:ser>
        <c:ser>
          <c:idx val="23"/>
          <c:order val="18"/>
          <c:tx>
            <c:strRef>
              <c:f>Adoption!$AL$59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Adoption!$AM$59:$AQ$59</c:f>
              <c:numCache>
                <c:formatCode>0.0</c:formatCode>
                <c:ptCount val="5"/>
                <c:pt idx="0">
                  <c:v>#N/A</c:v>
                </c:pt>
                <c:pt idx="1">
                  <c:v>#N/A</c:v>
                </c:pt>
                <c:pt idx="2">
                  <c:v>2.8011204481792715</c:v>
                </c:pt>
                <c:pt idx="3">
                  <c:v>#N/A</c:v>
                </c:pt>
                <c:pt idx="4">
                  <c:v>#N/A</c:v>
                </c:pt>
              </c:numCache>
            </c:numRef>
          </c:val>
          <c:smooth val="0"/>
        </c:ser>
        <c:ser>
          <c:idx val="24"/>
          <c:order val="19"/>
          <c:tx>
            <c:strRef>
              <c:f>Adoption!$AL$60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Adoption!$AM$60:$AQ$60</c:f>
              <c:numCache>
                <c:formatCode>0.0</c:formatCode>
                <c:ptCount val="5"/>
                <c:pt idx="0">
                  <c:v>1.4970059880239521</c:v>
                </c:pt>
                <c:pt idx="1">
                  <c:v>1.777251184834123</c:v>
                </c:pt>
                <c:pt idx="2">
                  <c:v>2.640845070422535</c:v>
                </c:pt>
                <c:pt idx="3">
                  <c:v>1.7466130262399497</c:v>
                </c:pt>
                <c:pt idx="4">
                  <c:v>2.3660989952735729</c:v>
                </c:pt>
              </c:numCache>
            </c:numRef>
          </c:val>
          <c:smooth val="0"/>
        </c:ser>
        <c:ser>
          <c:idx val="25"/>
          <c:order val="20"/>
          <c:tx>
            <c:strRef>
              <c:f>Adoption!$AL$61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Adoption!$AM$61:$AQ$61</c:f>
              <c:numCache>
                <c:formatCode>0.0</c:formatCode>
                <c:ptCount val="5"/>
                <c:pt idx="0">
                  <c:v>3.0030030030030028</c:v>
                </c:pt>
                <c:pt idx="1">
                  <c:v>2.9940119760479043</c:v>
                </c:pt>
                <c:pt idx="2">
                  <c:v>#N/A</c:v>
                </c:pt>
                <c:pt idx="3">
                  <c:v>#N/A</c:v>
                </c:pt>
                <c:pt idx="4">
                  <c:v>#N/A</c:v>
                </c:pt>
              </c:numCache>
            </c:numRef>
          </c:val>
          <c:smooth val="0"/>
        </c:ser>
        <c:ser>
          <c:idx val="26"/>
          <c:order val="21"/>
          <c:tx>
            <c:strRef>
              <c:f>Adoption!$AL$62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Adoption!$AM$62:$AQ$62</c:f>
              <c:numCache>
                <c:formatCode>0.0</c:formatCode>
                <c:ptCount val="5"/>
                <c:pt idx="0">
                  <c:v>#N/A</c:v>
                </c:pt>
                <c:pt idx="1">
                  <c:v>#N/A</c:v>
                </c:pt>
                <c:pt idx="2">
                  <c:v>#N/A</c:v>
                </c:pt>
                <c:pt idx="3">
                  <c:v>#N/A</c:v>
                </c:pt>
                <c:pt idx="4">
                  <c:v>#N/A</c:v>
                </c:pt>
              </c:numCache>
            </c:numRef>
          </c:val>
          <c:smooth val="0"/>
        </c:ser>
        <c:ser>
          <c:idx val="4"/>
          <c:order val="22"/>
          <c:tx>
            <c:strRef>
              <c:f>Adoption!$AL$63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Adoption!$D$8:$H$8</c:f>
              <c:numCache>
                <c:formatCode>General</c:formatCode>
                <c:ptCount val="5"/>
                <c:pt idx="0">
                  <c:v>2014</c:v>
                </c:pt>
                <c:pt idx="1">
                  <c:v>2015</c:v>
                </c:pt>
                <c:pt idx="2">
                  <c:v>2016</c:v>
                </c:pt>
                <c:pt idx="3">
                  <c:v>2017</c:v>
                </c:pt>
                <c:pt idx="4">
                  <c:v>2018</c:v>
                </c:pt>
              </c:numCache>
            </c:numRef>
          </c:cat>
          <c:val>
            <c:numRef>
              <c:f>Adoption!$AM$63:$AQ$63</c:f>
              <c:numCache>
                <c:formatCode>0.0</c:formatCode>
                <c:ptCount val="5"/>
                <c:pt idx="0">
                  <c:v>2.6499894000423998</c:v>
                </c:pt>
                <c:pt idx="1">
                  <c:v>2.6257746035080349</c:v>
                </c:pt>
                <c:pt idx="2">
                  <c:v>2.1375319326416768</c:v>
                </c:pt>
                <c:pt idx="3">
                  <c:v>1.9656599211770371</c:v>
                </c:pt>
                <c:pt idx="4">
                  <c:v>1.7490926581835673</c:v>
                </c:pt>
              </c:numCache>
            </c:numRef>
          </c:val>
          <c:smooth val="0"/>
        </c:ser>
        <c:ser>
          <c:idx val="14"/>
          <c:order val="23"/>
          <c:tx>
            <c:strRef>
              <c:f>Adoption!$AL$64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Adoption!$AM$64:$AQ$64</c:f>
              <c:numCache>
                <c:formatCode>0.0</c:formatCode>
                <c:ptCount val="5"/>
                <c:pt idx="0">
                  <c:v>3.1187657353927638</c:v>
                </c:pt>
                <c:pt idx="1">
                  <c:v>2.8641182915361854</c:v>
                </c:pt>
                <c:pt idx="2">
                  <c:v>2.5175759340292343</c:v>
                </c:pt>
                <c:pt idx="3">
                  <c:v>2.1382611541502166</c:v>
                </c:pt>
                <c:pt idx="4">
                  <c:v>1.8791675068848737</c:v>
                </c:pt>
              </c:numCache>
            </c:numRef>
          </c:val>
          <c:smooth val="0"/>
        </c:ser>
        <c:ser>
          <c:idx val="6"/>
          <c:order val="24"/>
          <c:tx>
            <c:strRef>
              <c:f>Adoption!$AL$65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Adoption!$D$8:$H$8</c:f>
              <c:numCache>
                <c:formatCode>General</c:formatCode>
                <c:ptCount val="5"/>
                <c:pt idx="0">
                  <c:v>2014</c:v>
                </c:pt>
                <c:pt idx="1">
                  <c:v>2015</c:v>
                </c:pt>
                <c:pt idx="2">
                  <c:v>2016</c:v>
                </c:pt>
                <c:pt idx="3">
                  <c:v>2017</c:v>
                </c:pt>
                <c:pt idx="4">
                  <c:v>2018</c:v>
                </c:pt>
              </c:numCache>
            </c:numRef>
          </c:cat>
          <c:val>
            <c:numRef>
              <c:f>Adoption!$AM$65:$AQ$65</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67302400"/>
        <c:axId val="267304320"/>
      </c:lineChart>
      <c:catAx>
        <c:axId val="267302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7304320"/>
        <c:crosses val="autoZero"/>
        <c:auto val="1"/>
        <c:lblAlgn val="ctr"/>
        <c:lblOffset val="100"/>
        <c:tickLblSkip val="1"/>
        <c:tickMarkSkip val="1"/>
        <c:noMultiLvlLbl val="0"/>
      </c:catAx>
      <c:valAx>
        <c:axId val="26730432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730240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Children Placed for Adoption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0835954946191171"/>
          <c:y val="3.8613923259592552E-3"/>
        </c:manualLayout>
      </c:layout>
      <c:overlay val="0"/>
      <c:spPr>
        <a:noFill/>
        <a:ln w="25400">
          <a:noFill/>
        </a:ln>
      </c:spPr>
    </c:title>
    <c:autoTitleDeleted val="0"/>
    <c:plotArea>
      <c:layout>
        <c:manualLayout>
          <c:layoutTarget val="inner"/>
          <c:xMode val="edge"/>
          <c:yMode val="edge"/>
          <c:x val="7.8261965506059988E-2"/>
          <c:y val="0.21104924384451942"/>
          <c:w val="0.67011018727554161"/>
          <c:h val="0.66336457942757154"/>
        </c:manualLayout>
      </c:layout>
      <c:barChart>
        <c:barDir val="col"/>
        <c:grouping val="clustered"/>
        <c:varyColors val="0"/>
        <c:ser>
          <c:idx val="6"/>
          <c:order val="0"/>
          <c:tx>
            <c:strRef>
              <c:f>Adoption!$AA$4</c:f>
              <c:strCache>
                <c:ptCount val="1"/>
                <c:pt idx="0">
                  <c:v>Selected LA- (none)</c:v>
                </c:pt>
              </c:strCache>
            </c:strRef>
          </c:tx>
          <c:spPr>
            <a:solidFill>
              <a:srgbClr val="66FF99"/>
            </a:solidFill>
            <a:ln>
              <a:solidFill>
                <a:schemeClr val="tx1">
                  <a:lumMod val="75000"/>
                  <a:lumOff val="25000"/>
                </a:schemeClr>
              </a:solidFill>
            </a:ln>
          </c:spPr>
          <c:invertIfNegative val="0"/>
          <c:val>
            <c:numRef>
              <c:f>Adoption!$Y$71:$AC$71</c:f>
              <c:numCache>
                <c:formatCode>0.0</c:formatCode>
                <c:ptCount val="5"/>
                <c:pt idx="0">
                  <c:v>#N/A</c:v>
                </c:pt>
                <c:pt idx="1">
                  <c:v>#N/A</c:v>
                </c:pt>
                <c:pt idx="2">
                  <c:v>#N/A</c:v>
                </c:pt>
                <c:pt idx="3">
                  <c:v>#N/A</c:v>
                </c:pt>
                <c:pt idx="4">
                  <c:v>#N/A</c:v>
                </c:pt>
              </c:numCache>
            </c:numRef>
          </c:val>
        </c:ser>
        <c:ser>
          <c:idx val="4"/>
          <c:order val="1"/>
          <c:tx>
            <c:strRef>
              <c:f>Adoption!$B$31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Adoption!$K$8:$O$8</c:f>
              <c:numCache>
                <c:formatCode>General</c:formatCode>
                <c:ptCount val="5"/>
                <c:pt idx="0">
                  <c:v>2014</c:v>
                </c:pt>
                <c:pt idx="1">
                  <c:v>2015</c:v>
                </c:pt>
                <c:pt idx="2">
                  <c:v>2016</c:v>
                </c:pt>
                <c:pt idx="3">
                  <c:v>2017</c:v>
                </c:pt>
                <c:pt idx="4">
                  <c:v>2018</c:v>
                </c:pt>
              </c:numCache>
            </c:numRef>
          </c:cat>
          <c:val>
            <c:numRef>
              <c:f>Adoption!$K$31:$O$31</c:f>
              <c:numCache>
                <c:formatCode>0.0</c:formatCode>
                <c:ptCount val="5"/>
                <c:pt idx="0">
                  <c:v>2.6499894000423998</c:v>
                </c:pt>
                <c:pt idx="1">
                  <c:v>2.6257746035080349</c:v>
                </c:pt>
                <c:pt idx="2">
                  <c:v>2.1375319326416768</c:v>
                </c:pt>
                <c:pt idx="3">
                  <c:v>1.9656599211770371</c:v>
                </c:pt>
                <c:pt idx="4">
                  <c:v>1.7490926581835673</c:v>
                </c:pt>
              </c:numCache>
            </c:numRef>
          </c:val>
        </c:ser>
        <c:ser>
          <c:idx val="0"/>
          <c:order val="2"/>
          <c:tx>
            <c:strRef>
              <c:f>Adoption!$B$32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Adoption!$K$32:$O$32</c:f>
              <c:numCache>
                <c:formatCode>0.0</c:formatCode>
                <c:ptCount val="5"/>
                <c:pt idx="0">
                  <c:v>3.1187657353927638</c:v>
                </c:pt>
                <c:pt idx="1">
                  <c:v>2.8641182915361854</c:v>
                </c:pt>
                <c:pt idx="2">
                  <c:v>2.5175759340292343</c:v>
                </c:pt>
                <c:pt idx="3">
                  <c:v>2.1382611541502166</c:v>
                </c:pt>
                <c:pt idx="4">
                  <c:v>1.8791675068848737</c:v>
                </c:pt>
              </c:numCache>
            </c:numRef>
          </c:val>
        </c:ser>
        <c:dLbls>
          <c:showLegendKey val="0"/>
          <c:showVal val="0"/>
          <c:showCatName val="0"/>
          <c:showSerName val="0"/>
          <c:showPercent val="0"/>
          <c:showBubbleSize val="0"/>
        </c:dLbls>
        <c:gapWidth val="100"/>
        <c:axId val="267757056"/>
        <c:axId val="267758592"/>
      </c:barChart>
      <c:catAx>
        <c:axId val="267757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7758592"/>
        <c:crosses val="autoZero"/>
        <c:auto val="1"/>
        <c:lblAlgn val="ctr"/>
        <c:lblOffset val="100"/>
        <c:noMultiLvlLbl val="0"/>
      </c:catAx>
      <c:valAx>
        <c:axId val="267758592"/>
        <c:scaling>
          <c:orientation val="minMax"/>
        </c:scaling>
        <c:delete val="0"/>
        <c:axPos val="l"/>
        <c:majorGridlines>
          <c:spPr>
            <a:ln w="12700">
              <a:solidFill>
                <a:schemeClr val="bg1">
                  <a:lumMod val="7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7757056"/>
        <c:crosses val="autoZero"/>
        <c:crossBetween val="between"/>
      </c:valAx>
      <c:spPr>
        <a:noFill/>
        <a:ln w="3175">
          <a:solidFill>
            <a:srgbClr val="000000"/>
          </a:solidFill>
          <a:prstDash val="solid"/>
        </a:ln>
      </c:spPr>
    </c:plotArea>
    <c:legend>
      <c:legendPos val="r"/>
      <c:layout>
        <c:manualLayout>
          <c:xMode val="edge"/>
          <c:yMode val="edge"/>
          <c:x val="0.75990284431229316"/>
          <c:y val="0.28271091113610797"/>
          <c:w val="0.24009715568770687"/>
          <c:h val="0.6629902512185976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LAC to Adoption (Selected LA vs. SE &amp; National) </a:t>
            </a:r>
          </a:p>
        </c:rich>
      </c:tx>
      <c:layout>
        <c:manualLayout>
          <c:xMode val="edge"/>
          <c:yMode val="edge"/>
          <c:x val="0.15128205128205127"/>
          <c:y val="3.1258763887390788E-2"/>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Adoption!$AA$4</c:f>
              <c:strCache>
                <c:ptCount val="1"/>
                <c:pt idx="0">
                  <c:v>Selected LA- (none)</c:v>
                </c:pt>
              </c:strCache>
            </c:strRef>
          </c:tx>
          <c:spPr>
            <a:solidFill>
              <a:srgbClr val="66FF99"/>
            </a:solidFill>
            <a:ln>
              <a:solidFill>
                <a:schemeClr val="tx1">
                  <a:lumMod val="75000"/>
                  <a:lumOff val="25000"/>
                </a:schemeClr>
              </a:solidFill>
            </a:ln>
          </c:spPr>
          <c:invertIfNegative val="0"/>
          <c:cat>
            <c:numRef>
              <c:f>Adoption!$K$8:$O$8</c:f>
              <c:numCache>
                <c:formatCode>General</c:formatCode>
                <c:ptCount val="5"/>
                <c:pt idx="0">
                  <c:v>2014</c:v>
                </c:pt>
                <c:pt idx="1">
                  <c:v>2015</c:v>
                </c:pt>
                <c:pt idx="2">
                  <c:v>2016</c:v>
                </c:pt>
                <c:pt idx="3">
                  <c:v>2017</c:v>
                </c:pt>
                <c:pt idx="4">
                  <c:v>2018</c:v>
                </c:pt>
              </c:numCache>
            </c:numRef>
          </c:cat>
          <c:val>
            <c:numRef>
              <c:f>Adoption!$AX$65:$BB$65</c:f>
              <c:numCache>
                <c:formatCode>0%</c:formatCode>
                <c:ptCount val="5"/>
                <c:pt idx="0">
                  <c:v>#N/A</c:v>
                </c:pt>
                <c:pt idx="1">
                  <c:v>#N/A</c:v>
                </c:pt>
                <c:pt idx="2">
                  <c:v>#N/A</c:v>
                </c:pt>
                <c:pt idx="3">
                  <c:v>#N/A</c:v>
                </c:pt>
                <c:pt idx="4">
                  <c:v>#N/A</c:v>
                </c:pt>
              </c:numCache>
            </c:numRef>
          </c:val>
        </c:ser>
        <c:ser>
          <c:idx val="4"/>
          <c:order val="1"/>
          <c:tx>
            <c:strRef>
              <c:f>Adoption!$B$98</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Adoption!$K$8:$O$8</c:f>
              <c:numCache>
                <c:formatCode>General</c:formatCode>
                <c:ptCount val="5"/>
                <c:pt idx="0">
                  <c:v>2014</c:v>
                </c:pt>
                <c:pt idx="1">
                  <c:v>2015</c:v>
                </c:pt>
                <c:pt idx="2">
                  <c:v>2016</c:v>
                </c:pt>
                <c:pt idx="3">
                  <c:v>2017</c:v>
                </c:pt>
                <c:pt idx="4">
                  <c:v>2018</c:v>
                </c:pt>
              </c:numCache>
            </c:numRef>
          </c:cat>
          <c:val>
            <c:numRef>
              <c:f>Adoption!$D$98:$H$98</c:f>
              <c:numCache>
                <c:formatCode>0%</c:formatCode>
                <c:ptCount val="5"/>
                <c:pt idx="0">
                  <c:v>0.17041244751790566</c:v>
                </c:pt>
                <c:pt idx="1">
                  <c:v>0.18092909535452323</c:v>
                </c:pt>
                <c:pt idx="2">
                  <c:v>0.14224137931034483</c:v>
                </c:pt>
                <c:pt idx="3">
                  <c:v>0.13118279569892474</c:v>
                </c:pt>
                <c:pt idx="4">
                  <c:v>0.12325581395348838</c:v>
                </c:pt>
              </c:numCache>
            </c:numRef>
          </c:val>
        </c:ser>
        <c:ser>
          <c:idx val="0"/>
          <c:order val="2"/>
          <c:tx>
            <c:strRef>
              <c:f>Adoption!$B$99</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Adoption!$D$99:$H$99</c:f>
              <c:numCache>
                <c:formatCode>0%</c:formatCode>
                <c:ptCount val="5"/>
                <c:pt idx="0">
                  <c:v>0.16503267973856209</c:v>
                </c:pt>
                <c:pt idx="1">
                  <c:v>0.17097288676236044</c:v>
                </c:pt>
                <c:pt idx="2">
                  <c:v>0.14788069073783361</c:v>
                </c:pt>
                <c:pt idx="3">
                  <c:v>0.13912766634829671</c:v>
                </c:pt>
                <c:pt idx="4">
                  <c:v>0.12793034159410582</c:v>
                </c:pt>
              </c:numCache>
            </c:numRef>
          </c:val>
        </c:ser>
        <c:dLbls>
          <c:showLegendKey val="0"/>
          <c:showVal val="0"/>
          <c:showCatName val="0"/>
          <c:showSerName val="0"/>
          <c:showPercent val="0"/>
          <c:showBubbleSize val="0"/>
        </c:dLbls>
        <c:gapWidth val="100"/>
        <c:axId val="268075776"/>
        <c:axId val="268077312"/>
      </c:barChart>
      <c:catAx>
        <c:axId val="268075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8077312"/>
        <c:crosses val="autoZero"/>
        <c:auto val="1"/>
        <c:lblAlgn val="ctr"/>
        <c:lblOffset val="100"/>
        <c:noMultiLvlLbl val="0"/>
      </c:catAx>
      <c:valAx>
        <c:axId val="26807731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8075776"/>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289110976512551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ceasing to be Looked After in year who were Adopted (%)</a:t>
            </a:r>
          </a:p>
        </c:rich>
      </c:tx>
      <c:layout>
        <c:manualLayout>
          <c:xMode val="edge"/>
          <c:yMode val="edge"/>
          <c:x val="0.1213192851911841"/>
          <c:y val="6.121492874137993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Adoption!$AL$41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Adoption!$AX$40:$BB$40</c:f>
              <c:numCache>
                <c:formatCode>General</c:formatCode>
                <c:ptCount val="5"/>
                <c:pt idx="0">
                  <c:v>2014</c:v>
                </c:pt>
                <c:pt idx="1">
                  <c:v>2015</c:v>
                </c:pt>
                <c:pt idx="2">
                  <c:v>2016</c:v>
                </c:pt>
                <c:pt idx="3">
                  <c:v>2017</c:v>
                </c:pt>
                <c:pt idx="4">
                  <c:v>2018</c:v>
                </c:pt>
              </c:numCache>
            </c:numRef>
          </c:cat>
          <c:val>
            <c:numRef>
              <c:f>Adoption!$AX$41:$BB$41</c:f>
              <c:numCache>
                <c:formatCode>0.0%</c:formatCode>
                <c:ptCount val="5"/>
                <c:pt idx="0">
                  <c:v>0.20833333333333334</c:v>
                </c:pt>
                <c:pt idx="1">
                  <c:v>0.10344827586206896</c:v>
                </c:pt>
                <c:pt idx="2">
                  <c:v>0.13235294117647059</c:v>
                </c:pt>
                <c:pt idx="3">
                  <c:v>#N/A</c:v>
                </c:pt>
                <c:pt idx="4">
                  <c:v>#N/A</c:v>
                </c:pt>
              </c:numCache>
            </c:numRef>
          </c:val>
          <c:smooth val="0"/>
        </c:ser>
        <c:ser>
          <c:idx val="1"/>
          <c:order val="1"/>
          <c:tx>
            <c:strRef>
              <c:f>Adoption!$AL$42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Adoption!$AX$42:$BB$42</c:f>
              <c:numCache>
                <c:formatCode>0.0%</c:formatCode>
                <c:ptCount val="5"/>
                <c:pt idx="0">
                  <c:v>0.21111111111111111</c:v>
                </c:pt>
                <c:pt idx="1">
                  <c:v>0.265625</c:v>
                </c:pt>
                <c:pt idx="2">
                  <c:v>0.15918367346938775</c:v>
                </c:pt>
                <c:pt idx="3">
                  <c:v>0.12849162011173185</c:v>
                </c:pt>
                <c:pt idx="4">
                  <c:v>0.18181818181818182</c:v>
                </c:pt>
              </c:numCache>
            </c:numRef>
          </c:val>
          <c:smooth val="0"/>
        </c:ser>
        <c:ser>
          <c:idx val="2"/>
          <c:order val="2"/>
          <c:tx>
            <c:strRef>
              <c:f>Adoption!$AL$43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Adoption!$AX$43:$BB$43</c:f>
              <c:numCache>
                <c:formatCode>0.0%</c:formatCode>
                <c:ptCount val="5"/>
                <c:pt idx="0">
                  <c:v>0.22727272727272727</c:v>
                </c:pt>
                <c:pt idx="1">
                  <c:v>0.19753086419753085</c:v>
                </c:pt>
                <c:pt idx="2">
                  <c:v>0.16740088105726872</c:v>
                </c:pt>
                <c:pt idx="3">
                  <c:v>0.17674418604651163</c:v>
                </c:pt>
                <c:pt idx="4">
                  <c:v>0.13259668508287292</c:v>
                </c:pt>
              </c:numCache>
            </c:numRef>
          </c:val>
          <c:smooth val="0"/>
        </c:ser>
        <c:ser>
          <c:idx val="5"/>
          <c:order val="3"/>
          <c:tx>
            <c:strRef>
              <c:f>Adoption!$AL$44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Adoption!$AX$44:$BB$44</c:f>
              <c:numCache>
                <c:formatCode>0.0%</c:formatCode>
                <c:ptCount val="5"/>
                <c:pt idx="0">
                  <c:v>0.26851851851851855</c:v>
                </c:pt>
                <c:pt idx="1">
                  <c:v>0.2275132275132275</c:v>
                </c:pt>
                <c:pt idx="2">
                  <c:v>0.24479166666666666</c:v>
                </c:pt>
                <c:pt idx="3">
                  <c:v>0.2</c:v>
                </c:pt>
                <c:pt idx="4">
                  <c:v>0.19875776397515527</c:v>
                </c:pt>
              </c:numCache>
            </c:numRef>
          </c:val>
          <c:smooth val="0"/>
        </c:ser>
        <c:ser>
          <c:idx val="9"/>
          <c:order val="4"/>
          <c:tx>
            <c:strRef>
              <c:f>Adoption!$AL$45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Adoption!$AX$45:$BB$45</c:f>
              <c:numCache>
                <c:formatCode>0.0%</c:formatCode>
                <c:ptCount val="5"/>
                <c:pt idx="0">
                  <c:v>0.13084112149532709</c:v>
                </c:pt>
                <c:pt idx="1">
                  <c:v>0.1575091575091575</c:v>
                </c:pt>
                <c:pt idx="2">
                  <c:v>0.15412844036697249</c:v>
                </c:pt>
                <c:pt idx="3">
                  <c:v>0.13157894736842105</c:v>
                </c:pt>
                <c:pt idx="4">
                  <c:v>0.1134020618556701</c:v>
                </c:pt>
              </c:numCache>
            </c:numRef>
          </c:val>
          <c:smooth val="0"/>
        </c:ser>
        <c:ser>
          <c:idx val="10"/>
          <c:order val="5"/>
          <c:tx>
            <c:strRef>
              <c:f>Adoption!$AL$46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Adoption!$AX$46:$BB$46</c:f>
              <c:numCache>
                <c:formatCode>0.0%</c:formatCode>
                <c:ptCount val="5"/>
                <c:pt idx="0">
                  <c:v>7.5268817204301078E-2</c:v>
                </c:pt>
                <c:pt idx="1">
                  <c:v>8.8607594936708861E-2</c:v>
                </c:pt>
                <c:pt idx="2">
                  <c:v>0.12328767123287671</c:v>
                </c:pt>
                <c:pt idx="3">
                  <c:v>0.21052631578947367</c:v>
                </c:pt>
                <c:pt idx="4">
                  <c:v>0.16049382716049382</c:v>
                </c:pt>
              </c:numCache>
            </c:numRef>
          </c:val>
          <c:smooth val="0"/>
        </c:ser>
        <c:ser>
          <c:idx val="11"/>
          <c:order val="6"/>
          <c:tx>
            <c:strRef>
              <c:f>Adoption!$AL$47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Adoption!$AX$47:$BB$47</c:f>
              <c:numCache>
                <c:formatCode>0.0%</c:formatCode>
                <c:ptCount val="5"/>
                <c:pt idx="0">
                  <c:v>0.16590389016018306</c:v>
                </c:pt>
                <c:pt idx="1">
                  <c:v>0.20638540478905359</c:v>
                </c:pt>
                <c:pt idx="2">
                  <c:v>0.10065237651444547</c:v>
                </c:pt>
                <c:pt idx="3">
                  <c:v>6.0836501901140684E-2</c:v>
                </c:pt>
                <c:pt idx="4">
                  <c:v>9.9426386233269604E-2</c:v>
                </c:pt>
              </c:numCache>
            </c:numRef>
          </c:val>
          <c:smooth val="0"/>
        </c:ser>
        <c:ser>
          <c:idx val="12"/>
          <c:order val="7"/>
          <c:tx>
            <c:strRef>
              <c:f>Adoption!$AL$48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Adoption!$AX$48:$BB$48</c:f>
              <c:numCache>
                <c:formatCode>0.0%</c:formatCode>
                <c:ptCount val="5"/>
                <c:pt idx="0">
                  <c:v>0.2388888888888889</c:v>
                </c:pt>
                <c:pt idx="1">
                  <c:v>0.24615384615384617</c:v>
                </c:pt>
                <c:pt idx="2">
                  <c:v>0.11428571428571428</c:v>
                </c:pt>
                <c:pt idx="3">
                  <c:v>0.17647058823529413</c:v>
                </c:pt>
                <c:pt idx="4">
                  <c:v>0.22012578616352202</c:v>
                </c:pt>
              </c:numCache>
            </c:numRef>
          </c:val>
          <c:smooth val="0"/>
        </c:ser>
        <c:ser>
          <c:idx val="13"/>
          <c:order val="8"/>
          <c:tx>
            <c:strRef>
              <c:f>Adoption!$AL$49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Adoption!$AX$49:$BB$49</c:f>
              <c:numCache>
                <c:formatCode>0.0%</c:formatCode>
                <c:ptCount val="5"/>
                <c:pt idx="0">
                  <c:v>0.17419354838709677</c:v>
                </c:pt>
                <c:pt idx="1">
                  <c:v>8.7591240875912413E-2</c:v>
                </c:pt>
                <c:pt idx="2">
                  <c:v>0.10215053763440861</c:v>
                </c:pt>
                <c:pt idx="3">
                  <c:v>6.5789473684210523E-2</c:v>
                </c:pt>
                <c:pt idx="4">
                  <c:v>6.25E-2</c:v>
                </c:pt>
              </c:numCache>
            </c:numRef>
          </c:val>
          <c:smooth val="0"/>
        </c:ser>
        <c:ser>
          <c:idx val="15"/>
          <c:order val="9"/>
          <c:tx>
            <c:strRef>
              <c:f>Adoption!$AL$50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Adoption!$AX$50:$BB$50</c:f>
              <c:numCache>
                <c:formatCode>0.0%</c:formatCode>
                <c:ptCount val="5"/>
                <c:pt idx="0">
                  <c:v>0.16858237547892721</c:v>
                </c:pt>
                <c:pt idx="1">
                  <c:v>0.14859437751004015</c:v>
                </c:pt>
                <c:pt idx="2">
                  <c:v>0.17857142857142858</c:v>
                </c:pt>
                <c:pt idx="3">
                  <c:v>0.13286713286713286</c:v>
                </c:pt>
                <c:pt idx="4">
                  <c:v>0.12121212121212122</c:v>
                </c:pt>
              </c:numCache>
            </c:numRef>
          </c:val>
          <c:smooth val="0"/>
        </c:ser>
        <c:ser>
          <c:idx val="16"/>
          <c:order val="10"/>
          <c:tx>
            <c:strRef>
              <c:f>Adoption!$AL$51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Adoption!$AX$51:$BB$51</c:f>
              <c:numCache>
                <c:formatCode>0.0%</c:formatCode>
                <c:ptCount val="5"/>
                <c:pt idx="0">
                  <c:v>0.17567567567567569</c:v>
                </c:pt>
                <c:pt idx="1">
                  <c:v>0.2073170731707317</c:v>
                </c:pt>
                <c:pt idx="2">
                  <c:v>0.21428571428571427</c:v>
                </c:pt>
                <c:pt idx="3">
                  <c:v>0.28455284552845528</c:v>
                </c:pt>
                <c:pt idx="4">
                  <c:v>0.16042780748663102</c:v>
                </c:pt>
              </c:numCache>
            </c:numRef>
          </c:val>
          <c:smooth val="0"/>
        </c:ser>
        <c:ser>
          <c:idx val="17"/>
          <c:order val="11"/>
          <c:tx>
            <c:strRef>
              <c:f>Adoption!$AL$52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Adoption!$AX$52:$BB$52</c:f>
              <c:numCache>
                <c:formatCode>0.0%</c:formatCode>
                <c:ptCount val="5"/>
                <c:pt idx="0">
                  <c:v>0.27368421052631581</c:v>
                </c:pt>
                <c:pt idx="1">
                  <c:v>0.22619047619047619</c:v>
                </c:pt>
                <c:pt idx="2">
                  <c:v>0.2032520325203252</c:v>
                </c:pt>
                <c:pt idx="3">
                  <c:v>0.16</c:v>
                </c:pt>
                <c:pt idx="4">
                  <c:v>0.13978494623655913</c:v>
                </c:pt>
              </c:numCache>
            </c:numRef>
          </c:val>
          <c:smooth val="0"/>
        </c:ser>
        <c:ser>
          <c:idx val="19"/>
          <c:order val="12"/>
          <c:tx>
            <c:strRef>
              <c:f>Adoption!$AL$53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Adoption!$AX$53:$BB$53</c:f>
              <c:numCache>
                <c:formatCode>0.0%</c:formatCode>
                <c:ptCount val="5"/>
                <c:pt idx="0">
                  <c:v>0.16190476190476191</c:v>
                </c:pt>
                <c:pt idx="1">
                  <c:v>0.20353982300884957</c:v>
                </c:pt>
                <c:pt idx="2">
                  <c:v>0.1038961038961039</c:v>
                </c:pt>
                <c:pt idx="3">
                  <c:v>9.8214285714285712E-2</c:v>
                </c:pt>
                <c:pt idx="4">
                  <c:v>0.11607142857142858</c:v>
                </c:pt>
              </c:numCache>
            </c:numRef>
          </c:val>
          <c:smooth val="0"/>
        </c:ser>
        <c:ser>
          <c:idx val="3"/>
          <c:order val="13"/>
          <c:tx>
            <c:strRef>
              <c:f>Adoption!$AL$54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Adoption!$AX$54:$BB$54</c:f>
              <c:numCache>
                <c:formatCode>0.0%</c:formatCode>
                <c:ptCount val="5"/>
                <c:pt idx="0">
                  <c:v>0.15946843853820597</c:v>
                </c:pt>
                <c:pt idx="1">
                  <c:v>0.19063545150501673</c:v>
                </c:pt>
                <c:pt idx="2">
                  <c:v>0.22270742358078602</c:v>
                </c:pt>
                <c:pt idx="3">
                  <c:v>0.13026819923371646</c:v>
                </c:pt>
                <c:pt idx="4">
                  <c:v>0.14220183486238533</c:v>
                </c:pt>
              </c:numCache>
            </c:numRef>
          </c:val>
          <c:smooth val="0"/>
        </c:ser>
        <c:ser>
          <c:idx val="20"/>
          <c:order val="14"/>
          <c:tx>
            <c:strRef>
              <c:f>Adoption!$AL$55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Adoption!$AX$55:$BB$55</c:f>
              <c:numCache>
                <c:formatCode>0.0%</c:formatCode>
                <c:ptCount val="5"/>
                <c:pt idx="0">
                  <c:v>0.16304347826086957</c:v>
                </c:pt>
                <c:pt idx="1">
                  <c:v>0.265625</c:v>
                </c:pt>
                <c:pt idx="2">
                  <c:v>0.3073170731707317</c:v>
                </c:pt>
                <c:pt idx="3">
                  <c:v>0.34841628959276016</c:v>
                </c:pt>
                <c:pt idx="4">
                  <c:v>0.27411167512690354</c:v>
                </c:pt>
              </c:numCache>
            </c:numRef>
          </c:val>
          <c:smooth val="0"/>
        </c:ser>
        <c:ser>
          <c:idx val="22"/>
          <c:order val="15"/>
          <c:tx>
            <c:strRef>
              <c:f>Adoption!$AL$56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Adoption!$AX$56:$BB$56</c:f>
              <c:numCache>
                <c:formatCode>0.0%</c:formatCode>
                <c:ptCount val="5"/>
                <c:pt idx="0">
                  <c:v>0.14114832535885166</c:v>
                </c:pt>
                <c:pt idx="1">
                  <c:v>0.13368983957219252</c:v>
                </c:pt>
                <c:pt idx="2">
                  <c:v>0.12592592592592591</c:v>
                </c:pt>
                <c:pt idx="3">
                  <c:v>0.12171837708830549</c:v>
                </c:pt>
                <c:pt idx="4">
                  <c:v>8.0882352941176475E-2</c:v>
                </c:pt>
              </c:numCache>
            </c:numRef>
          </c:val>
          <c:smooth val="0"/>
        </c:ser>
        <c:ser>
          <c:idx val="7"/>
          <c:order val="16"/>
          <c:tx>
            <c:strRef>
              <c:f>Adoption!$AL$57</c:f>
              <c:strCache>
                <c:ptCount val="1"/>
                <c:pt idx="0">
                  <c:v>Swindon</c:v>
                </c:pt>
              </c:strCache>
            </c:strRef>
          </c:tx>
          <c:spPr>
            <a:ln w="15875"/>
          </c:spPr>
          <c:marker>
            <c:symbol val="triangle"/>
            <c:size val="5"/>
            <c:spPr>
              <a:solidFill>
                <a:schemeClr val="accent2">
                  <a:lumMod val="20000"/>
                  <a:lumOff val="80000"/>
                </a:schemeClr>
              </a:solidFill>
            </c:spPr>
          </c:marker>
          <c:cat>
            <c:numRef>
              <c:f>Adoption!$AX$40:$BB$40</c:f>
              <c:numCache>
                <c:formatCode>General</c:formatCode>
                <c:ptCount val="5"/>
                <c:pt idx="0">
                  <c:v>2014</c:v>
                </c:pt>
                <c:pt idx="1">
                  <c:v>2015</c:v>
                </c:pt>
                <c:pt idx="2">
                  <c:v>2016</c:v>
                </c:pt>
                <c:pt idx="3">
                  <c:v>2017</c:v>
                </c:pt>
                <c:pt idx="4">
                  <c:v>2018</c:v>
                </c:pt>
              </c:numCache>
            </c:numRef>
          </c:cat>
          <c:val>
            <c:numRef>
              <c:f>Adoption!$AX$57:$BB$57</c:f>
              <c:numCache>
                <c:formatCode>0.0%</c:formatCode>
                <c:ptCount val="5"/>
                <c:pt idx="0">
                  <c:v>0.11940298507462686</c:v>
                </c:pt>
                <c:pt idx="1">
                  <c:v>9.6296296296296297E-2</c:v>
                </c:pt>
                <c:pt idx="2">
                  <c:v>5.0359712230215826E-2</c:v>
                </c:pt>
                <c:pt idx="3">
                  <c:v>0.12666666666666668</c:v>
                </c:pt>
                <c:pt idx="4">
                  <c:v>0.1032258064516129</c:v>
                </c:pt>
              </c:numCache>
            </c:numRef>
          </c:val>
          <c:smooth val="0"/>
        </c:ser>
        <c:ser>
          <c:idx val="8"/>
          <c:order val="17"/>
          <c:tx>
            <c:strRef>
              <c:f>Adoption!$AL$58</c:f>
              <c:strCache>
                <c:ptCount val="1"/>
                <c:pt idx="0">
                  <c:v>Torbay</c:v>
                </c:pt>
              </c:strCache>
            </c:strRef>
          </c:tx>
          <c:spPr>
            <a:ln w="15875"/>
          </c:spPr>
          <c:marker>
            <c:symbol val="circle"/>
            <c:size val="5"/>
            <c:spPr>
              <a:solidFill>
                <a:schemeClr val="accent3">
                  <a:lumMod val="20000"/>
                  <a:lumOff val="80000"/>
                </a:schemeClr>
              </a:solidFill>
            </c:spPr>
          </c:marker>
          <c:cat>
            <c:numRef>
              <c:f>Adoption!$AX$40:$BB$40</c:f>
              <c:numCache>
                <c:formatCode>General</c:formatCode>
                <c:ptCount val="5"/>
                <c:pt idx="0">
                  <c:v>2014</c:v>
                </c:pt>
                <c:pt idx="1">
                  <c:v>2015</c:v>
                </c:pt>
                <c:pt idx="2">
                  <c:v>2016</c:v>
                </c:pt>
                <c:pt idx="3">
                  <c:v>2017</c:v>
                </c:pt>
                <c:pt idx="4">
                  <c:v>2018</c:v>
                </c:pt>
              </c:numCache>
            </c:numRef>
          </c:cat>
          <c:val>
            <c:numRef>
              <c:f>Adoption!$AX$58:$BB$58</c:f>
              <c:numCache>
                <c:formatCode>0.0%</c:formatCode>
                <c:ptCount val="5"/>
                <c:pt idx="0">
                  <c:v>0.16666666666666666</c:v>
                </c:pt>
                <c:pt idx="1">
                  <c:v>0.15322580645161291</c:v>
                </c:pt>
                <c:pt idx="2">
                  <c:v>0.224</c:v>
                </c:pt>
                <c:pt idx="3">
                  <c:v>0.12844036697247707</c:v>
                </c:pt>
                <c:pt idx="4">
                  <c:v>0.19607843137254902</c:v>
                </c:pt>
              </c:numCache>
            </c:numRef>
          </c:val>
          <c:smooth val="0"/>
        </c:ser>
        <c:ser>
          <c:idx val="23"/>
          <c:order val="18"/>
          <c:tx>
            <c:strRef>
              <c:f>Adoption!$AL$59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Adoption!$AX$59:$BB$59</c:f>
              <c:numCache>
                <c:formatCode>0.0%</c:formatCode>
                <c:ptCount val="5"/>
                <c:pt idx="0">
                  <c:v>8.8235294117647065E-2</c:v>
                </c:pt>
                <c:pt idx="1">
                  <c:v>#N/A</c:v>
                </c:pt>
                <c:pt idx="2">
                  <c:v>0.10144927536231885</c:v>
                </c:pt>
                <c:pt idx="3">
                  <c:v>0.16216216216216217</c:v>
                </c:pt>
                <c:pt idx="4">
                  <c:v>#N/A</c:v>
                </c:pt>
              </c:numCache>
            </c:numRef>
          </c:val>
          <c:smooth val="0"/>
        </c:ser>
        <c:ser>
          <c:idx val="24"/>
          <c:order val="19"/>
          <c:tx>
            <c:strRef>
              <c:f>Adoption!$AL$60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Adoption!$AX$60:$BB$60</c:f>
              <c:numCache>
                <c:formatCode>0.0%</c:formatCode>
                <c:ptCount val="5"/>
                <c:pt idx="0">
                  <c:v>0.13421052631578947</c:v>
                </c:pt>
                <c:pt idx="1">
                  <c:v>0.125</c:v>
                </c:pt>
                <c:pt idx="2">
                  <c:v>8.549222797927461E-2</c:v>
                </c:pt>
                <c:pt idx="3">
                  <c:v>0.12885154061624648</c:v>
                </c:pt>
                <c:pt idx="4">
                  <c:v>0.10355029585798817</c:v>
                </c:pt>
              </c:numCache>
            </c:numRef>
          </c:val>
          <c:smooth val="0"/>
        </c:ser>
        <c:ser>
          <c:idx val="25"/>
          <c:order val="20"/>
          <c:tx>
            <c:strRef>
              <c:f>Adoption!$AL$61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Adoption!$AX$61:$BB$61</c:f>
              <c:numCache>
                <c:formatCode>0.0%</c:formatCode>
                <c:ptCount val="5"/>
                <c:pt idx="0">
                  <c:v>0.25531914893617019</c:v>
                </c:pt>
                <c:pt idx="1">
                  <c:v>0.14893617021276595</c:v>
                </c:pt>
                <c:pt idx="2">
                  <c:v>0.16279069767441862</c:v>
                </c:pt>
                <c:pt idx="3">
                  <c:v>0.17142857142857143</c:v>
                </c:pt>
                <c:pt idx="4">
                  <c:v>#N/A</c:v>
                </c:pt>
              </c:numCache>
            </c:numRef>
          </c:val>
          <c:smooth val="0"/>
        </c:ser>
        <c:ser>
          <c:idx val="26"/>
          <c:order val="21"/>
          <c:tx>
            <c:strRef>
              <c:f>Adoption!$AL$62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Adoption!$AX$62:$BB$62</c:f>
              <c:numCache>
                <c:formatCode>0.0%</c:formatCode>
                <c:ptCount val="5"/>
                <c:pt idx="0">
                  <c:v>#N/A</c:v>
                </c:pt>
                <c:pt idx="1">
                  <c:v>#N/A</c:v>
                </c:pt>
                <c:pt idx="2">
                  <c:v>#N/A</c:v>
                </c:pt>
                <c:pt idx="3">
                  <c:v>#N/A</c:v>
                </c:pt>
                <c:pt idx="4">
                  <c:v>#N/A</c:v>
                </c:pt>
              </c:numCache>
            </c:numRef>
          </c:val>
          <c:smooth val="0"/>
        </c:ser>
        <c:ser>
          <c:idx val="4"/>
          <c:order val="22"/>
          <c:tx>
            <c:strRef>
              <c:f>Adoption!$AL$63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Adoption!$AX$40:$BB$40</c:f>
              <c:numCache>
                <c:formatCode>General</c:formatCode>
                <c:ptCount val="5"/>
                <c:pt idx="0">
                  <c:v>2014</c:v>
                </c:pt>
                <c:pt idx="1">
                  <c:v>2015</c:v>
                </c:pt>
                <c:pt idx="2">
                  <c:v>2016</c:v>
                </c:pt>
                <c:pt idx="3">
                  <c:v>2017</c:v>
                </c:pt>
                <c:pt idx="4">
                  <c:v>2018</c:v>
                </c:pt>
              </c:numCache>
            </c:numRef>
          </c:cat>
          <c:val>
            <c:numRef>
              <c:f>Adoption!$AX$63:$BB$63</c:f>
              <c:numCache>
                <c:formatCode>0.0%</c:formatCode>
                <c:ptCount val="5"/>
                <c:pt idx="0">
                  <c:v>0.17041244751790566</c:v>
                </c:pt>
                <c:pt idx="1">
                  <c:v>0.18092909535452323</c:v>
                </c:pt>
                <c:pt idx="2">
                  <c:v>0.14224137931034483</c:v>
                </c:pt>
                <c:pt idx="3">
                  <c:v>0.13118279569892474</c:v>
                </c:pt>
                <c:pt idx="4">
                  <c:v>0.12325581395348838</c:v>
                </c:pt>
              </c:numCache>
            </c:numRef>
          </c:val>
          <c:smooth val="0"/>
        </c:ser>
        <c:ser>
          <c:idx val="14"/>
          <c:order val="23"/>
          <c:tx>
            <c:strRef>
              <c:f>Adoption!$AL$64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Adoption!$AX$40:$BB$40</c:f>
              <c:numCache>
                <c:formatCode>General</c:formatCode>
                <c:ptCount val="5"/>
                <c:pt idx="0">
                  <c:v>2014</c:v>
                </c:pt>
                <c:pt idx="1">
                  <c:v>2015</c:v>
                </c:pt>
                <c:pt idx="2">
                  <c:v>2016</c:v>
                </c:pt>
                <c:pt idx="3">
                  <c:v>2017</c:v>
                </c:pt>
                <c:pt idx="4">
                  <c:v>2018</c:v>
                </c:pt>
              </c:numCache>
            </c:numRef>
          </c:cat>
          <c:val>
            <c:numRef>
              <c:f>Adoption!$AX$64:$BB$64</c:f>
              <c:numCache>
                <c:formatCode>0.0%</c:formatCode>
                <c:ptCount val="5"/>
                <c:pt idx="0">
                  <c:v>0.16503267973856209</c:v>
                </c:pt>
                <c:pt idx="1">
                  <c:v>0.17097288676236044</c:v>
                </c:pt>
                <c:pt idx="2">
                  <c:v>0.14788069073783361</c:v>
                </c:pt>
                <c:pt idx="3">
                  <c:v>0.13912766634829671</c:v>
                </c:pt>
                <c:pt idx="4">
                  <c:v>0.12793034159410582</c:v>
                </c:pt>
              </c:numCache>
            </c:numRef>
          </c:val>
          <c:smooth val="0"/>
        </c:ser>
        <c:ser>
          <c:idx val="6"/>
          <c:order val="24"/>
          <c:tx>
            <c:strRef>
              <c:f>Adoption!$AL$65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Adoption!$AX$40:$BB$40</c:f>
              <c:numCache>
                <c:formatCode>General</c:formatCode>
                <c:ptCount val="5"/>
                <c:pt idx="0">
                  <c:v>2014</c:v>
                </c:pt>
                <c:pt idx="1">
                  <c:v>2015</c:v>
                </c:pt>
                <c:pt idx="2">
                  <c:v>2016</c:v>
                </c:pt>
                <c:pt idx="3">
                  <c:v>2017</c:v>
                </c:pt>
                <c:pt idx="4">
                  <c:v>2018</c:v>
                </c:pt>
              </c:numCache>
            </c:numRef>
          </c:cat>
          <c:val>
            <c:numRef>
              <c:f>Adoption!$AX$65:$BB$65</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67838592"/>
        <c:axId val="267840512"/>
      </c:lineChart>
      <c:catAx>
        <c:axId val="267838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7840512"/>
        <c:crosses val="autoZero"/>
        <c:auto val="1"/>
        <c:lblAlgn val="ctr"/>
        <c:lblOffset val="100"/>
        <c:tickLblSkip val="1"/>
        <c:tickMarkSkip val="1"/>
        <c:noMultiLvlLbl val="0"/>
      </c:catAx>
      <c:valAx>
        <c:axId val="26784051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783859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LAC to CAO</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Adoption!$AA$4</c:f>
              <c:strCache>
                <c:ptCount val="1"/>
                <c:pt idx="0">
                  <c:v>Selected LA- (none)</c:v>
                </c:pt>
              </c:strCache>
            </c:strRef>
          </c:tx>
          <c:spPr>
            <a:solidFill>
              <a:srgbClr val="66FF99"/>
            </a:solidFill>
            <a:ln>
              <a:solidFill>
                <a:schemeClr val="tx1">
                  <a:lumMod val="75000"/>
                  <a:lumOff val="25000"/>
                </a:schemeClr>
              </a:solidFill>
            </a:ln>
          </c:spPr>
          <c:invertIfNegative val="0"/>
          <c:cat>
            <c:numRef>
              <c:f>Adoption!$K$8:$O$8</c:f>
              <c:numCache>
                <c:formatCode>General</c:formatCode>
                <c:ptCount val="5"/>
                <c:pt idx="0">
                  <c:v>2014</c:v>
                </c:pt>
                <c:pt idx="1">
                  <c:v>2015</c:v>
                </c:pt>
                <c:pt idx="2">
                  <c:v>2016</c:v>
                </c:pt>
                <c:pt idx="3">
                  <c:v>2017</c:v>
                </c:pt>
                <c:pt idx="4">
                  <c:v>2018</c:v>
                </c:pt>
              </c:numCache>
            </c:numRef>
          </c:cat>
          <c:val>
            <c:numRef>
              <c:f>Adoption!$BH$65:$BL$65</c:f>
              <c:numCache>
                <c:formatCode>0.0%</c:formatCode>
                <c:ptCount val="5"/>
                <c:pt idx="0">
                  <c:v>#N/A</c:v>
                </c:pt>
                <c:pt idx="1">
                  <c:v>#N/A</c:v>
                </c:pt>
                <c:pt idx="2">
                  <c:v>#N/A</c:v>
                </c:pt>
                <c:pt idx="3">
                  <c:v>#N/A</c:v>
                </c:pt>
                <c:pt idx="4">
                  <c:v>#N/A</c:v>
                </c:pt>
              </c:numCache>
            </c:numRef>
          </c:val>
        </c:ser>
        <c:ser>
          <c:idx val="4"/>
          <c:order val="1"/>
          <c:tx>
            <c:strRef>
              <c:f>Adoption!$B$98</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Adoption!$K$8:$O$8</c:f>
              <c:numCache>
                <c:formatCode>General</c:formatCode>
                <c:ptCount val="5"/>
                <c:pt idx="0">
                  <c:v>2014</c:v>
                </c:pt>
                <c:pt idx="1">
                  <c:v>2015</c:v>
                </c:pt>
                <c:pt idx="2">
                  <c:v>2016</c:v>
                </c:pt>
                <c:pt idx="3">
                  <c:v>2017</c:v>
                </c:pt>
                <c:pt idx="4">
                  <c:v>2018</c:v>
                </c:pt>
              </c:numCache>
            </c:numRef>
          </c:cat>
          <c:val>
            <c:numRef>
              <c:f>Adoption!$D$133:$H$133</c:f>
              <c:numCache>
                <c:formatCode>0%</c:formatCode>
                <c:ptCount val="5"/>
                <c:pt idx="0">
                  <c:v>5.6804149172635217E-2</c:v>
                </c:pt>
                <c:pt idx="1">
                  <c:v>2.4449877750611249E-2</c:v>
                </c:pt>
                <c:pt idx="2">
                  <c:v>2.8017241379310345E-2</c:v>
                </c:pt>
                <c:pt idx="3">
                  <c:v>2.7956989247311829E-2</c:v>
                </c:pt>
                <c:pt idx="4">
                  <c:v>2.7906976744186046E-2</c:v>
                </c:pt>
              </c:numCache>
            </c:numRef>
          </c:val>
        </c:ser>
        <c:ser>
          <c:idx val="0"/>
          <c:order val="2"/>
          <c:tx>
            <c:strRef>
              <c:f>Adoption!$B$99</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Adoption!$D$134:$H$134</c:f>
              <c:numCache>
                <c:formatCode>0%</c:formatCode>
                <c:ptCount val="5"/>
                <c:pt idx="0">
                  <c:v>5.5228758169934639E-2</c:v>
                </c:pt>
                <c:pt idx="1">
                  <c:v>3.2535885167464113E-2</c:v>
                </c:pt>
                <c:pt idx="2">
                  <c:v>3.5164835164835165E-2</c:v>
                </c:pt>
                <c:pt idx="3">
                  <c:v>3.8204393505253106E-2</c:v>
                </c:pt>
                <c:pt idx="4">
                  <c:v>3.9182853315472201E-2</c:v>
                </c:pt>
              </c:numCache>
            </c:numRef>
          </c:val>
        </c:ser>
        <c:dLbls>
          <c:showLegendKey val="0"/>
          <c:showVal val="0"/>
          <c:showCatName val="0"/>
          <c:showSerName val="0"/>
          <c:showPercent val="0"/>
          <c:showBubbleSize val="0"/>
        </c:dLbls>
        <c:gapWidth val="100"/>
        <c:axId val="267899648"/>
        <c:axId val="267901184"/>
      </c:barChart>
      <c:catAx>
        <c:axId val="267899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7901184"/>
        <c:crosses val="autoZero"/>
        <c:auto val="1"/>
        <c:lblAlgn val="ctr"/>
        <c:lblOffset val="100"/>
        <c:noMultiLvlLbl val="0"/>
      </c:catAx>
      <c:valAx>
        <c:axId val="26790118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789964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ceasing to be Looked After in year who were </a:t>
            </a:r>
          </a:p>
          <a:p>
            <a:pPr>
              <a:defRPr sz="1000" b="1" i="0" u="none" strike="noStrike" baseline="0">
                <a:solidFill>
                  <a:srgbClr val="000000"/>
                </a:solidFill>
                <a:latin typeface="Arial"/>
                <a:ea typeface="Arial"/>
                <a:cs typeface="Arial"/>
              </a:defRPr>
            </a:pPr>
            <a:r>
              <a:rPr lang="en-GB"/>
              <a:t>granted a Child Arrangement Order (%)</a:t>
            </a:r>
          </a:p>
        </c:rich>
      </c:tx>
      <c:layout>
        <c:manualLayout>
          <c:xMode val="edge"/>
          <c:yMode val="edge"/>
          <c:x val="0.11896079723102342"/>
          <c:y val="1.0301221879597805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Adoption!$AL$41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Adoption!$BH$40:$BL$40</c:f>
              <c:numCache>
                <c:formatCode>General</c:formatCode>
                <c:ptCount val="5"/>
                <c:pt idx="0">
                  <c:v>2014</c:v>
                </c:pt>
                <c:pt idx="1">
                  <c:v>2015</c:v>
                </c:pt>
                <c:pt idx="2">
                  <c:v>2016</c:v>
                </c:pt>
                <c:pt idx="3">
                  <c:v>2017</c:v>
                </c:pt>
                <c:pt idx="4">
                  <c:v>2018</c:v>
                </c:pt>
              </c:numCache>
            </c:numRef>
          </c:cat>
          <c:val>
            <c:numRef>
              <c:f>Adoption!$BH$41:$BL$41</c:f>
              <c:numCache>
                <c:formatCode>0.0%</c:formatCode>
                <c:ptCount val="5"/>
                <c:pt idx="0">
                  <c:v>#N/A</c:v>
                </c:pt>
                <c:pt idx="1">
                  <c:v>#N/A</c:v>
                </c:pt>
                <c:pt idx="2">
                  <c:v>#N/A</c:v>
                </c:pt>
                <c:pt idx="3">
                  <c:v>#N/A</c:v>
                </c:pt>
                <c:pt idx="4">
                  <c:v>#N/A</c:v>
                </c:pt>
              </c:numCache>
            </c:numRef>
          </c:val>
          <c:smooth val="0"/>
        </c:ser>
        <c:ser>
          <c:idx val="1"/>
          <c:order val="1"/>
          <c:tx>
            <c:strRef>
              <c:f>Adoption!$AL$42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Adoption!$BH$42:$BL$42</c:f>
              <c:numCache>
                <c:formatCode>0.0%</c:formatCode>
                <c:ptCount val="5"/>
                <c:pt idx="0">
                  <c:v>#N/A</c:v>
                </c:pt>
                <c:pt idx="1">
                  <c:v>2.6041666666666668E-2</c:v>
                </c:pt>
                <c:pt idx="2">
                  <c:v>#N/A</c:v>
                </c:pt>
                <c:pt idx="3">
                  <c:v>#N/A</c:v>
                </c:pt>
                <c:pt idx="4">
                  <c:v>3.9772727272727272E-2</c:v>
                </c:pt>
              </c:numCache>
            </c:numRef>
          </c:val>
          <c:smooth val="0"/>
        </c:ser>
        <c:ser>
          <c:idx val="2"/>
          <c:order val="2"/>
          <c:tx>
            <c:strRef>
              <c:f>Adoption!$AL$43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Adoption!$BH$43:$BL$43</c:f>
              <c:numCache>
                <c:formatCode>0.0%</c:formatCode>
                <c:ptCount val="5"/>
                <c:pt idx="0">
                  <c:v>#N/A</c:v>
                </c:pt>
                <c:pt idx="1">
                  <c:v>#N/A</c:v>
                </c:pt>
                <c:pt idx="2">
                  <c:v>2.2026431718061675E-2</c:v>
                </c:pt>
                <c:pt idx="3">
                  <c:v>3.7209302325581395E-2</c:v>
                </c:pt>
                <c:pt idx="4">
                  <c:v>#N/A</c:v>
                </c:pt>
              </c:numCache>
            </c:numRef>
          </c:val>
          <c:smooth val="0"/>
        </c:ser>
        <c:ser>
          <c:idx val="5"/>
          <c:order val="3"/>
          <c:tx>
            <c:strRef>
              <c:f>Adoption!$AL$44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Adoption!$BH$44:$BL$44</c:f>
              <c:numCache>
                <c:formatCode>0.0%</c:formatCode>
                <c:ptCount val="5"/>
                <c:pt idx="0">
                  <c:v>#N/A</c:v>
                </c:pt>
                <c:pt idx="1">
                  <c:v>5.2910052910052907E-2</c:v>
                </c:pt>
                <c:pt idx="2">
                  <c:v>#N/A</c:v>
                </c:pt>
                <c:pt idx="3">
                  <c:v>#N/A</c:v>
                </c:pt>
                <c:pt idx="4">
                  <c:v>#N/A</c:v>
                </c:pt>
              </c:numCache>
            </c:numRef>
          </c:val>
          <c:smooth val="0"/>
        </c:ser>
        <c:ser>
          <c:idx val="9"/>
          <c:order val="4"/>
          <c:tx>
            <c:strRef>
              <c:f>Adoption!$AL$45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Adoption!$BH$45:$BL$45</c:f>
              <c:numCache>
                <c:formatCode>0.0%</c:formatCode>
                <c:ptCount val="5"/>
                <c:pt idx="0">
                  <c:v>5.8411214953271028E-2</c:v>
                </c:pt>
                <c:pt idx="1">
                  <c:v>1.8315018315018316E-2</c:v>
                </c:pt>
                <c:pt idx="2">
                  <c:v>9.1743119266055051E-3</c:v>
                </c:pt>
                <c:pt idx="3">
                  <c:v>3.9473684210526314E-2</c:v>
                </c:pt>
                <c:pt idx="4">
                  <c:v>4.1237113402061855E-2</c:v>
                </c:pt>
              </c:numCache>
            </c:numRef>
          </c:val>
          <c:smooth val="0"/>
        </c:ser>
        <c:ser>
          <c:idx val="10"/>
          <c:order val="5"/>
          <c:tx>
            <c:strRef>
              <c:f>Adoption!$AL$46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Adoption!$BH$46:$BL$46</c:f>
              <c:numCache>
                <c:formatCode>0.0%</c:formatCode>
                <c:ptCount val="5"/>
                <c:pt idx="0">
                  <c:v>0.10752688172043011</c:v>
                </c:pt>
                <c:pt idx="1">
                  <c:v>#N/A</c:v>
                </c:pt>
                <c:pt idx="2">
                  <c:v>#N/A</c:v>
                </c:pt>
                <c:pt idx="3">
                  <c:v>#N/A</c:v>
                </c:pt>
                <c:pt idx="4">
                  <c:v>#N/A</c:v>
                </c:pt>
              </c:numCache>
            </c:numRef>
          </c:val>
          <c:smooth val="0"/>
        </c:ser>
        <c:ser>
          <c:idx val="11"/>
          <c:order val="6"/>
          <c:tx>
            <c:strRef>
              <c:f>Adoption!$AL$47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Adoption!$BH$47:$BL$47</c:f>
              <c:numCache>
                <c:formatCode>0.0%</c:formatCode>
                <c:ptCount val="5"/>
                <c:pt idx="0">
                  <c:v>5.7208237986270026E-2</c:v>
                </c:pt>
                <c:pt idx="1">
                  <c:v>2.8506271379703536E-2</c:v>
                </c:pt>
                <c:pt idx="2">
                  <c:v>9.3196644920782844E-3</c:v>
                </c:pt>
                <c:pt idx="3">
                  <c:v>8.3650190114068438E-3</c:v>
                </c:pt>
                <c:pt idx="4">
                  <c:v>1.5296367112810707E-2</c:v>
                </c:pt>
              </c:numCache>
            </c:numRef>
          </c:val>
          <c:smooth val="0"/>
        </c:ser>
        <c:ser>
          <c:idx val="12"/>
          <c:order val="7"/>
          <c:tx>
            <c:strRef>
              <c:f>Adoption!$AL$48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Adoption!$BH$48:$BL$48</c:f>
              <c:numCache>
                <c:formatCode>0.0%</c:formatCode>
                <c:ptCount val="5"/>
                <c:pt idx="0">
                  <c:v>#N/A</c:v>
                </c:pt>
                <c:pt idx="1">
                  <c:v>0</c:v>
                </c:pt>
                <c:pt idx="2">
                  <c:v>9.5238095238095233E-2</c:v>
                </c:pt>
                <c:pt idx="3">
                  <c:v>6.4171122994652413E-2</c:v>
                </c:pt>
                <c:pt idx="4">
                  <c:v>#N/A</c:v>
                </c:pt>
              </c:numCache>
            </c:numRef>
          </c:val>
          <c:smooth val="0"/>
        </c:ser>
        <c:ser>
          <c:idx val="13"/>
          <c:order val="8"/>
          <c:tx>
            <c:strRef>
              <c:f>Adoption!$AL$49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Adoption!$BH$49:$BL$49</c:f>
              <c:numCache>
                <c:formatCode>0.0%</c:formatCode>
                <c:ptCount val="5"/>
                <c:pt idx="0">
                  <c:v>6.4516129032258063E-2</c:v>
                </c:pt>
                <c:pt idx="1">
                  <c:v>#N/A</c:v>
                </c:pt>
                <c:pt idx="2">
                  <c:v>2.6881720430107527E-2</c:v>
                </c:pt>
                <c:pt idx="3">
                  <c:v>#N/A</c:v>
                </c:pt>
                <c:pt idx="4">
                  <c:v>#N/A</c:v>
                </c:pt>
              </c:numCache>
            </c:numRef>
          </c:val>
          <c:smooth val="0"/>
        </c:ser>
        <c:ser>
          <c:idx val="15"/>
          <c:order val="9"/>
          <c:tx>
            <c:strRef>
              <c:f>Adoption!$AL$50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Adoption!$BH$50:$BL$50</c:f>
              <c:numCache>
                <c:formatCode>0.0%</c:formatCode>
                <c:ptCount val="5"/>
                <c:pt idx="0">
                  <c:v>3.8314176245210725E-2</c:v>
                </c:pt>
                <c:pt idx="1">
                  <c:v>4.0160642570281124E-2</c:v>
                </c:pt>
                <c:pt idx="2">
                  <c:v>3.5714285714285712E-2</c:v>
                </c:pt>
                <c:pt idx="3">
                  <c:v>6.9930069930069935E-2</c:v>
                </c:pt>
                <c:pt idx="4">
                  <c:v>2.6936026936026935E-2</c:v>
                </c:pt>
              </c:numCache>
            </c:numRef>
          </c:val>
          <c:smooth val="0"/>
        </c:ser>
        <c:ser>
          <c:idx val="16"/>
          <c:order val="10"/>
          <c:tx>
            <c:strRef>
              <c:f>Adoption!$AL$51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Adoption!$BH$51:$BL$51</c:f>
              <c:numCache>
                <c:formatCode>0.0%</c:formatCode>
                <c:ptCount val="5"/>
                <c:pt idx="0">
                  <c:v>3.3783783783783786E-2</c:v>
                </c:pt>
                <c:pt idx="1">
                  <c:v>3.048780487804878E-2</c:v>
                </c:pt>
                <c:pt idx="2">
                  <c:v>0.11904761904761904</c:v>
                </c:pt>
                <c:pt idx="3">
                  <c:v>#N/A</c:v>
                </c:pt>
                <c:pt idx="4">
                  <c:v>4.2780748663101602E-2</c:v>
                </c:pt>
              </c:numCache>
            </c:numRef>
          </c:val>
          <c:smooth val="0"/>
        </c:ser>
        <c:ser>
          <c:idx val="17"/>
          <c:order val="11"/>
          <c:tx>
            <c:strRef>
              <c:f>Adoption!$AL$52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Adoption!$BH$52:$BL$52</c:f>
              <c:numCache>
                <c:formatCode>0.0%</c:formatCode>
                <c:ptCount val="5"/>
                <c:pt idx="0">
                  <c:v>#N/A</c:v>
                </c:pt>
                <c:pt idx="1">
                  <c:v>0</c:v>
                </c:pt>
                <c:pt idx="2">
                  <c:v>8.1300813008130079E-2</c:v>
                </c:pt>
                <c:pt idx="3">
                  <c:v>0</c:v>
                </c:pt>
                <c:pt idx="4">
                  <c:v>#N/A</c:v>
                </c:pt>
              </c:numCache>
            </c:numRef>
          </c:val>
          <c:smooth val="0"/>
        </c:ser>
        <c:ser>
          <c:idx val="19"/>
          <c:order val="12"/>
          <c:tx>
            <c:strRef>
              <c:f>Adoption!$AL$53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Adoption!$BH$53:$BL$53</c:f>
              <c:numCache>
                <c:formatCode>0.0%</c:formatCode>
                <c:ptCount val="5"/>
                <c:pt idx="0">
                  <c:v>4.7619047619047616E-2</c:v>
                </c:pt>
                <c:pt idx="1">
                  <c:v>#N/A</c:v>
                </c:pt>
                <c:pt idx="2">
                  <c:v>6.4935064935064929E-2</c:v>
                </c:pt>
                <c:pt idx="3">
                  <c:v>8.0357142857142863E-2</c:v>
                </c:pt>
                <c:pt idx="4">
                  <c:v>#N/A</c:v>
                </c:pt>
              </c:numCache>
            </c:numRef>
          </c:val>
          <c:smooth val="0"/>
        </c:ser>
        <c:ser>
          <c:idx val="3"/>
          <c:order val="13"/>
          <c:tx>
            <c:strRef>
              <c:f>Adoption!$AL$54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Adoption!$BH$54:$BL$54</c:f>
              <c:numCache>
                <c:formatCode>0.0%</c:formatCode>
                <c:ptCount val="5"/>
                <c:pt idx="0">
                  <c:v>4.9833887043189369E-2</c:v>
                </c:pt>
                <c:pt idx="1">
                  <c:v>1.6722408026755852E-2</c:v>
                </c:pt>
                <c:pt idx="2">
                  <c:v>#N/A</c:v>
                </c:pt>
                <c:pt idx="3">
                  <c:v>4.5977011494252873E-2</c:v>
                </c:pt>
                <c:pt idx="4">
                  <c:v>2.7522935779816515E-2</c:v>
                </c:pt>
              </c:numCache>
            </c:numRef>
          </c:val>
          <c:smooth val="0"/>
        </c:ser>
        <c:ser>
          <c:idx val="20"/>
          <c:order val="14"/>
          <c:tx>
            <c:strRef>
              <c:f>Adoption!$AL$55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Adoption!$BH$55:$BL$55</c:f>
              <c:numCache>
                <c:formatCode>0.0%</c:formatCode>
                <c:ptCount val="5"/>
                <c:pt idx="0">
                  <c:v>0.1358695652173913</c:v>
                </c:pt>
                <c:pt idx="1">
                  <c:v>5.2083333333333336E-2</c:v>
                </c:pt>
                <c:pt idx="2">
                  <c:v>#N/A</c:v>
                </c:pt>
                <c:pt idx="3">
                  <c:v>#N/A</c:v>
                </c:pt>
                <c:pt idx="4">
                  <c:v>6.5989847715736044E-2</c:v>
                </c:pt>
              </c:numCache>
            </c:numRef>
          </c:val>
          <c:smooth val="0"/>
        </c:ser>
        <c:ser>
          <c:idx val="22"/>
          <c:order val="15"/>
          <c:tx>
            <c:strRef>
              <c:f>Adoption!$AL$56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Adoption!$BH$56:$BL$56</c:f>
              <c:numCache>
                <c:formatCode>0.0%</c:formatCode>
                <c:ptCount val="5"/>
                <c:pt idx="0">
                  <c:v>7.1770334928229665E-2</c:v>
                </c:pt>
                <c:pt idx="1">
                  <c:v>1.3368983957219251E-2</c:v>
                </c:pt>
                <c:pt idx="2">
                  <c:v>3.7037037037037035E-2</c:v>
                </c:pt>
                <c:pt idx="3">
                  <c:v>1.6706443914081145E-2</c:v>
                </c:pt>
                <c:pt idx="4">
                  <c:v>3.1862745098039214E-2</c:v>
                </c:pt>
              </c:numCache>
            </c:numRef>
          </c:val>
          <c:smooth val="0"/>
        </c:ser>
        <c:ser>
          <c:idx val="7"/>
          <c:order val="16"/>
          <c:tx>
            <c:strRef>
              <c:f>Adoption!$AL$57</c:f>
              <c:strCache>
                <c:ptCount val="1"/>
                <c:pt idx="0">
                  <c:v>Swindon</c:v>
                </c:pt>
              </c:strCache>
            </c:strRef>
          </c:tx>
          <c:spPr>
            <a:ln w="15875"/>
          </c:spPr>
          <c:marker>
            <c:symbol val="triangle"/>
            <c:size val="5"/>
            <c:spPr>
              <a:solidFill>
                <a:schemeClr val="accent2">
                  <a:lumMod val="20000"/>
                  <a:lumOff val="80000"/>
                </a:schemeClr>
              </a:solidFill>
            </c:spPr>
          </c:marker>
          <c:cat>
            <c:numRef>
              <c:f>Adoption!$BH$40:$BL$40</c:f>
              <c:numCache>
                <c:formatCode>General</c:formatCode>
                <c:ptCount val="5"/>
                <c:pt idx="0">
                  <c:v>2014</c:v>
                </c:pt>
                <c:pt idx="1">
                  <c:v>2015</c:v>
                </c:pt>
                <c:pt idx="2">
                  <c:v>2016</c:v>
                </c:pt>
                <c:pt idx="3">
                  <c:v>2017</c:v>
                </c:pt>
                <c:pt idx="4">
                  <c:v>2018</c:v>
                </c:pt>
              </c:numCache>
            </c:numRef>
          </c:cat>
          <c:val>
            <c:numRef>
              <c:f>Adoption!$BH$57:$BL$57</c:f>
              <c:numCache>
                <c:formatCode>0.0%</c:formatCode>
                <c:ptCount val="5"/>
                <c:pt idx="0">
                  <c:v>3.7313432835820892E-2</c:v>
                </c:pt>
                <c:pt idx="1">
                  <c:v>#N/A</c:v>
                </c:pt>
                <c:pt idx="2">
                  <c:v>#N/A</c:v>
                </c:pt>
                <c:pt idx="3">
                  <c:v>6.6666666666666666E-2</c:v>
                </c:pt>
                <c:pt idx="4">
                  <c:v>5.1612903225806452E-2</c:v>
                </c:pt>
              </c:numCache>
            </c:numRef>
          </c:val>
          <c:smooth val="0"/>
        </c:ser>
        <c:ser>
          <c:idx val="8"/>
          <c:order val="17"/>
          <c:tx>
            <c:strRef>
              <c:f>Adoption!$AL$58</c:f>
              <c:strCache>
                <c:ptCount val="1"/>
                <c:pt idx="0">
                  <c:v>Torbay</c:v>
                </c:pt>
              </c:strCache>
            </c:strRef>
          </c:tx>
          <c:spPr>
            <a:ln w="15875"/>
          </c:spPr>
          <c:marker>
            <c:symbol val="circle"/>
            <c:size val="5"/>
            <c:spPr>
              <a:solidFill>
                <a:schemeClr val="accent3">
                  <a:lumMod val="20000"/>
                  <a:lumOff val="80000"/>
                </a:schemeClr>
              </a:solidFill>
            </c:spPr>
          </c:marker>
          <c:cat>
            <c:numRef>
              <c:f>Adoption!$BH$40:$BL$40</c:f>
              <c:numCache>
                <c:formatCode>General</c:formatCode>
                <c:ptCount val="5"/>
                <c:pt idx="0">
                  <c:v>2014</c:v>
                </c:pt>
                <c:pt idx="1">
                  <c:v>2015</c:v>
                </c:pt>
                <c:pt idx="2">
                  <c:v>2016</c:v>
                </c:pt>
                <c:pt idx="3">
                  <c:v>2017</c:v>
                </c:pt>
                <c:pt idx="4">
                  <c:v>2018</c:v>
                </c:pt>
              </c:numCache>
            </c:numRef>
          </c:cat>
          <c:val>
            <c:numRef>
              <c:f>Adoption!$BH$58:$BL$58</c:f>
              <c:numCache>
                <c:formatCode>0.0%</c:formatCode>
                <c:ptCount val="5"/>
                <c:pt idx="0">
                  <c:v>6.4102564102564097E-2</c:v>
                </c:pt>
                <c:pt idx="1">
                  <c:v>4.0322580645161289E-2</c:v>
                </c:pt>
                <c:pt idx="2">
                  <c:v>0.04</c:v>
                </c:pt>
                <c:pt idx="3">
                  <c:v>0.11009174311926606</c:v>
                </c:pt>
                <c:pt idx="4">
                  <c:v>5.8823529411764705E-2</c:v>
                </c:pt>
              </c:numCache>
            </c:numRef>
          </c:val>
          <c:smooth val="0"/>
        </c:ser>
        <c:ser>
          <c:idx val="23"/>
          <c:order val="18"/>
          <c:tx>
            <c:strRef>
              <c:f>Adoption!$AL$59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Adoption!$BH$59:$BL$59</c:f>
              <c:numCache>
                <c:formatCode>0.0%</c:formatCode>
                <c:ptCount val="5"/>
                <c:pt idx="0">
                  <c:v>0</c:v>
                </c:pt>
                <c:pt idx="1">
                  <c:v>7.6923076923076927E-2</c:v>
                </c:pt>
                <c:pt idx="2">
                  <c:v>0.14492753623188406</c:v>
                </c:pt>
                <c:pt idx="3">
                  <c:v>9.45945945945946E-2</c:v>
                </c:pt>
                <c:pt idx="4">
                  <c:v>0.10465116279069768</c:v>
                </c:pt>
              </c:numCache>
            </c:numRef>
          </c:val>
          <c:smooth val="0"/>
        </c:ser>
        <c:ser>
          <c:idx val="24"/>
          <c:order val="19"/>
          <c:tx>
            <c:strRef>
              <c:f>Adoption!$AL$60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Adoption!$BH$60:$BL$60</c:f>
              <c:numCache>
                <c:formatCode>0.0%</c:formatCode>
                <c:ptCount val="5"/>
                <c:pt idx="0">
                  <c:v>3.9473684210526314E-2</c:v>
                </c:pt>
                <c:pt idx="1">
                  <c:v>0</c:v>
                </c:pt>
                <c:pt idx="2">
                  <c:v>#N/A</c:v>
                </c:pt>
                <c:pt idx="3">
                  <c:v>0</c:v>
                </c:pt>
                <c:pt idx="4">
                  <c:v>0</c:v>
                </c:pt>
              </c:numCache>
            </c:numRef>
          </c:val>
          <c:smooth val="0"/>
        </c:ser>
        <c:ser>
          <c:idx val="25"/>
          <c:order val="20"/>
          <c:tx>
            <c:strRef>
              <c:f>Adoption!$AL$61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Adoption!$BH$61:$BL$61</c:f>
              <c:numCache>
                <c:formatCode>0.0%</c:formatCode>
                <c:ptCount val="5"/>
                <c:pt idx="0">
                  <c:v>0.21276595744680851</c:v>
                </c:pt>
                <c:pt idx="1">
                  <c:v>0</c:v>
                </c:pt>
                <c:pt idx="2">
                  <c:v>#N/A</c:v>
                </c:pt>
                <c:pt idx="3">
                  <c:v>#N/A</c:v>
                </c:pt>
                <c:pt idx="4">
                  <c:v>#N/A</c:v>
                </c:pt>
              </c:numCache>
            </c:numRef>
          </c:val>
          <c:smooth val="0"/>
        </c:ser>
        <c:ser>
          <c:idx val="26"/>
          <c:order val="21"/>
          <c:tx>
            <c:strRef>
              <c:f>Adoption!$AL$62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Adoption!$BH$62:$BL$62</c:f>
              <c:numCache>
                <c:formatCode>0.0%</c:formatCode>
                <c:ptCount val="5"/>
                <c:pt idx="0">
                  <c:v>#N/A</c:v>
                </c:pt>
                <c:pt idx="1">
                  <c:v>#N/A</c:v>
                </c:pt>
                <c:pt idx="2">
                  <c:v>0</c:v>
                </c:pt>
                <c:pt idx="3">
                  <c:v>#N/A</c:v>
                </c:pt>
                <c:pt idx="4">
                  <c:v>0</c:v>
                </c:pt>
              </c:numCache>
            </c:numRef>
          </c:val>
          <c:smooth val="0"/>
        </c:ser>
        <c:ser>
          <c:idx val="4"/>
          <c:order val="22"/>
          <c:tx>
            <c:strRef>
              <c:f>Adoption!$AL$63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Adoption!$BH$40:$BL$40</c:f>
              <c:numCache>
                <c:formatCode>General</c:formatCode>
                <c:ptCount val="5"/>
                <c:pt idx="0">
                  <c:v>2014</c:v>
                </c:pt>
                <c:pt idx="1">
                  <c:v>2015</c:v>
                </c:pt>
                <c:pt idx="2">
                  <c:v>2016</c:v>
                </c:pt>
                <c:pt idx="3">
                  <c:v>2017</c:v>
                </c:pt>
                <c:pt idx="4">
                  <c:v>2018</c:v>
                </c:pt>
              </c:numCache>
            </c:numRef>
          </c:cat>
          <c:val>
            <c:numRef>
              <c:f>Adoption!$BH$63:$BL$63</c:f>
              <c:numCache>
                <c:formatCode>0.0%</c:formatCode>
                <c:ptCount val="5"/>
                <c:pt idx="0">
                  <c:v>5.6804149172635217E-2</c:v>
                </c:pt>
                <c:pt idx="1">
                  <c:v>2.4449877750611249E-2</c:v>
                </c:pt>
                <c:pt idx="2">
                  <c:v>2.8017241379310345E-2</c:v>
                </c:pt>
                <c:pt idx="3">
                  <c:v>2.7956989247311829E-2</c:v>
                </c:pt>
                <c:pt idx="4">
                  <c:v>2.7906976744186046E-2</c:v>
                </c:pt>
              </c:numCache>
            </c:numRef>
          </c:val>
          <c:smooth val="0"/>
        </c:ser>
        <c:ser>
          <c:idx val="14"/>
          <c:order val="23"/>
          <c:tx>
            <c:strRef>
              <c:f>Adoption!$AL$64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Adoption!$BH$40:$BL$40</c:f>
              <c:numCache>
                <c:formatCode>General</c:formatCode>
                <c:ptCount val="5"/>
                <c:pt idx="0">
                  <c:v>2014</c:v>
                </c:pt>
                <c:pt idx="1">
                  <c:v>2015</c:v>
                </c:pt>
                <c:pt idx="2">
                  <c:v>2016</c:v>
                </c:pt>
                <c:pt idx="3">
                  <c:v>2017</c:v>
                </c:pt>
                <c:pt idx="4">
                  <c:v>2018</c:v>
                </c:pt>
              </c:numCache>
            </c:numRef>
          </c:cat>
          <c:val>
            <c:numRef>
              <c:f>Adoption!$BH$64:$BL$64</c:f>
              <c:numCache>
                <c:formatCode>0.0%</c:formatCode>
                <c:ptCount val="5"/>
                <c:pt idx="0">
                  <c:v>5.5228758169934639E-2</c:v>
                </c:pt>
                <c:pt idx="1">
                  <c:v>3.2535885167464113E-2</c:v>
                </c:pt>
                <c:pt idx="2">
                  <c:v>3.5164835164835165E-2</c:v>
                </c:pt>
                <c:pt idx="3">
                  <c:v>3.8204393505253106E-2</c:v>
                </c:pt>
                <c:pt idx="4">
                  <c:v>3.9182853315472201E-2</c:v>
                </c:pt>
              </c:numCache>
            </c:numRef>
          </c:val>
          <c:smooth val="0"/>
        </c:ser>
        <c:ser>
          <c:idx val="6"/>
          <c:order val="24"/>
          <c:tx>
            <c:strRef>
              <c:f>Adoption!$AL$65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Adoption!$BH$40:$BL$40</c:f>
              <c:numCache>
                <c:formatCode>General</c:formatCode>
                <c:ptCount val="5"/>
                <c:pt idx="0">
                  <c:v>2014</c:v>
                </c:pt>
                <c:pt idx="1">
                  <c:v>2015</c:v>
                </c:pt>
                <c:pt idx="2">
                  <c:v>2016</c:v>
                </c:pt>
                <c:pt idx="3">
                  <c:v>2017</c:v>
                </c:pt>
                <c:pt idx="4">
                  <c:v>2018</c:v>
                </c:pt>
              </c:numCache>
            </c:numRef>
          </c:cat>
          <c:val>
            <c:numRef>
              <c:f>Adoption!$BH$65:$BL$65</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67965568"/>
        <c:axId val="267967488"/>
      </c:lineChart>
      <c:catAx>
        <c:axId val="267965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7967488"/>
        <c:crosses val="autoZero"/>
        <c:auto val="1"/>
        <c:lblAlgn val="ctr"/>
        <c:lblOffset val="100"/>
        <c:tickLblSkip val="1"/>
        <c:tickMarkSkip val="1"/>
        <c:noMultiLvlLbl val="0"/>
      </c:catAx>
      <c:valAx>
        <c:axId val="26796748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796556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86269053467923773"/>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LAC to </a:t>
            </a:r>
            <a:r>
              <a:rPr lang="en-GB" sz="900" baseline="0"/>
              <a:t>SGO</a:t>
            </a:r>
            <a:endParaRPr lang="en-GB" sz="900"/>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Adoption!$AA$4</c:f>
              <c:strCache>
                <c:ptCount val="1"/>
                <c:pt idx="0">
                  <c:v>Selected LA- (none)</c:v>
                </c:pt>
              </c:strCache>
            </c:strRef>
          </c:tx>
          <c:spPr>
            <a:solidFill>
              <a:srgbClr val="66FF99"/>
            </a:solidFill>
            <a:ln>
              <a:solidFill>
                <a:schemeClr val="tx1">
                  <a:lumMod val="75000"/>
                  <a:lumOff val="25000"/>
                </a:schemeClr>
              </a:solidFill>
            </a:ln>
          </c:spPr>
          <c:invertIfNegative val="0"/>
          <c:cat>
            <c:numRef>
              <c:f>Adoption!$K$8:$O$8</c:f>
              <c:numCache>
                <c:formatCode>General</c:formatCode>
                <c:ptCount val="5"/>
                <c:pt idx="0">
                  <c:v>2014</c:v>
                </c:pt>
                <c:pt idx="1">
                  <c:v>2015</c:v>
                </c:pt>
                <c:pt idx="2">
                  <c:v>2016</c:v>
                </c:pt>
                <c:pt idx="3">
                  <c:v>2017</c:v>
                </c:pt>
                <c:pt idx="4">
                  <c:v>2018</c:v>
                </c:pt>
              </c:numCache>
            </c:numRef>
          </c:cat>
          <c:val>
            <c:numRef>
              <c:f>Adoption!$BM$65:$BQ$65</c:f>
              <c:numCache>
                <c:formatCode>0.0%</c:formatCode>
                <c:ptCount val="5"/>
                <c:pt idx="0">
                  <c:v>#N/A</c:v>
                </c:pt>
                <c:pt idx="1">
                  <c:v>#N/A</c:v>
                </c:pt>
                <c:pt idx="2">
                  <c:v>#N/A</c:v>
                </c:pt>
                <c:pt idx="3">
                  <c:v>#N/A</c:v>
                </c:pt>
                <c:pt idx="4">
                  <c:v>#N/A</c:v>
                </c:pt>
              </c:numCache>
            </c:numRef>
          </c:val>
        </c:ser>
        <c:ser>
          <c:idx val="4"/>
          <c:order val="1"/>
          <c:tx>
            <c:strRef>
              <c:f>Adoption!$B$98</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Adoption!$K$8:$O$8</c:f>
              <c:numCache>
                <c:formatCode>General</c:formatCode>
                <c:ptCount val="5"/>
                <c:pt idx="0">
                  <c:v>2014</c:v>
                </c:pt>
                <c:pt idx="1">
                  <c:v>2015</c:v>
                </c:pt>
                <c:pt idx="2">
                  <c:v>2016</c:v>
                </c:pt>
                <c:pt idx="3">
                  <c:v>2017</c:v>
                </c:pt>
                <c:pt idx="4">
                  <c:v>2018</c:v>
                </c:pt>
              </c:numCache>
            </c:numRef>
          </c:cat>
          <c:val>
            <c:numRef>
              <c:f>Adoption!$D$168:$H$168</c:f>
              <c:numCache>
                <c:formatCode>0%</c:formatCode>
                <c:ptCount val="5"/>
                <c:pt idx="0">
                  <c:v>0.10990367992096814</c:v>
                </c:pt>
                <c:pt idx="1">
                  <c:v>9.2909535452322736E-2</c:v>
                </c:pt>
                <c:pt idx="2">
                  <c:v>9.6982758620689655E-2</c:v>
                </c:pt>
                <c:pt idx="3">
                  <c:v>9.8924731182795697E-2</c:v>
                </c:pt>
                <c:pt idx="4">
                  <c:v>0.11627906976744186</c:v>
                </c:pt>
              </c:numCache>
            </c:numRef>
          </c:val>
        </c:ser>
        <c:ser>
          <c:idx val="0"/>
          <c:order val="2"/>
          <c:tx>
            <c:strRef>
              <c:f>Adoption!$B$99</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Adoption!$D$169:$H$169</c:f>
              <c:numCache>
                <c:formatCode>0%</c:formatCode>
                <c:ptCount val="5"/>
                <c:pt idx="0">
                  <c:v>0.10980392156862745</c:v>
                </c:pt>
                <c:pt idx="1">
                  <c:v>0.11323763955342903</c:v>
                </c:pt>
                <c:pt idx="2">
                  <c:v>0.12119309262166406</c:v>
                </c:pt>
                <c:pt idx="3">
                  <c:v>0.1174785100286533</c:v>
                </c:pt>
                <c:pt idx="4">
                  <c:v>0.11486939048894843</c:v>
                </c:pt>
              </c:numCache>
            </c:numRef>
          </c:val>
        </c:ser>
        <c:dLbls>
          <c:showLegendKey val="0"/>
          <c:showVal val="0"/>
          <c:showCatName val="0"/>
          <c:showSerName val="0"/>
          <c:showPercent val="0"/>
          <c:showBubbleSize val="0"/>
        </c:dLbls>
        <c:gapWidth val="100"/>
        <c:axId val="269001472"/>
        <c:axId val="269003008"/>
      </c:barChart>
      <c:catAx>
        <c:axId val="269001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9003008"/>
        <c:crosses val="autoZero"/>
        <c:auto val="1"/>
        <c:lblAlgn val="ctr"/>
        <c:lblOffset val="100"/>
        <c:noMultiLvlLbl val="0"/>
      </c:catAx>
      <c:valAx>
        <c:axId val="26900300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900147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ceasing to be Looked After in year who were </a:t>
            </a:r>
          </a:p>
          <a:p>
            <a:pPr>
              <a:defRPr sz="1000" b="1" i="0" u="none" strike="noStrike" baseline="0">
                <a:solidFill>
                  <a:srgbClr val="000000"/>
                </a:solidFill>
                <a:latin typeface="Arial"/>
                <a:ea typeface="Arial"/>
                <a:cs typeface="Arial"/>
              </a:defRPr>
            </a:pPr>
            <a:r>
              <a:rPr lang="en-GB"/>
              <a:t>granted a Special Guardianship Order (%)</a:t>
            </a:r>
          </a:p>
        </c:rich>
      </c:tx>
      <c:layout>
        <c:manualLayout>
          <c:xMode val="edge"/>
          <c:yMode val="edge"/>
          <c:x val="0.11896079723102342"/>
          <c:y val="1.0301221879597805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Adoption!$AL$41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Adoption!$BM$40:$BQ$40</c:f>
              <c:numCache>
                <c:formatCode>General</c:formatCode>
                <c:ptCount val="5"/>
                <c:pt idx="0">
                  <c:v>2014</c:v>
                </c:pt>
                <c:pt idx="1">
                  <c:v>2015</c:v>
                </c:pt>
                <c:pt idx="2">
                  <c:v>2016</c:v>
                </c:pt>
                <c:pt idx="3">
                  <c:v>2017</c:v>
                </c:pt>
                <c:pt idx="4">
                  <c:v>2018</c:v>
                </c:pt>
              </c:numCache>
            </c:numRef>
          </c:cat>
          <c:val>
            <c:numRef>
              <c:f>Adoption!$BM$41:$BQ$41</c:f>
              <c:numCache>
                <c:formatCode>0.0%</c:formatCode>
                <c:ptCount val="5"/>
                <c:pt idx="0">
                  <c:v>#N/A</c:v>
                </c:pt>
                <c:pt idx="1">
                  <c:v>0.17241379310344829</c:v>
                </c:pt>
                <c:pt idx="2">
                  <c:v>0.14705882352941177</c:v>
                </c:pt>
                <c:pt idx="3">
                  <c:v>0.20408163265306123</c:v>
                </c:pt>
                <c:pt idx="4">
                  <c:v>#N/A</c:v>
                </c:pt>
              </c:numCache>
            </c:numRef>
          </c:val>
          <c:smooth val="0"/>
        </c:ser>
        <c:ser>
          <c:idx val="1"/>
          <c:order val="1"/>
          <c:tx>
            <c:strRef>
              <c:f>Adoption!$AL$42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Adoption!$BM$42:$BQ$42</c:f>
              <c:numCache>
                <c:formatCode>0.0%</c:formatCode>
                <c:ptCount val="5"/>
                <c:pt idx="0">
                  <c:v>8.3333333333333329E-2</c:v>
                </c:pt>
                <c:pt idx="1">
                  <c:v>0.13020833333333334</c:v>
                </c:pt>
                <c:pt idx="2">
                  <c:v>0.16326530612244897</c:v>
                </c:pt>
                <c:pt idx="3">
                  <c:v>9.4972067039106142E-2</c:v>
                </c:pt>
                <c:pt idx="4">
                  <c:v>0.14204545454545456</c:v>
                </c:pt>
              </c:numCache>
            </c:numRef>
          </c:val>
          <c:smooth val="0"/>
        </c:ser>
        <c:ser>
          <c:idx val="2"/>
          <c:order val="2"/>
          <c:tx>
            <c:strRef>
              <c:f>Adoption!$AL$43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Adoption!$BM$43:$BQ$43</c:f>
              <c:numCache>
                <c:formatCode>0.0%</c:formatCode>
                <c:ptCount val="5"/>
                <c:pt idx="0">
                  <c:v>0.11363636363636363</c:v>
                </c:pt>
                <c:pt idx="1">
                  <c:v>0.12345679012345678</c:v>
                </c:pt>
                <c:pt idx="2">
                  <c:v>8.8105726872246701E-2</c:v>
                </c:pt>
                <c:pt idx="3">
                  <c:v>8.3720930232558138E-2</c:v>
                </c:pt>
                <c:pt idx="4">
                  <c:v>0.17127071823204421</c:v>
                </c:pt>
              </c:numCache>
            </c:numRef>
          </c:val>
          <c:smooth val="0"/>
        </c:ser>
        <c:ser>
          <c:idx val="5"/>
          <c:order val="3"/>
          <c:tx>
            <c:strRef>
              <c:f>Adoption!$AL$44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Adoption!$BM$44:$BQ$44</c:f>
              <c:numCache>
                <c:formatCode>0.0%</c:formatCode>
                <c:ptCount val="5"/>
                <c:pt idx="0">
                  <c:v>0.16203703703703703</c:v>
                </c:pt>
                <c:pt idx="1">
                  <c:v>7.9365079365079361E-2</c:v>
                </c:pt>
                <c:pt idx="2">
                  <c:v>0.10416666666666667</c:v>
                </c:pt>
                <c:pt idx="3">
                  <c:v>0.16216216216216217</c:v>
                </c:pt>
                <c:pt idx="4">
                  <c:v>0.11180124223602485</c:v>
                </c:pt>
              </c:numCache>
            </c:numRef>
          </c:val>
          <c:smooth val="0"/>
        </c:ser>
        <c:ser>
          <c:idx val="9"/>
          <c:order val="4"/>
          <c:tx>
            <c:strRef>
              <c:f>Adoption!$AL$45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Adoption!$BM$45:$BQ$45</c:f>
              <c:numCache>
                <c:formatCode>0.0%</c:formatCode>
                <c:ptCount val="5"/>
                <c:pt idx="0">
                  <c:v>9.3457943925233641E-2</c:v>
                </c:pt>
                <c:pt idx="1">
                  <c:v>7.3260073260073263E-2</c:v>
                </c:pt>
                <c:pt idx="2">
                  <c:v>8.2568807339449546E-2</c:v>
                </c:pt>
                <c:pt idx="3">
                  <c:v>9.5864661654135333E-2</c:v>
                </c:pt>
                <c:pt idx="4">
                  <c:v>0.1154639175257732</c:v>
                </c:pt>
              </c:numCache>
            </c:numRef>
          </c:val>
          <c:smooth val="0"/>
        </c:ser>
        <c:ser>
          <c:idx val="10"/>
          <c:order val="5"/>
          <c:tx>
            <c:strRef>
              <c:f>Adoption!$AL$46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Adoption!$BM$46:$BQ$46</c:f>
              <c:numCache>
                <c:formatCode>0.0%</c:formatCode>
                <c:ptCount val="5"/>
                <c:pt idx="0">
                  <c:v>0.16129032258064516</c:v>
                </c:pt>
                <c:pt idx="1">
                  <c:v>6.3291139240506333E-2</c:v>
                </c:pt>
                <c:pt idx="2">
                  <c:v>0.13698630136986301</c:v>
                </c:pt>
                <c:pt idx="3">
                  <c:v>#N/A</c:v>
                </c:pt>
                <c:pt idx="4">
                  <c:v>#N/A</c:v>
                </c:pt>
              </c:numCache>
            </c:numRef>
          </c:val>
          <c:smooth val="0"/>
        </c:ser>
        <c:ser>
          <c:idx val="11"/>
          <c:order val="6"/>
          <c:tx>
            <c:strRef>
              <c:f>Adoption!$AL$47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Adoption!$BM$47:$BQ$47</c:f>
              <c:numCache>
                <c:formatCode>0.0%</c:formatCode>
                <c:ptCount val="5"/>
                <c:pt idx="0">
                  <c:v>6.8649885583524028E-2</c:v>
                </c:pt>
                <c:pt idx="1">
                  <c:v>6.2713797035347782E-2</c:v>
                </c:pt>
                <c:pt idx="2">
                  <c:v>4.1938490214352281E-2</c:v>
                </c:pt>
                <c:pt idx="3">
                  <c:v>4.1064638783269963E-2</c:v>
                </c:pt>
                <c:pt idx="4">
                  <c:v>4.1108986615678779E-2</c:v>
                </c:pt>
              </c:numCache>
            </c:numRef>
          </c:val>
          <c:smooth val="0"/>
        </c:ser>
        <c:ser>
          <c:idx val="12"/>
          <c:order val="7"/>
          <c:tx>
            <c:strRef>
              <c:f>Adoption!$AL$48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Adoption!$BM$48:$BQ$48</c:f>
              <c:numCache>
                <c:formatCode>0.0%</c:formatCode>
                <c:ptCount val="5"/>
                <c:pt idx="0">
                  <c:v>8.3333333333333329E-2</c:v>
                </c:pt>
                <c:pt idx="1">
                  <c:v>5.128205128205128E-2</c:v>
                </c:pt>
                <c:pt idx="2">
                  <c:v>0.11904761904761904</c:v>
                </c:pt>
                <c:pt idx="3">
                  <c:v>0.1497326203208556</c:v>
                </c:pt>
                <c:pt idx="4">
                  <c:v>0.11949685534591195</c:v>
                </c:pt>
              </c:numCache>
            </c:numRef>
          </c:val>
          <c:smooth val="0"/>
        </c:ser>
        <c:ser>
          <c:idx val="13"/>
          <c:order val="8"/>
          <c:tx>
            <c:strRef>
              <c:f>Adoption!$AL$49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Adoption!$BM$49:$BQ$49</c:f>
              <c:numCache>
                <c:formatCode>0.0%</c:formatCode>
                <c:ptCount val="5"/>
                <c:pt idx="0">
                  <c:v>0.12903225806451613</c:v>
                </c:pt>
                <c:pt idx="1">
                  <c:v>0.10948905109489052</c:v>
                </c:pt>
                <c:pt idx="2">
                  <c:v>0.10752688172043011</c:v>
                </c:pt>
                <c:pt idx="3">
                  <c:v>0.17763157894736842</c:v>
                </c:pt>
                <c:pt idx="4">
                  <c:v>0.25</c:v>
                </c:pt>
              </c:numCache>
            </c:numRef>
          </c:val>
          <c:smooth val="0"/>
        </c:ser>
        <c:ser>
          <c:idx val="15"/>
          <c:order val="9"/>
          <c:tx>
            <c:strRef>
              <c:f>Adoption!$AL$50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Adoption!$BM$50:$BQ$50</c:f>
              <c:numCache>
                <c:formatCode>0.0%</c:formatCode>
                <c:ptCount val="5"/>
                <c:pt idx="0">
                  <c:v>0.13409961685823754</c:v>
                </c:pt>
                <c:pt idx="1">
                  <c:v>0.1606425702811245</c:v>
                </c:pt>
                <c:pt idx="2">
                  <c:v>0.10714285714285714</c:v>
                </c:pt>
                <c:pt idx="3">
                  <c:v>5.5944055944055944E-2</c:v>
                </c:pt>
                <c:pt idx="4">
                  <c:v>0.14814814814814814</c:v>
                </c:pt>
              </c:numCache>
            </c:numRef>
          </c:val>
          <c:smooth val="0"/>
        </c:ser>
        <c:ser>
          <c:idx val="16"/>
          <c:order val="10"/>
          <c:tx>
            <c:strRef>
              <c:f>Adoption!$AL$51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Adoption!$BM$51:$BQ$51</c:f>
              <c:numCache>
                <c:formatCode>0.0%</c:formatCode>
                <c:ptCount val="5"/>
                <c:pt idx="0">
                  <c:v>0.16891891891891891</c:v>
                </c:pt>
                <c:pt idx="1">
                  <c:v>9.1463414634146339E-2</c:v>
                </c:pt>
                <c:pt idx="2">
                  <c:v>0.11904761904761904</c:v>
                </c:pt>
                <c:pt idx="3">
                  <c:v>9.7560975609756101E-2</c:v>
                </c:pt>
                <c:pt idx="4">
                  <c:v>0.11764705882352941</c:v>
                </c:pt>
              </c:numCache>
            </c:numRef>
          </c:val>
          <c:smooth val="0"/>
        </c:ser>
        <c:ser>
          <c:idx val="17"/>
          <c:order val="11"/>
          <c:tx>
            <c:strRef>
              <c:f>Adoption!$AL$52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Adoption!$BM$52:$BQ$52</c:f>
              <c:numCache>
                <c:formatCode>0.0%</c:formatCode>
                <c:ptCount val="5"/>
                <c:pt idx="0">
                  <c:v>0.15789473684210525</c:v>
                </c:pt>
                <c:pt idx="1">
                  <c:v>0.17857142857142858</c:v>
                </c:pt>
                <c:pt idx="2">
                  <c:v>0.16260162601626016</c:v>
                </c:pt>
                <c:pt idx="3">
                  <c:v>0.08</c:v>
                </c:pt>
                <c:pt idx="4">
                  <c:v>0.15053763440860216</c:v>
                </c:pt>
              </c:numCache>
            </c:numRef>
          </c:val>
          <c:smooth val="0"/>
        </c:ser>
        <c:ser>
          <c:idx val="19"/>
          <c:order val="12"/>
          <c:tx>
            <c:strRef>
              <c:f>Adoption!$AL$53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Adoption!$BM$53:$BQ$53</c:f>
              <c:numCache>
                <c:formatCode>0.0%</c:formatCode>
                <c:ptCount val="5"/>
                <c:pt idx="0">
                  <c:v>0.14285714285714285</c:v>
                </c:pt>
                <c:pt idx="1">
                  <c:v>4.4247787610619468E-2</c:v>
                </c:pt>
                <c:pt idx="2">
                  <c:v>0.16233766233766234</c:v>
                </c:pt>
                <c:pt idx="3">
                  <c:v>8.9285714285714288E-2</c:v>
                </c:pt>
                <c:pt idx="4">
                  <c:v>0.125</c:v>
                </c:pt>
              </c:numCache>
            </c:numRef>
          </c:val>
          <c:smooth val="0"/>
        </c:ser>
        <c:ser>
          <c:idx val="3"/>
          <c:order val="13"/>
          <c:tx>
            <c:strRef>
              <c:f>Adoption!$AL$54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Adoption!$BM$54:$BQ$54</c:f>
              <c:numCache>
                <c:formatCode>0.0%</c:formatCode>
                <c:ptCount val="5"/>
                <c:pt idx="0">
                  <c:v>3.3222591362126248E-2</c:v>
                </c:pt>
                <c:pt idx="1">
                  <c:v>5.016722408026756E-2</c:v>
                </c:pt>
                <c:pt idx="2">
                  <c:v>6.5502183406113537E-2</c:v>
                </c:pt>
                <c:pt idx="3">
                  <c:v>0.11494252873563218</c:v>
                </c:pt>
                <c:pt idx="4">
                  <c:v>0.12844036697247707</c:v>
                </c:pt>
              </c:numCache>
            </c:numRef>
          </c:val>
          <c:smooth val="0"/>
        </c:ser>
        <c:ser>
          <c:idx val="20"/>
          <c:order val="14"/>
          <c:tx>
            <c:strRef>
              <c:f>Adoption!$AL$55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Adoption!$BM$55:$BQ$55</c:f>
              <c:numCache>
                <c:formatCode>0.0%</c:formatCode>
                <c:ptCount val="5"/>
                <c:pt idx="0">
                  <c:v>0.10869565217391304</c:v>
                </c:pt>
                <c:pt idx="1">
                  <c:v>5.2083333333333336E-2</c:v>
                </c:pt>
                <c:pt idx="2">
                  <c:v>0.14634146341463414</c:v>
                </c:pt>
                <c:pt idx="3">
                  <c:v>0.15837104072398189</c:v>
                </c:pt>
                <c:pt idx="4">
                  <c:v>0.19796954314720813</c:v>
                </c:pt>
              </c:numCache>
            </c:numRef>
          </c:val>
          <c:smooth val="0"/>
        </c:ser>
        <c:ser>
          <c:idx val="22"/>
          <c:order val="15"/>
          <c:tx>
            <c:strRef>
              <c:f>Adoption!$AL$56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Adoption!$BM$56:$BQ$56</c:f>
              <c:numCache>
                <c:formatCode>0.0%</c:formatCode>
                <c:ptCount val="5"/>
                <c:pt idx="0">
                  <c:v>0.15550239234449761</c:v>
                </c:pt>
                <c:pt idx="1">
                  <c:v>0.13368983957219252</c:v>
                </c:pt>
                <c:pt idx="2">
                  <c:v>9.8765432098765427E-2</c:v>
                </c:pt>
                <c:pt idx="3">
                  <c:v>0.13365155131264916</c:v>
                </c:pt>
                <c:pt idx="4">
                  <c:v>0.125</c:v>
                </c:pt>
              </c:numCache>
            </c:numRef>
          </c:val>
          <c:smooth val="0"/>
        </c:ser>
        <c:ser>
          <c:idx val="7"/>
          <c:order val="16"/>
          <c:tx>
            <c:strRef>
              <c:f>Adoption!$AL$57</c:f>
              <c:strCache>
                <c:ptCount val="1"/>
                <c:pt idx="0">
                  <c:v>Swindon</c:v>
                </c:pt>
              </c:strCache>
            </c:strRef>
          </c:tx>
          <c:spPr>
            <a:ln w="15875"/>
          </c:spPr>
          <c:marker>
            <c:symbol val="triangle"/>
            <c:size val="5"/>
            <c:spPr>
              <a:solidFill>
                <a:schemeClr val="accent2">
                  <a:lumMod val="20000"/>
                  <a:lumOff val="80000"/>
                </a:schemeClr>
              </a:solidFill>
            </c:spPr>
          </c:marker>
          <c:cat>
            <c:numRef>
              <c:f>Adoption!$BM$40:$BQ$40</c:f>
              <c:numCache>
                <c:formatCode>General</c:formatCode>
                <c:ptCount val="5"/>
                <c:pt idx="0">
                  <c:v>2014</c:v>
                </c:pt>
                <c:pt idx="1">
                  <c:v>2015</c:v>
                </c:pt>
                <c:pt idx="2">
                  <c:v>2016</c:v>
                </c:pt>
                <c:pt idx="3">
                  <c:v>2017</c:v>
                </c:pt>
                <c:pt idx="4">
                  <c:v>2018</c:v>
                </c:pt>
              </c:numCache>
            </c:numRef>
          </c:cat>
          <c:val>
            <c:numRef>
              <c:f>Adoption!$BM$57:$BQ$57</c:f>
              <c:numCache>
                <c:formatCode>0.0%</c:formatCode>
                <c:ptCount val="5"/>
                <c:pt idx="0">
                  <c:v>3.7313432835820892E-2</c:v>
                </c:pt>
                <c:pt idx="1">
                  <c:v>7.407407407407407E-2</c:v>
                </c:pt>
                <c:pt idx="2">
                  <c:v>7.1942446043165464E-2</c:v>
                </c:pt>
                <c:pt idx="3">
                  <c:v>0.12666666666666668</c:v>
                </c:pt>
                <c:pt idx="4">
                  <c:v>0.18064516129032257</c:v>
                </c:pt>
              </c:numCache>
            </c:numRef>
          </c:val>
          <c:smooth val="0"/>
        </c:ser>
        <c:ser>
          <c:idx val="8"/>
          <c:order val="17"/>
          <c:tx>
            <c:strRef>
              <c:f>Adoption!$AL$58</c:f>
              <c:strCache>
                <c:ptCount val="1"/>
                <c:pt idx="0">
                  <c:v>Torbay</c:v>
                </c:pt>
              </c:strCache>
            </c:strRef>
          </c:tx>
          <c:spPr>
            <a:ln w="15875"/>
          </c:spPr>
          <c:marker>
            <c:symbol val="circle"/>
            <c:size val="5"/>
            <c:spPr>
              <a:solidFill>
                <a:schemeClr val="accent3">
                  <a:lumMod val="20000"/>
                  <a:lumOff val="80000"/>
                </a:schemeClr>
              </a:solidFill>
            </c:spPr>
          </c:marker>
          <c:cat>
            <c:numRef>
              <c:f>Adoption!$BM$40:$BQ$40</c:f>
              <c:numCache>
                <c:formatCode>General</c:formatCode>
                <c:ptCount val="5"/>
                <c:pt idx="0">
                  <c:v>2014</c:v>
                </c:pt>
                <c:pt idx="1">
                  <c:v>2015</c:v>
                </c:pt>
                <c:pt idx="2">
                  <c:v>2016</c:v>
                </c:pt>
                <c:pt idx="3">
                  <c:v>2017</c:v>
                </c:pt>
                <c:pt idx="4">
                  <c:v>2018</c:v>
                </c:pt>
              </c:numCache>
            </c:numRef>
          </c:cat>
          <c:val>
            <c:numRef>
              <c:f>Adoption!$BM$58:$BQ$58</c:f>
              <c:numCache>
                <c:formatCode>0.0%</c:formatCode>
                <c:ptCount val="5"/>
                <c:pt idx="0">
                  <c:v>9.6153846153846159E-2</c:v>
                </c:pt>
                <c:pt idx="1">
                  <c:v>8.0645161290322578E-2</c:v>
                </c:pt>
                <c:pt idx="2">
                  <c:v>0.08</c:v>
                </c:pt>
                <c:pt idx="3">
                  <c:v>0.14678899082568808</c:v>
                </c:pt>
                <c:pt idx="4">
                  <c:v>9.8039215686274508E-2</c:v>
                </c:pt>
              </c:numCache>
            </c:numRef>
          </c:val>
          <c:smooth val="0"/>
        </c:ser>
        <c:ser>
          <c:idx val="23"/>
          <c:order val="18"/>
          <c:tx>
            <c:strRef>
              <c:f>Adoption!$AL$59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Adoption!$BM$59:$BQ$59</c:f>
              <c:numCache>
                <c:formatCode>0.0%</c:formatCode>
                <c:ptCount val="5"/>
                <c:pt idx="0">
                  <c:v>0.14705882352941177</c:v>
                </c:pt>
                <c:pt idx="1">
                  <c:v>0.15384615384615385</c:v>
                </c:pt>
                <c:pt idx="2">
                  <c:v>0.14492753623188406</c:v>
                </c:pt>
                <c:pt idx="3">
                  <c:v>#N/A</c:v>
                </c:pt>
                <c:pt idx="4">
                  <c:v>0.23255813953488372</c:v>
                </c:pt>
              </c:numCache>
            </c:numRef>
          </c:val>
          <c:smooth val="0"/>
        </c:ser>
        <c:ser>
          <c:idx val="24"/>
          <c:order val="19"/>
          <c:tx>
            <c:strRef>
              <c:f>Adoption!$AL$60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Adoption!$BM$60:$BQ$60</c:f>
              <c:numCache>
                <c:formatCode>0.0%</c:formatCode>
                <c:ptCount val="5"/>
                <c:pt idx="0">
                  <c:v>9.2105263157894732E-2</c:v>
                </c:pt>
                <c:pt idx="1">
                  <c:v>6.097560975609756E-2</c:v>
                </c:pt>
                <c:pt idx="2">
                  <c:v>0.11658031088082901</c:v>
                </c:pt>
                <c:pt idx="3">
                  <c:v>8.4033613445378158E-2</c:v>
                </c:pt>
                <c:pt idx="4">
                  <c:v>0.10946745562130178</c:v>
                </c:pt>
              </c:numCache>
            </c:numRef>
          </c:val>
          <c:smooth val="0"/>
        </c:ser>
        <c:ser>
          <c:idx val="25"/>
          <c:order val="20"/>
          <c:tx>
            <c:strRef>
              <c:f>Adoption!$AL$61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Adoption!$BM$61:$BQ$61</c:f>
              <c:numCache>
                <c:formatCode>0.0%</c:formatCode>
                <c:ptCount val="5"/>
                <c:pt idx="0">
                  <c:v>#N/A</c:v>
                </c:pt>
                <c:pt idx="1">
                  <c:v>0.21276595744680851</c:v>
                </c:pt>
                <c:pt idx="2">
                  <c:v>#N/A</c:v>
                </c:pt>
                <c:pt idx="3">
                  <c:v>#N/A</c:v>
                </c:pt>
                <c:pt idx="4">
                  <c:v>#N/A</c:v>
                </c:pt>
              </c:numCache>
            </c:numRef>
          </c:val>
          <c:smooth val="0"/>
        </c:ser>
        <c:ser>
          <c:idx val="26"/>
          <c:order val="21"/>
          <c:tx>
            <c:strRef>
              <c:f>Adoption!$AL$62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Adoption!$BM$62:$BQ$62</c:f>
              <c:numCache>
                <c:formatCode>0.0%</c:formatCode>
                <c:ptCount val="5"/>
                <c:pt idx="0">
                  <c:v>0.27027027027027029</c:v>
                </c:pt>
                <c:pt idx="1">
                  <c:v>#N/A</c:v>
                </c:pt>
                <c:pt idx="2">
                  <c:v>#N/A</c:v>
                </c:pt>
                <c:pt idx="3">
                  <c:v>#N/A</c:v>
                </c:pt>
                <c:pt idx="4">
                  <c:v>#N/A</c:v>
                </c:pt>
              </c:numCache>
            </c:numRef>
          </c:val>
          <c:smooth val="0"/>
        </c:ser>
        <c:ser>
          <c:idx val="4"/>
          <c:order val="22"/>
          <c:tx>
            <c:strRef>
              <c:f>Adoption!$AL$63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Adoption!$BM$40:$BQ$40</c:f>
              <c:numCache>
                <c:formatCode>General</c:formatCode>
                <c:ptCount val="5"/>
                <c:pt idx="0">
                  <c:v>2014</c:v>
                </c:pt>
                <c:pt idx="1">
                  <c:v>2015</c:v>
                </c:pt>
                <c:pt idx="2">
                  <c:v>2016</c:v>
                </c:pt>
                <c:pt idx="3">
                  <c:v>2017</c:v>
                </c:pt>
                <c:pt idx="4">
                  <c:v>2018</c:v>
                </c:pt>
              </c:numCache>
            </c:numRef>
          </c:cat>
          <c:val>
            <c:numRef>
              <c:f>Adoption!$BM$63:$BQ$63</c:f>
              <c:numCache>
                <c:formatCode>0.0%</c:formatCode>
                <c:ptCount val="5"/>
                <c:pt idx="0">
                  <c:v>0.10990367992096814</c:v>
                </c:pt>
                <c:pt idx="1">
                  <c:v>9.2909535452322736E-2</c:v>
                </c:pt>
                <c:pt idx="2">
                  <c:v>9.6982758620689655E-2</c:v>
                </c:pt>
                <c:pt idx="3">
                  <c:v>9.8924731182795697E-2</c:v>
                </c:pt>
                <c:pt idx="4">
                  <c:v>0.11627906976744186</c:v>
                </c:pt>
              </c:numCache>
            </c:numRef>
          </c:val>
          <c:smooth val="0"/>
        </c:ser>
        <c:ser>
          <c:idx val="14"/>
          <c:order val="23"/>
          <c:tx>
            <c:strRef>
              <c:f>Adoption!$AL$64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Adoption!$BM$40:$BQ$40</c:f>
              <c:numCache>
                <c:formatCode>General</c:formatCode>
                <c:ptCount val="5"/>
                <c:pt idx="0">
                  <c:v>2014</c:v>
                </c:pt>
                <c:pt idx="1">
                  <c:v>2015</c:v>
                </c:pt>
                <c:pt idx="2">
                  <c:v>2016</c:v>
                </c:pt>
                <c:pt idx="3">
                  <c:v>2017</c:v>
                </c:pt>
                <c:pt idx="4">
                  <c:v>2018</c:v>
                </c:pt>
              </c:numCache>
            </c:numRef>
          </c:cat>
          <c:val>
            <c:numRef>
              <c:f>Adoption!$BM$64:$BQ$64</c:f>
              <c:numCache>
                <c:formatCode>0.0%</c:formatCode>
                <c:ptCount val="5"/>
                <c:pt idx="0">
                  <c:v>0.10980392156862745</c:v>
                </c:pt>
                <c:pt idx="1">
                  <c:v>0.11323763955342903</c:v>
                </c:pt>
                <c:pt idx="2">
                  <c:v>0.12119309262166406</c:v>
                </c:pt>
                <c:pt idx="3">
                  <c:v>0.1174785100286533</c:v>
                </c:pt>
                <c:pt idx="4">
                  <c:v>0.11486939048894843</c:v>
                </c:pt>
              </c:numCache>
            </c:numRef>
          </c:val>
          <c:smooth val="0"/>
        </c:ser>
        <c:ser>
          <c:idx val="6"/>
          <c:order val="24"/>
          <c:tx>
            <c:strRef>
              <c:f>Adoption!$AL$65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Adoption!$BM$40:$BQ$40</c:f>
              <c:numCache>
                <c:formatCode>General</c:formatCode>
                <c:ptCount val="5"/>
                <c:pt idx="0">
                  <c:v>2014</c:v>
                </c:pt>
                <c:pt idx="1">
                  <c:v>2015</c:v>
                </c:pt>
                <c:pt idx="2">
                  <c:v>2016</c:v>
                </c:pt>
                <c:pt idx="3">
                  <c:v>2017</c:v>
                </c:pt>
                <c:pt idx="4">
                  <c:v>2018</c:v>
                </c:pt>
              </c:numCache>
            </c:numRef>
          </c:cat>
          <c:val>
            <c:numRef>
              <c:f>Adoption!$BM$65:$BQ$65</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69321344"/>
        <c:axId val="269323264"/>
      </c:lineChart>
      <c:catAx>
        <c:axId val="269321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9323264"/>
        <c:crosses val="autoZero"/>
        <c:auto val="1"/>
        <c:lblAlgn val="ctr"/>
        <c:lblOffset val="100"/>
        <c:tickLblSkip val="1"/>
        <c:tickMarkSkip val="1"/>
        <c:noMultiLvlLbl val="0"/>
      </c:catAx>
      <c:valAx>
        <c:axId val="26932326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932134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871089486199100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trlProps/ctrlProp1.xml><?xml version="1.0" encoding="utf-8"?>
<formControlPr xmlns="http://schemas.microsoft.com/office/spreadsheetml/2009/9/main" objectType="CheckBox" checked="Checked" fmlaLink="$AI40" lockText="1" noThreeD="1"/>
</file>

<file path=xl/ctrlProps/ctrlProp10.xml><?xml version="1.0" encoding="utf-8"?>
<formControlPr xmlns="http://schemas.microsoft.com/office/spreadsheetml/2009/9/main" objectType="CheckBox" checked="Checked" fmlaLink="$AI49" lockText="1" noThreeD="1"/>
</file>

<file path=xl/ctrlProps/ctrlProp100.xml><?xml version="1.0" encoding="utf-8"?>
<formControlPr xmlns="http://schemas.microsoft.com/office/spreadsheetml/2009/9/main" objectType="CheckBox" checked="Checked" fmlaLink="$AI43" lockText="1" noThreeD="1"/>
</file>

<file path=xl/ctrlProps/ctrlProp101.xml><?xml version="1.0" encoding="utf-8"?>
<formControlPr xmlns="http://schemas.microsoft.com/office/spreadsheetml/2009/9/main" objectType="CheckBox" checked="Checked" fmlaLink="$AI44" lockText="1" noThreeD="1"/>
</file>

<file path=xl/ctrlProps/ctrlProp102.xml><?xml version="1.0" encoding="utf-8"?>
<formControlPr xmlns="http://schemas.microsoft.com/office/spreadsheetml/2009/9/main" objectType="CheckBox" checked="Checked" fmlaLink="$AI45" lockText="1" noThreeD="1"/>
</file>

<file path=xl/ctrlProps/ctrlProp103.xml><?xml version="1.0" encoding="utf-8"?>
<formControlPr xmlns="http://schemas.microsoft.com/office/spreadsheetml/2009/9/main" objectType="CheckBox" checked="Checked" fmlaLink="$AI46" lockText="1" noThreeD="1"/>
</file>

<file path=xl/ctrlProps/ctrlProp104.xml><?xml version="1.0" encoding="utf-8"?>
<formControlPr xmlns="http://schemas.microsoft.com/office/spreadsheetml/2009/9/main" objectType="CheckBox" checked="Checked" fmlaLink="$AI47" lockText="1" noThreeD="1"/>
</file>

<file path=xl/ctrlProps/ctrlProp105.xml><?xml version="1.0" encoding="utf-8"?>
<formControlPr xmlns="http://schemas.microsoft.com/office/spreadsheetml/2009/9/main" objectType="CheckBox" checked="Checked" fmlaLink="$AI48" lockText="1" noThreeD="1"/>
</file>

<file path=xl/ctrlProps/ctrlProp106.xml><?xml version="1.0" encoding="utf-8"?>
<formControlPr xmlns="http://schemas.microsoft.com/office/spreadsheetml/2009/9/main" objectType="CheckBox" checked="Checked" fmlaLink="$AI49" lockText="1" noThreeD="1"/>
</file>

<file path=xl/ctrlProps/ctrlProp107.xml><?xml version="1.0" encoding="utf-8"?>
<formControlPr xmlns="http://schemas.microsoft.com/office/spreadsheetml/2009/9/main" objectType="CheckBox" checked="Checked" fmlaLink="$AI50" lockText="1" noThreeD="1"/>
</file>

<file path=xl/ctrlProps/ctrlProp108.xml><?xml version="1.0" encoding="utf-8"?>
<formControlPr xmlns="http://schemas.microsoft.com/office/spreadsheetml/2009/9/main" objectType="CheckBox" checked="Checked" fmlaLink="$AI51" lockText="1" noThreeD="1"/>
</file>

<file path=xl/ctrlProps/ctrlProp109.xml><?xml version="1.0" encoding="utf-8"?>
<formControlPr xmlns="http://schemas.microsoft.com/office/spreadsheetml/2009/9/main" objectType="CheckBox" checked="Checked" fmlaLink="$AI52" lockText="1" noThreeD="1"/>
</file>

<file path=xl/ctrlProps/ctrlProp11.xml><?xml version="1.0" encoding="utf-8"?>
<formControlPr xmlns="http://schemas.microsoft.com/office/spreadsheetml/2009/9/main" objectType="CheckBox" checked="Checked" fmlaLink="$AI50" lockText="1" noThreeD="1"/>
</file>

<file path=xl/ctrlProps/ctrlProp110.xml><?xml version="1.0" encoding="utf-8"?>
<formControlPr xmlns="http://schemas.microsoft.com/office/spreadsheetml/2009/9/main" objectType="CheckBox" checked="Checked" fmlaLink="$AI53" lockText="1" noThreeD="1"/>
</file>

<file path=xl/ctrlProps/ctrlProp111.xml><?xml version="1.0" encoding="utf-8"?>
<formControlPr xmlns="http://schemas.microsoft.com/office/spreadsheetml/2009/9/main" objectType="CheckBox" checked="Checked" fmlaLink="$AI54" lockText="1" noThreeD="1"/>
</file>

<file path=xl/ctrlProps/ctrlProp112.xml><?xml version="1.0" encoding="utf-8"?>
<formControlPr xmlns="http://schemas.microsoft.com/office/spreadsheetml/2009/9/main" objectType="CheckBox" checked="Checked" fmlaLink="$AI$55" lockText="1" noThreeD="1"/>
</file>

<file path=xl/ctrlProps/ctrlProp113.xml><?xml version="1.0" encoding="utf-8"?>
<formControlPr xmlns="http://schemas.microsoft.com/office/spreadsheetml/2009/9/main" objectType="CheckBox" checked="Checked" fmlaLink="$AI$58" lockText="1" noThreeD="1"/>
</file>

<file path=xl/ctrlProps/ctrlProp114.xml><?xml version="1.0" encoding="utf-8"?>
<formControlPr xmlns="http://schemas.microsoft.com/office/spreadsheetml/2009/9/main" objectType="CheckBox" checked="Checked" fmlaLink="$AI$59" lockText="1" noThreeD="1"/>
</file>

<file path=xl/ctrlProps/ctrlProp115.xml><?xml version="1.0" encoding="utf-8"?>
<formControlPr xmlns="http://schemas.microsoft.com/office/spreadsheetml/2009/9/main" objectType="CheckBox" checked="Checked" fmlaLink="$AI$60" lockText="1" noThreeD="1"/>
</file>

<file path=xl/ctrlProps/ctrlProp116.xml><?xml version="1.0" encoding="utf-8"?>
<formControlPr xmlns="http://schemas.microsoft.com/office/spreadsheetml/2009/9/main" objectType="CheckBox" checked="Checked" fmlaLink="$AI$61" lockText="1" noThreeD="1"/>
</file>

<file path=xl/ctrlProps/ctrlProp117.xml><?xml version="1.0" encoding="utf-8"?>
<formControlPr xmlns="http://schemas.microsoft.com/office/spreadsheetml/2009/9/main" objectType="CheckBox" checked="Checked" fmlaLink="$AI$62" lockText="1" noThreeD="1"/>
</file>

<file path=xl/ctrlProps/ctrlProp118.xml><?xml version="1.0" encoding="utf-8"?>
<formControlPr xmlns="http://schemas.microsoft.com/office/spreadsheetml/2009/9/main" objectType="CheckBox" checked="Checked" fmlaLink="$AI$56" lockText="1" noThreeD="1"/>
</file>

<file path=xl/ctrlProps/ctrlProp119.xml><?xml version="1.0" encoding="utf-8"?>
<formControlPr xmlns="http://schemas.microsoft.com/office/spreadsheetml/2009/9/main" objectType="CheckBox" checked="Checked" fmlaLink="$AI$57" lockText="1" noThreeD="1"/>
</file>

<file path=xl/ctrlProps/ctrlProp12.xml><?xml version="1.0" encoding="utf-8"?>
<formControlPr xmlns="http://schemas.microsoft.com/office/spreadsheetml/2009/9/main" objectType="CheckBox" checked="Checked" fmlaLink="$AI51" lockText="1" noThreeD="1"/>
</file>

<file path=xl/ctrlProps/ctrlProp120.xml><?xml version="1.0" encoding="utf-8"?>
<formControlPr xmlns="http://schemas.microsoft.com/office/spreadsheetml/2009/9/main" objectType="CheckBox" checked="Checked" fmlaLink="$AI$63" lockText="1" noThreeD="1"/>
</file>

<file path=xl/ctrlProps/ctrlProp121.xml><?xml version="1.0" encoding="utf-8"?>
<formControlPr xmlns="http://schemas.microsoft.com/office/spreadsheetml/2009/9/main" objectType="CheckBox" checked="Checked" fmlaLink="$AI40" lockText="1" noThreeD="1"/>
</file>

<file path=xl/ctrlProps/ctrlProp122.xml><?xml version="1.0" encoding="utf-8"?>
<formControlPr xmlns="http://schemas.microsoft.com/office/spreadsheetml/2009/9/main" objectType="CheckBox" checked="Checked" fmlaLink="$AI41" lockText="1" noThreeD="1"/>
</file>

<file path=xl/ctrlProps/ctrlProp123.xml><?xml version="1.0" encoding="utf-8"?>
<formControlPr xmlns="http://schemas.microsoft.com/office/spreadsheetml/2009/9/main" objectType="CheckBox" checked="Checked" fmlaLink="$AI42" lockText="1" noThreeD="1"/>
</file>

<file path=xl/ctrlProps/ctrlProp124.xml><?xml version="1.0" encoding="utf-8"?>
<formControlPr xmlns="http://schemas.microsoft.com/office/spreadsheetml/2009/9/main" objectType="CheckBox" checked="Checked" fmlaLink="$AI43" lockText="1" noThreeD="1"/>
</file>

<file path=xl/ctrlProps/ctrlProp125.xml><?xml version="1.0" encoding="utf-8"?>
<formControlPr xmlns="http://schemas.microsoft.com/office/spreadsheetml/2009/9/main" objectType="CheckBox" checked="Checked" fmlaLink="$AI44" lockText="1" noThreeD="1"/>
</file>

<file path=xl/ctrlProps/ctrlProp126.xml><?xml version="1.0" encoding="utf-8"?>
<formControlPr xmlns="http://schemas.microsoft.com/office/spreadsheetml/2009/9/main" objectType="CheckBox" checked="Checked" fmlaLink="$AI45" lockText="1" noThreeD="1"/>
</file>

<file path=xl/ctrlProps/ctrlProp127.xml><?xml version="1.0" encoding="utf-8"?>
<formControlPr xmlns="http://schemas.microsoft.com/office/spreadsheetml/2009/9/main" objectType="CheckBox" checked="Checked" fmlaLink="$AI46" lockText="1" noThreeD="1"/>
</file>

<file path=xl/ctrlProps/ctrlProp128.xml><?xml version="1.0" encoding="utf-8"?>
<formControlPr xmlns="http://schemas.microsoft.com/office/spreadsheetml/2009/9/main" objectType="CheckBox" checked="Checked" fmlaLink="$AI47" lockText="1" noThreeD="1"/>
</file>

<file path=xl/ctrlProps/ctrlProp129.xml><?xml version="1.0" encoding="utf-8"?>
<formControlPr xmlns="http://schemas.microsoft.com/office/spreadsheetml/2009/9/main" objectType="CheckBox" checked="Checked" fmlaLink="$AI48" lockText="1" noThreeD="1"/>
</file>

<file path=xl/ctrlProps/ctrlProp13.xml><?xml version="1.0" encoding="utf-8"?>
<formControlPr xmlns="http://schemas.microsoft.com/office/spreadsheetml/2009/9/main" objectType="CheckBox" checked="Checked" fmlaLink="$AI52" lockText="1" noThreeD="1"/>
</file>

<file path=xl/ctrlProps/ctrlProp130.xml><?xml version="1.0" encoding="utf-8"?>
<formControlPr xmlns="http://schemas.microsoft.com/office/spreadsheetml/2009/9/main" objectType="CheckBox" checked="Checked" fmlaLink="$AI49" lockText="1" noThreeD="1"/>
</file>

<file path=xl/ctrlProps/ctrlProp131.xml><?xml version="1.0" encoding="utf-8"?>
<formControlPr xmlns="http://schemas.microsoft.com/office/spreadsheetml/2009/9/main" objectType="CheckBox" checked="Checked" fmlaLink="$AI50" lockText="1" noThreeD="1"/>
</file>

<file path=xl/ctrlProps/ctrlProp132.xml><?xml version="1.0" encoding="utf-8"?>
<formControlPr xmlns="http://schemas.microsoft.com/office/spreadsheetml/2009/9/main" objectType="CheckBox" checked="Checked" fmlaLink="$AI51" lockText="1" noThreeD="1"/>
</file>

<file path=xl/ctrlProps/ctrlProp133.xml><?xml version="1.0" encoding="utf-8"?>
<formControlPr xmlns="http://schemas.microsoft.com/office/spreadsheetml/2009/9/main" objectType="CheckBox" checked="Checked" fmlaLink="$AI52" lockText="1" noThreeD="1"/>
</file>

<file path=xl/ctrlProps/ctrlProp134.xml><?xml version="1.0" encoding="utf-8"?>
<formControlPr xmlns="http://schemas.microsoft.com/office/spreadsheetml/2009/9/main" objectType="CheckBox" checked="Checked" fmlaLink="$AI53" lockText="1" noThreeD="1"/>
</file>

<file path=xl/ctrlProps/ctrlProp135.xml><?xml version="1.0" encoding="utf-8"?>
<formControlPr xmlns="http://schemas.microsoft.com/office/spreadsheetml/2009/9/main" objectType="CheckBox" checked="Checked" fmlaLink="$AI54" lockText="1" noThreeD="1"/>
</file>

<file path=xl/ctrlProps/ctrlProp136.xml><?xml version="1.0" encoding="utf-8"?>
<formControlPr xmlns="http://schemas.microsoft.com/office/spreadsheetml/2009/9/main" objectType="CheckBox" checked="Checked" fmlaLink="$AI$55" lockText="1" noThreeD="1"/>
</file>

<file path=xl/ctrlProps/ctrlProp137.xml><?xml version="1.0" encoding="utf-8"?>
<formControlPr xmlns="http://schemas.microsoft.com/office/spreadsheetml/2009/9/main" objectType="CheckBox" checked="Checked" fmlaLink="$AI$58" lockText="1" noThreeD="1"/>
</file>

<file path=xl/ctrlProps/ctrlProp138.xml><?xml version="1.0" encoding="utf-8"?>
<formControlPr xmlns="http://schemas.microsoft.com/office/spreadsheetml/2009/9/main" objectType="CheckBox" checked="Checked" fmlaLink="$AI$59" lockText="1" noThreeD="1"/>
</file>

<file path=xl/ctrlProps/ctrlProp139.xml><?xml version="1.0" encoding="utf-8"?>
<formControlPr xmlns="http://schemas.microsoft.com/office/spreadsheetml/2009/9/main" objectType="CheckBox" checked="Checked" fmlaLink="$AI$60" lockText="1" noThreeD="1"/>
</file>

<file path=xl/ctrlProps/ctrlProp14.xml><?xml version="1.0" encoding="utf-8"?>
<formControlPr xmlns="http://schemas.microsoft.com/office/spreadsheetml/2009/9/main" objectType="CheckBox" checked="Checked" fmlaLink="$AI53" lockText="1" noThreeD="1"/>
</file>

<file path=xl/ctrlProps/ctrlProp140.xml><?xml version="1.0" encoding="utf-8"?>
<formControlPr xmlns="http://schemas.microsoft.com/office/spreadsheetml/2009/9/main" objectType="CheckBox" checked="Checked" fmlaLink="$AI$61" lockText="1" noThreeD="1"/>
</file>

<file path=xl/ctrlProps/ctrlProp141.xml><?xml version="1.0" encoding="utf-8"?>
<formControlPr xmlns="http://schemas.microsoft.com/office/spreadsheetml/2009/9/main" objectType="CheckBox" checked="Checked" fmlaLink="$AI$62" lockText="1" noThreeD="1"/>
</file>

<file path=xl/ctrlProps/ctrlProp142.xml><?xml version="1.0" encoding="utf-8"?>
<formControlPr xmlns="http://schemas.microsoft.com/office/spreadsheetml/2009/9/main" objectType="CheckBox" checked="Checked" fmlaLink="$AI$56" lockText="1" noThreeD="1"/>
</file>

<file path=xl/ctrlProps/ctrlProp143.xml><?xml version="1.0" encoding="utf-8"?>
<formControlPr xmlns="http://schemas.microsoft.com/office/spreadsheetml/2009/9/main" objectType="CheckBox" checked="Checked" fmlaLink="$AI$57" lockText="1" noThreeD="1"/>
</file>

<file path=xl/ctrlProps/ctrlProp144.xml><?xml version="1.0" encoding="utf-8"?>
<formControlPr xmlns="http://schemas.microsoft.com/office/spreadsheetml/2009/9/main" objectType="CheckBox" checked="Checked" fmlaLink="$AI$63" lockText="1" noThreeD="1"/>
</file>

<file path=xl/ctrlProps/ctrlProp145.xml><?xml version="1.0" encoding="utf-8"?>
<formControlPr xmlns="http://schemas.microsoft.com/office/spreadsheetml/2009/9/main" objectType="CheckBox" checked="Checked" fmlaLink="$AI40" lockText="1" noThreeD="1"/>
</file>

<file path=xl/ctrlProps/ctrlProp146.xml><?xml version="1.0" encoding="utf-8"?>
<formControlPr xmlns="http://schemas.microsoft.com/office/spreadsheetml/2009/9/main" objectType="CheckBox" checked="Checked" fmlaLink="$AI41" lockText="1" noThreeD="1"/>
</file>

<file path=xl/ctrlProps/ctrlProp147.xml><?xml version="1.0" encoding="utf-8"?>
<formControlPr xmlns="http://schemas.microsoft.com/office/spreadsheetml/2009/9/main" objectType="CheckBox" checked="Checked" fmlaLink="$AI42" lockText="1" noThreeD="1"/>
</file>

<file path=xl/ctrlProps/ctrlProp148.xml><?xml version="1.0" encoding="utf-8"?>
<formControlPr xmlns="http://schemas.microsoft.com/office/spreadsheetml/2009/9/main" objectType="CheckBox" checked="Checked" fmlaLink="$AI43" lockText="1" noThreeD="1"/>
</file>

<file path=xl/ctrlProps/ctrlProp149.xml><?xml version="1.0" encoding="utf-8"?>
<formControlPr xmlns="http://schemas.microsoft.com/office/spreadsheetml/2009/9/main" objectType="CheckBox" checked="Checked" fmlaLink="$AI44" lockText="1" noThreeD="1"/>
</file>

<file path=xl/ctrlProps/ctrlProp15.xml><?xml version="1.0" encoding="utf-8"?>
<formControlPr xmlns="http://schemas.microsoft.com/office/spreadsheetml/2009/9/main" objectType="CheckBox" checked="Checked" fmlaLink="$AI54" lockText="1" noThreeD="1"/>
</file>

<file path=xl/ctrlProps/ctrlProp150.xml><?xml version="1.0" encoding="utf-8"?>
<formControlPr xmlns="http://schemas.microsoft.com/office/spreadsheetml/2009/9/main" objectType="CheckBox" checked="Checked" fmlaLink="$AI45" lockText="1" noThreeD="1"/>
</file>

<file path=xl/ctrlProps/ctrlProp151.xml><?xml version="1.0" encoding="utf-8"?>
<formControlPr xmlns="http://schemas.microsoft.com/office/spreadsheetml/2009/9/main" objectType="CheckBox" checked="Checked" fmlaLink="$AI46" lockText="1" noThreeD="1"/>
</file>

<file path=xl/ctrlProps/ctrlProp152.xml><?xml version="1.0" encoding="utf-8"?>
<formControlPr xmlns="http://schemas.microsoft.com/office/spreadsheetml/2009/9/main" objectType="CheckBox" checked="Checked" fmlaLink="$AI47" lockText="1" noThreeD="1"/>
</file>

<file path=xl/ctrlProps/ctrlProp153.xml><?xml version="1.0" encoding="utf-8"?>
<formControlPr xmlns="http://schemas.microsoft.com/office/spreadsheetml/2009/9/main" objectType="CheckBox" checked="Checked" fmlaLink="$AI48" lockText="1" noThreeD="1"/>
</file>

<file path=xl/ctrlProps/ctrlProp154.xml><?xml version="1.0" encoding="utf-8"?>
<formControlPr xmlns="http://schemas.microsoft.com/office/spreadsheetml/2009/9/main" objectType="CheckBox" checked="Checked" fmlaLink="$AI49" lockText="1" noThreeD="1"/>
</file>

<file path=xl/ctrlProps/ctrlProp155.xml><?xml version="1.0" encoding="utf-8"?>
<formControlPr xmlns="http://schemas.microsoft.com/office/spreadsheetml/2009/9/main" objectType="CheckBox" checked="Checked" fmlaLink="$AI50" lockText="1" noThreeD="1"/>
</file>

<file path=xl/ctrlProps/ctrlProp156.xml><?xml version="1.0" encoding="utf-8"?>
<formControlPr xmlns="http://schemas.microsoft.com/office/spreadsheetml/2009/9/main" objectType="CheckBox" checked="Checked" fmlaLink="$AI51" lockText="1" noThreeD="1"/>
</file>

<file path=xl/ctrlProps/ctrlProp157.xml><?xml version="1.0" encoding="utf-8"?>
<formControlPr xmlns="http://schemas.microsoft.com/office/spreadsheetml/2009/9/main" objectType="CheckBox" checked="Checked" fmlaLink="$AI52" lockText="1" noThreeD="1"/>
</file>

<file path=xl/ctrlProps/ctrlProp158.xml><?xml version="1.0" encoding="utf-8"?>
<formControlPr xmlns="http://schemas.microsoft.com/office/spreadsheetml/2009/9/main" objectType="CheckBox" checked="Checked" fmlaLink="$AI53" lockText="1" noThreeD="1"/>
</file>

<file path=xl/ctrlProps/ctrlProp159.xml><?xml version="1.0" encoding="utf-8"?>
<formControlPr xmlns="http://schemas.microsoft.com/office/spreadsheetml/2009/9/main" objectType="CheckBox" checked="Checked" fmlaLink="$AI54" lockText="1" noThreeD="1"/>
</file>

<file path=xl/ctrlProps/ctrlProp16.xml><?xml version="1.0" encoding="utf-8"?>
<formControlPr xmlns="http://schemas.microsoft.com/office/spreadsheetml/2009/9/main" objectType="CheckBox" checked="Checked" fmlaLink="$AI$55" lockText="1" noThreeD="1"/>
</file>

<file path=xl/ctrlProps/ctrlProp160.xml><?xml version="1.0" encoding="utf-8"?>
<formControlPr xmlns="http://schemas.microsoft.com/office/spreadsheetml/2009/9/main" objectType="CheckBox" checked="Checked" fmlaLink="$AI$55" lockText="1" noThreeD="1"/>
</file>

<file path=xl/ctrlProps/ctrlProp161.xml><?xml version="1.0" encoding="utf-8"?>
<formControlPr xmlns="http://schemas.microsoft.com/office/spreadsheetml/2009/9/main" objectType="CheckBox" checked="Checked" fmlaLink="$AI$58" lockText="1" noThreeD="1"/>
</file>

<file path=xl/ctrlProps/ctrlProp162.xml><?xml version="1.0" encoding="utf-8"?>
<formControlPr xmlns="http://schemas.microsoft.com/office/spreadsheetml/2009/9/main" objectType="CheckBox" checked="Checked" fmlaLink="$AI$59" lockText="1" noThreeD="1"/>
</file>

<file path=xl/ctrlProps/ctrlProp163.xml><?xml version="1.0" encoding="utf-8"?>
<formControlPr xmlns="http://schemas.microsoft.com/office/spreadsheetml/2009/9/main" objectType="CheckBox" checked="Checked" fmlaLink="$AI$60" lockText="1" noThreeD="1"/>
</file>

<file path=xl/ctrlProps/ctrlProp164.xml><?xml version="1.0" encoding="utf-8"?>
<formControlPr xmlns="http://schemas.microsoft.com/office/spreadsheetml/2009/9/main" objectType="CheckBox" checked="Checked" fmlaLink="$AI$61" lockText="1" noThreeD="1"/>
</file>

<file path=xl/ctrlProps/ctrlProp165.xml><?xml version="1.0" encoding="utf-8"?>
<formControlPr xmlns="http://schemas.microsoft.com/office/spreadsheetml/2009/9/main" objectType="CheckBox" checked="Checked" fmlaLink="$AI$62" lockText="1" noThreeD="1"/>
</file>

<file path=xl/ctrlProps/ctrlProp166.xml><?xml version="1.0" encoding="utf-8"?>
<formControlPr xmlns="http://schemas.microsoft.com/office/spreadsheetml/2009/9/main" objectType="CheckBox" checked="Checked" fmlaLink="$AI$56" lockText="1" noThreeD="1"/>
</file>

<file path=xl/ctrlProps/ctrlProp167.xml><?xml version="1.0" encoding="utf-8"?>
<formControlPr xmlns="http://schemas.microsoft.com/office/spreadsheetml/2009/9/main" objectType="CheckBox" checked="Checked" fmlaLink="$AI$57" lockText="1" noThreeD="1"/>
</file>

<file path=xl/ctrlProps/ctrlProp168.xml><?xml version="1.0" encoding="utf-8"?>
<formControlPr xmlns="http://schemas.microsoft.com/office/spreadsheetml/2009/9/main" objectType="CheckBox" checked="Checked" fmlaLink="$AI$63" lockText="1" noThreeD="1"/>
</file>

<file path=xl/ctrlProps/ctrlProp169.xml><?xml version="1.0" encoding="utf-8"?>
<formControlPr xmlns="http://schemas.microsoft.com/office/spreadsheetml/2009/9/main" objectType="CheckBox" checked="Checked" fmlaLink="$AI40" lockText="1" noThreeD="1"/>
</file>

<file path=xl/ctrlProps/ctrlProp17.xml><?xml version="1.0" encoding="utf-8"?>
<formControlPr xmlns="http://schemas.microsoft.com/office/spreadsheetml/2009/9/main" objectType="CheckBox" checked="Checked" fmlaLink="$AI$58" lockText="1" noThreeD="1"/>
</file>

<file path=xl/ctrlProps/ctrlProp170.xml><?xml version="1.0" encoding="utf-8"?>
<formControlPr xmlns="http://schemas.microsoft.com/office/spreadsheetml/2009/9/main" objectType="CheckBox" checked="Checked" fmlaLink="$AI41" lockText="1" noThreeD="1"/>
</file>

<file path=xl/ctrlProps/ctrlProp171.xml><?xml version="1.0" encoding="utf-8"?>
<formControlPr xmlns="http://schemas.microsoft.com/office/spreadsheetml/2009/9/main" objectType="CheckBox" checked="Checked" fmlaLink="$AI42" lockText="1" noThreeD="1"/>
</file>

<file path=xl/ctrlProps/ctrlProp172.xml><?xml version="1.0" encoding="utf-8"?>
<formControlPr xmlns="http://schemas.microsoft.com/office/spreadsheetml/2009/9/main" objectType="CheckBox" checked="Checked" fmlaLink="$AI43" lockText="1" noThreeD="1"/>
</file>

<file path=xl/ctrlProps/ctrlProp173.xml><?xml version="1.0" encoding="utf-8"?>
<formControlPr xmlns="http://schemas.microsoft.com/office/spreadsheetml/2009/9/main" objectType="CheckBox" checked="Checked" fmlaLink="$AI44" lockText="1" noThreeD="1"/>
</file>

<file path=xl/ctrlProps/ctrlProp174.xml><?xml version="1.0" encoding="utf-8"?>
<formControlPr xmlns="http://schemas.microsoft.com/office/spreadsheetml/2009/9/main" objectType="CheckBox" checked="Checked" fmlaLink="$AI45" lockText="1" noThreeD="1"/>
</file>

<file path=xl/ctrlProps/ctrlProp175.xml><?xml version="1.0" encoding="utf-8"?>
<formControlPr xmlns="http://schemas.microsoft.com/office/spreadsheetml/2009/9/main" objectType="CheckBox" checked="Checked" fmlaLink="$AI46" lockText="1" noThreeD="1"/>
</file>

<file path=xl/ctrlProps/ctrlProp176.xml><?xml version="1.0" encoding="utf-8"?>
<formControlPr xmlns="http://schemas.microsoft.com/office/spreadsheetml/2009/9/main" objectType="CheckBox" checked="Checked" fmlaLink="$AI47" lockText="1" noThreeD="1"/>
</file>

<file path=xl/ctrlProps/ctrlProp177.xml><?xml version="1.0" encoding="utf-8"?>
<formControlPr xmlns="http://schemas.microsoft.com/office/spreadsheetml/2009/9/main" objectType="CheckBox" checked="Checked" fmlaLink="$AI48" lockText="1" noThreeD="1"/>
</file>

<file path=xl/ctrlProps/ctrlProp178.xml><?xml version="1.0" encoding="utf-8"?>
<formControlPr xmlns="http://schemas.microsoft.com/office/spreadsheetml/2009/9/main" objectType="CheckBox" checked="Checked" fmlaLink="$AI49" lockText="1" noThreeD="1"/>
</file>

<file path=xl/ctrlProps/ctrlProp179.xml><?xml version="1.0" encoding="utf-8"?>
<formControlPr xmlns="http://schemas.microsoft.com/office/spreadsheetml/2009/9/main" objectType="CheckBox" checked="Checked" fmlaLink="$AI50" lockText="1" noThreeD="1"/>
</file>

<file path=xl/ctrlProps/ctrlProp18.xml><?xml version="1.0" encoding="utf-8"?>
<formControlPr xmlns="http://schemas.microsoft.com/office/spreadsheetml/2009/9/main" objectType="CheckBox" checked="Checked" fmlaLink="$AI$59" lockText="1" noThreeD="1"/>
</file>

<file path=xl/ctrlProps/ctrlProp180.xml><?xml version="1.0" encoding="utf-8"?>
<formControlPr xmlns="http://schemas.microsoft.com/office/spreadsheetml/2009/9/main" objectType="CheckBox" checked="Checked" fmlaLink="$AI51" lockText="1" noThreeD="1"/>
</file>

<file path=xl/ctrlProps/ctrlProp181.xml><?xml version="1.0" encoding="utf-8"?>
<formControlPr xmlns="http://schemas.microsoft.com/office/spreadsheetml/2009/9/main" objectType="CheckBox" checked="Checked" fmlaLink="$AI52" lockText="1" noThreeD="1"/>
</file>

<file path=xl/ctrlProps/ctrlProp182.xml><?xml version="1.0" encoding="utf-8"?>
<formControlPr xmlns="http://schemas.microsoft.com/office/spreadsheetml/2009/9/main" objectType="CheckBox" checked="Checked" fmlaLink="$AI53" lockText="1" noThreeD="1"/>
</file>

<file path=xl/ctrlProps/ctrlProp183.xml><?xml version="1.0" encoding="utf-8"?>
<formControlPr xmlns="http://schemas.microsoft.com/office/spreadsheetml/2009/9/main" objectType="CheckBox" checked="Checked" fmlaLink="$AI54" lockText="1" noThreeD="1"/>
</file>

<file path=xl/ctrlProps/ctrlProp184.xml><?xml version="1.0" encoding="utf-8"?>
<formControlPr xmlns="http://schemas.microsoft.com/office/spreadsheetml/2009/9/main" objectType="CheckBox" checked="Checked" fmlaLink="$AI$55" lockText="1" noThreeD="1"/>
</file>

<file path=xl/ctrlProps/ctrlProp185.xml><?xml version="1.0" encoding="utf-8"?>
<formControlPr xmlns="http://schemas.microsoft.com/office/spreadsheetml/2009/9/main" objectType="CheckBox" checked="Checked" fmlaLink="$AI$58" lockText="1" noThreeD="1"/>
</file>

<file path=xl/ctrlProps/ctrlProp186.xml><?xml version="1.0" encoding="utf-8"?>
<formControlPr xmlns="http://schemas.microsoft.com/office/spreadsheetml/2009/9/main" objectType="CheckBox" checked="Checked" fmlaLink="$AI$59" lockText="1" noThreeD="1"/>
</file>

<file path=xl/ctrlProps/ctrlProp187.xml><?xml version="1.0" encoding="utf-8"?>
<formControlPr xmlns="http://schemas.microsoft.com/office/spreadsheetml/2009/9/main" objectType="CheckBox" checked="Checked" fmlaLink="$AI$60" lockText="1" noThreeD="1"/>
</file>

<file path=xl/ctrlProps/ctrlProp188.xml><?xml version="1.0" encoding="utf-8"?>
<formControlPr xmlns="http://schemas.microsoft.com/office/spreadsheetml/2009/9/main" objectType="CheckBox" checked="Checked" fmlaLink="$AI$61" lockText="1" noThreeD="1"/>
</file>

<file path=xl/ctrlProps/ctrlProp189.xml><?xml version="1.0" encoding="utf-8"?>
<formControlPr xmlns="http://schemas.microsoft.com/office/spreadsheetml/2009/9/main" objectType="CheckBox" checked="Checked" fmlaLink="$AI$62" lockText="1" noThreeD="1"/>
</file>

<file path=xl/ctrlProps/ctrlProp19.xml><?xml version="1.0" encoding="utf-8"?>
<formControlPr xmlns="http://schemas.microsoft.com/office/spreadsheetml/2009/9/main" objectType="CheckBox" checked="Checked" fmlaLink="$AI$60" lockText="1" noThreeD="1"/>
</file>

<file path=xl/ctrlProps/ctrlProp190.xml><?xml version="1.0" encoding="utf-8"?>
<formControlPr xmlns="http://schemas.microsoft.com/office/spreadsheetml/2009/9/main" objectType="CheckBox" checked="Checked" fmlaLink="$AI$56" lockText="1" noThreeD="1"/>
</file>

<file path=xl/ctrlProps/ctrlProp191.xml><?xml version="1.0" encoding="utf-8"?>
<formControlPr xmlns="http://schemas.microsoft.com/office/spreadsheetml/2009/9/main" objectType="CheckBox" checked="Checked" fmlaLink="$AI$57" lockText="1" noThreeD="1"/>
</file>

<file path=xl/ctrlProps/ctrlProp192.xml><?xml version="1.0" encoding="utf-8"?>
<formControlPr xmlns="http://schemas.microsoft.com/office/spreadsheetml/2009/9/main" objectType="CheckBox" checked="Checked" fmlaLink="$AI$63" lockText="1" noThreeD="1"/>
</file>

<file path=xl/ctrlProps/ctrlProp193.xml><?xml version="1.0" encoding="utf-8"?>
<formControlPr xmlns="http://schemas.microsoft.com/office/spreadsheetml/2009/9/main" objectType="CheckBox" checked="Checked" fmlaLink="$AI40" lockText="1" noThreeD="1"/>
</file>

<file path=xl/ctrlProps/ctrlProp194.xml><?xml version="1.0" encoding="utf-8"?>
<formControlPr xmlns="http://schemas.microsoft.com/office/spreadsheetml/2009/9/main" objectType="CheckBox" checked="Checked" fmlaLink="$AI41" lockText="1" noThreeD="1"/>
</file>

<file path=xl/ctrlProps/ctrlProp195.xml><?xml version="1.0" encoding="utf-8"?>
<formControlPr xmlns="http://schemas.microsoft.com/office/spreadsheetml/2009/9/main" objectType="CheckBox" checked="Checked" fmlaLink="$AI42" lockText="1" noThreeD="1"/>
</file>

<file path=xl/ctrlProps/ctrlProp196.xml><?xml version="1.0" encoding="utf-8"?>
<formControlPr xmlns="http://schemas.microsoft.com/office/spreadsheetml/2009/9/main" objectType="CheckBox" checked="Checked" fmlaLink="$AI43" lockText="1" noThreeD="1"/>
</file>

<file path=xl/ctrlProps/ctrlProp197.xml><?xml version="1.0" encoding="utf-8"?>
<formControlPr xmlns="http://schemas.microsoft.com/office/spreadsheetml/2009/9/main" objectType="CheckBox" checked="Checked" fmlaLink="$AI44" lockText="1" noThreeD="1"/>
</file>

<file path=xl/ctrlProps/ctrlProp198.xml><?xml version="1.0" encoding="utf-8"?>
<formControlPr xmlns="http://schemas.microsoft.com/office/spreadsheetml/2009/9/main" objectType="CheckBox" checked="Checked" fmlaLink="$AI45" lockText="1" noThreeD="1"/>
</file>

<file path=xl/ctrlProps/ctrlProp199.xml><?xml version="1.0" encoding="utf-8"?>
<formControlPr xmlns="http://schemas.microsoft.com/office/spreadsheetml/2009/9/main" objectType="CheckBox" checked="Checked" fmlaLink="$AI46" lockText="1" noThreeD="1"/>
</file>

<file path=xl/ctrlProps/ctrlProp2.xml><?xml version="1.0" encoding="utf-8"?>
<formControlPr xmlns="http://schemas.microsoft.com/office/spreadsheetml/2009/9/main" objectType="CheckBox" checked="Checked" fmlaLink="$AI41" lockText="1" noThreeD="1"/>
</file>

<file path=xl/ctrlProps/ctrlProp20.xml><?xml version="1.0" encoding="utf-8"?>
<formControlPr xmlns="http://schemas.microsoft.com/office/spreadsheetml/2009/9/main" objectType="CheckBox" checked="Checked" fmlaLink="$AI$61" lockText="1" noThreeD="1"/>
</file>

<file path=xl/ctrlProps/ctrlProp200.xml><?xml version="1.0" encoding="utf-8"?>
<formControlPr xmlns="http://schemas.microsoft.com/office/spreadsheetml/2009/9/main" objectType="CheckBox" checked="Checked" fmlaLink="$AI47" lockText="1" noThreeD="1"/>
</file>

<file path=xl/ctrlProps/ctrlProp201.xml><?xml version="1.0" encoding="utf-8"?>
<formControlPr xmlns="http://schemas.microsoft.com/office/spreadsheetml/2009/9/main" objectType="CheckBox" checked="Checked" fmlaLink="$AI48" lockText="1" noThreeD="1"/>
</file>

<file path=xl/ctrlProps/ctrlProp202.xml><?xml version="1.0" encoding="utf-8"?>
<formControlPr xmlns="http://schemas.microsoft.com/office/spreadsheetml/2009/9/main" objectType="CheckBox" checked="Checked" fmlaLink="$AI49" lockText="1" noThreeD="1"/>
</file>

<file path=xl/ctrlProps/ctrlProp203.xml><?xml version="1.0" encoding="utf-8"?>
<formControlPr xmlns="http://schemas.microsoft.com/office/spreadsheetml/2009/9/main" objectType="CheckBox" checked="Checked" fmlaLink="$AI50" lockText="1" noThreeD="1"/>
</file>

<file path=xl/ctrlProps/ctrlProp204.xml><?xml version="1.0" encoding="utf-8"?>
<formControlPr xmlns="http://schemas.microsoft.com/office/spreadsheetml/2009/9/main" objectType="CheckBox" checked="Checked" fmlaLink="$AI51" lockText="1" noThreeD="1"/>
</file>

<file path=xl/ctrlProps/ctrlProp205.xml><?xml version="1.0" encoding="utf-8"?>
<formControlPr xmlns="http://schemas.microsoft.com/office/spreadsheetml/2009/9/main" objectType="CheckBox" checked="Checked" fmlaLink="$AI52" lockText="1" noThreeD="1"/>
</file>

<file path=xl/ctrlProps/ctrlProp206.xml><?xml version="1.0" encoding="utf-8"?>
<formControlPr xmlns="http://schemas.microsoft.com/office/spreadsheetml/2009/9/main" objectType="CheckBox" checked="Checked" fmlaLink="$AI53" lockText="1" noThreeD="1"/>
</file>

<file path=xl/ctrlProps/ctrlProp207.xml><?xml version="1.0" encoding="utf-8"?>
<formControlPr xmlns="http://schemas.microsoft.com/office/spreadsheetml/2009/9/main" objectType="CheckBox" checked="Checked" fmlaLink="$AI54" lockText="1" noThreeD="1"/>
</file>

<file path=xl/ctrlProps/ctrlProp208.xml><?xml version="1.0" encoding="utf-8"?>
<formControlPr xmlns="http://schemas.microsoft.com/office/spreadsheetml/2009/9/main" objectType="CheckBox" checked="Checked" fmlaLink="$AI$55" lockText="1" noThreeD="1"/>
</file>

<file path=xl/ctrlProps/ctrlProp209.xml><?xml version="1.0" encoding="utf-8"?>
<formControlPr xmlns="http://schemas.microsoft.com/office/spreadsheetml/2009/9/main" objectType="CheckBox" checked="Checked" fmlaLink="$AI$58" lockText="1" noThreeD="1"/>
</file>

<file path=xl/ctrlProps/ctrlProp21.xml><?xml version="1.0" encoding="utf-8"?>
<formControlPr xmlns="http://schemas.microsoft.com/office/spreadsheetml/2009/9/main" objectType="CheckBox" checked="Checked" fmlaLink="$AI$62" lockText="1" noThreeD="1"/>
</file>

<file path=xl/ctrlProps/ctrlProp210.xml><?xml version="1.0" encoding="utf-8"?>
<formControlPr xmlns="http://schemas.microsoft.com/office/spreadsheetml/2009/9/main" objectType="CheckBox" checked="Checked" fmlaLink="$AI$59" lockText="1" noThreeD="1"/>
</file>

<file path=xl/ctrlProps/ctrlProp211.xml><?xml version="1.0" encoding="utf-8"?>
<formControlPr xmlns="http://schemas.microsoft.com/office/spreadsheetml/2009/9/main" objectType="CheckBox" checked="Checked" fmlaLink="$AI$60" lockText="1" noThreeD="1"/>
</file>

<file path=xl/ctrlProps/ctrlProp212.xml><?xml version="1.0" encoding="utf-8"?>
<formControlPr xmlns="http://schemas.microsoft.com/office/spreadsheetml/2009/9/main" objectType="CheckBox" checked="Checked" fmlaLink="$AI$61" lockText="1" noThreeD="1"/>
</file>

<file path=xl/ctrlProps/ctrlProp213.xml><?xml version="1.0" encoding="utf-8"?>
<formControlPr xmlns="http://schemas.microsoft.com/office/spreadsheetml/2009/9/main" objectType="CheckBox" checked="Checked" fmlaLink="$AI$62" lockText="1" noThreeD="1"/>
</file>

<file path=xl/ctrlProps/ctrlProp214.xml><?xml version="1.0" encoding="utf-8"?>
<formControlPr xmlns="http://schemas.microsoft.com/office/spreadsheetml/2009/9/main" objectType="CheckBox" checked="Checked" fmlaLink="$AI$56" lockText="1" noThreeD="1"/>
</file>

<file path=xl/ctrlProps/ctrlProp215.xml><?xml version="1.0" encoding="utf-8"?>
<formControlPr xmlns="http://schemas.microsoft.com/office/spreadsheetml/2009/9/main" objectType="CheckBox" checked="Checked" fmlaLink="$AI$57" lockText="1" noThreeD="1"/>
</file>

<file path=xl/ctrlProps/ctrlProp216.xml><?xml version="1.0" encoding="utf-8"?>
<formControlPr xmlns="http://schemas.microsoft.com/office/spreadsheetml/2009/9/main" objectType="CheckBox" checked="Checked" fmlaLink="$AI$63" lockText="1" noThreeD="1"/>
</file>

<file path=xl/ctrlProps/ctrlProp217.xml><?xml version="1.0" encoding="utf-8"?>
<formControlPr xmlns="http://schemas.microsoft.com/office/spreadsheetml/2009/9/main" objectType="CheckBox" checked="Checked" fmlaLink="$AJ41" lockText="1" noThreeD="1"/>
</file>

<file path=xl/ctrlProps/ctrlProp218.xml><?xml version="1.0" encoding="utf-8"?>
<formControlPr xmlns="http://schemas.microsoft.com/office/spreadsheetml/2009/9/main" objectType="CheckBox" checked="Checked" fmlaLink="$AJ42" lockText="1" noThreeD="1"/>
</file>

<file path=xl/ctrlProps/ctrlProp219.xml><?xml version="1.0" encoding="utf-8"?>
<formControlPr xmlns="http://schemas.microsoft.com/office/spreadsheetml/2009/9/main" objectType="CheckBox" checked="Checked" fmlaLink="$AJ43" lockText="1" noThreeD="1"/>
</file>

<file path=xl/ctrlProps/ctrlProp22.xml><?xml version="1.0" encoding="utf-8"?>
<formControlPr xmlns="http://schemas.microsoft.com/office/spreadsheetml/2009/9/main" objectType="CheckBox" checked="Checked" fmlaLink="$AI$56" lockText="1" noThreeD="1"/>
</file>

<file path=xl/ctrlProps/ctrlProp220.xml><?xml version="1.0" encoding="utf-8"?>
<formControlPr xmlns="http://schemas.microsoft.com/office/spreadsheetml/2009/9/main" objectType="CheckBox" checked="Checked" fmlaLink="$AJ44" lockText="1" noThreeD="1"/>
</file>

<file path=xl/ctrlProps/ctrlProp221.xml><?xml version="1.0" encoding="utf-8"?>
<formControlPr xmlns="http://schemas.microsoft.com/office/spreadsheetml/2009/9/main" objectType="CheckBox" checked="Checked" fmlaLink="$AJ45" lockText="1" noThreeD="1"/>
</file>

<file path=xl/ctrlProps/ctrlProp222.xml><?xml version="1.0" encoding="utf-8"?>
<formControlPr xmlns="http://schemas.microsoft.com/office/spreadsheetml/2009/9/main" objectType="CheckBox" checked="Checked" fmlaLink="$AJ46" lockText="1" noThreeD="1"/>
</file>

<file path=xl/ctrlProps/ctrlProp223.xml><?xml version="1.0" encoding="utf-8"?>
<formControlPr xmlns="http://schemas.microsoft.com/office/spreadsheetml/2009/9/main" objectType="CheckBox" checked="Checked" fmlaLink="$AJ47" lockText="1" noThreeD="1"/>
</file>

<file path=xl/ctrlProps/ctrlProp224.xml><?xml version="1.0" encoding="utf-8"?>
<formControlPr xmlns="http://schemas.microsoft.com/office/spreadsheetml/2009/9/main" objectType="CheckBox" checked="Checked" fmlaLink="$AJ48" lockText="1" noThreeD="1"/>
</file>

<file path=xl/ctrlProps/ctrlProp225.xml><?xml version="1.0" encoding="utf-8"?>
<formControlPr xmlns="http://schemas.microsoft.com/office/spreadsheetml/2009/9/main" objectType="CheckBox" checked="Checked" fmlaLink="$AJ49" lockText="1" noThreeD="1"/>
</file>

<file path=xl/ctrlProps/ctrlProp226.xml><?xml version="1.0" encoding="utf-8"?>
<formControlPr xmlns="http://schemas.microsoft.com/office/spreadsheetml/2009/9/main" objectType="CheckBox" checked="Checked" fmlaLink="$AJ50" lockText="1" noThreeD="1"/>
</file>

<file path=xl/ctrlProps/ctrlProp227.xml><?xml version="1.0" encoding="utf-8"?>
<formControlPr xmlns="http://schemas.microsoft.com/office/spreadsheetml/2009/9/main" objectType="CheckBox" checked="Checked" fmlaLink="$AJ51" lockText="1" noThreeD="1"/>
</file>

<file path=xl/ctrlProps/ctrlProp228.xml><?xml version="1.0" encoding="utf-8"?>
<formControlPr xmlns="http://schemas.microsoft.com/office/spreadsheetml/2009/9/main" objectType="CheckBox" checked="Checked" fmlaLink="$AJ52" lockText="1" noThreeD="1"/>
</file>

<file path=xl/ctrlProps/ctrlProp229.xml><?xml version="1.0" encoding="utf-8"?>
<formControlPr xmlns="http://schemas.microsoft.com/office/spreadsheetml/2009/9/main" objectType="CheckBox" checked="Checked" fmlaLink="$AJ53" lockText="1" noThreeD="1"/>
</file>

<file path=xl/ctrlProps/ctrlProp23.xml><?xml version="1.0" encoding="utf-8"?>
<formControlPr xmlns="http://schemas.microsoft.com/office/spreadsheetml/2009/9/main" objectType="CheckBox" checked="Checked" fmlaLink="$AI$57" lockText="1" noThreeD="1"/>
</file>

<file path=xl/ctrlProps/ctrlProp230.xml><?xml version="1.0" encoding="utf-8"?>
<formControlPr xmlns="http://schemas.microsoft.com/office/spreadsheetml/2009/9/main" objectType="CheckBox" checked="Checked" fmlaLink="$AJ54" lockText="1" noThreeD="1"/>
</file>

<file path=xl/ctrlProps/ctrlProp231.xml><?xml version="1.0" encoding="utf-8"?>
<formControlPr xmlns="http://schemas.microsoft.com/office/spreadsheetml/2009/9/main" objectType="CheckBox" checked="Checked" fmlaLink="$AJ55" lockText="1" noThreeD="1"/>
</file>

<file path=xl/ctrlProps/ctrlProp232.xml><?xml version="1.0" encoding="utf-8"?>
<formControlPr xmlns="http://schemas.microsoft.com/office/spreadsheetml/2009/9/main" objectType="CheckBox" checked="Checked" fmlaLink="$AJ$56" lockText="1" noThreeD="1"/>
</file>

<file path=xl/ctrlProps/ctrlProp233.xml><?xml version="1.0" encoding="utf-8"?>
<formControlPr xmlns="http://schemas.microsoft.com/office/spreadsheetml/2009/9/main" objectType="CheckBox" checked="Checked" fmlaLink="$AJ$59" lockText="1" noThreeD="1"/>
</file>

<file path=xl/ctrlProps/ctrlProp234.xml><?xml version="1.0" encoding="utf-8"?>
<formControlPr xmlns="http://schemas.microsoft.com/office/spreadsheetml/2009/9/main" objectType="CheckBox" checked="Checked" fmlaLink="$AJ$60" lockText="1" noThreeD="1"/>
</file>

<file path=xl/ctrlProps/ctrlProp235.xml><?xml version="1.0" encoding="utf-8"?>
<formControlPr xmlns="http://schemas.microsoft.com/office/spreadsheetml/2009/9/main" objectType="CheckBox" checked="Checked" fmlaLink="$AJ$61" lockText="1" noThreeD="1"/>
</file>

<file path=xl/ctrlProps/ctrlProp236.xml><?xml version="1.0" encoding="utf-8"?>
<formControlPr xmlns="http://schemas.microsoft.com/office/spreadsheetml/2009/9/main" objectType="CheckBox" checked="Checked" fmlaLink="$AJ$62" lockText="1" noThreeD="1"/>
</file>

<file path=xl/ctrlProps/ctrlProp237.xml><?xml version="1.0" encoding="utf-8"?>
<formControlPr xmlns="http://schemas.microsoft.com/office/spreadsheetml/2009/9/main" objectType="CheckBox" checked="Checked" fmlaLink="$AJ$63" lockText="1" noThreeD="1"/>
</file>

<file path=xl/ctrlProps/ctrlProp238.xml><?xml version="1.0" encoding="utf-8"?>
<formControlPr xmlns="http://schemas.microsoft.com/office/spreadsheetml/2009/9/main" objectType="CheckBox" checked="Checked" fmlaLink="$AJ$57" lockText="1" noThreeD="1"/>
</file>

<file path=xl/ctrlProps/ctrlProp239.xml><?xml version="1.0" encoding="utf-8"?>
<formControlPr xmlns="http://schemas.microsoft.com/office/spreadsheetml/2009/9/main" objectType="CheckBox" checked="Checked" fmlaLink="$AJ$58" lockText="1" noThreeD="1"/>
</file>

<file path=xl/ctrlProps/ctrlProp24.xml><?xml version="1.0" encoding="utf-8"?>
<formControlPr xmlns="http://schemas.microsoft.com/office/spreadsheetml/2009/9/main" objectType="CheckBox" checked="Checked" fmlaLink="$AI$63" lockText="1" noThreeD="1"/>
</file>

<file path=xl/ctrlProps/ctrlProp240.xml><?xml version="1.0" encoding="utf-8"?>
<formControlPr xmlns="http://schemas.microsoft.com/office/spreadsheetml/2009/9/main" objectType="CheckBox" checked="Checked" fmlaLink="$AJ$64" lockText="1" noThreeD="1"/>
</file>

<file path=xl/ctrlProps/ctrlProp25.xml><?xml version="1.0" encoding="utf-8"?>
<formControlPr xmlns="http://schemas.microsoft.com/office/spreadsheetml/2009/9/main" objectType="CheckBox" checked="Checked" fmlaLink="$AI40" lockText="1" noThreeD="1"/>
</file>

<file path=xl/ctrlProps/ctrlProp26.xml><?xml version="1.0" encoding="utf-8"?>
<formControlPr xmlns="http://schemas.microsoft.com/office/spreadsheetml/2009/9/main" objectType="CheckBox" checked="Checked" fmlaLink="$AI41" lockText="1" noThreeD="1"/>
</file>

<file path=xl/ctrlProps/ctrlProp27.xml><?xml version="1.0" encoding="utf-8"?>
<formControlPr xmlns="http://schemas.microsoft.com/office/spreadsheetml/2009/9/main" objectType="CheckBox" checked="Checked" fmlaLink="$AI42" lockText="1" noThreeD="1"/>
</file>

<file path=xl/ctrlProps/ctrlProp28.xml><?xml version="1.0" encoding="utf-8"?>
<formControlPr xmlns="http://schemas.microsoft.com/office/spreadsheetml/2009/9/main" objectType="CheckBox" checked="Checked" fmlaLink="$AI43" lockText="1" noThreeD="1"/>
</file>

<file path=xl/ctrlProps/ctrlProp29.xml><?xml version="1.0" encoding="utf-8"?>
<formControlPr xmlns="http://schemas.microsoft.com/office/spreadsheetml/2009/9/main" objectType="CheckBox" checked="Checked" fmlaLink="$AI44" lockText="1" noThreeD="1"/>
</file>

<file path=xl/ctrlProps/ctrlProp3.xml><?xml version="1.0" encoding="utf-8"?>
<formControlPr xmlns="http://schemas.microsoft.com/office/spreadsheetml/2009/9/main" objectType="CheckBox" checked="Checked" fmlaLink="$AI42" lockText="1" noThreeD="1"/>
</file>

<file path=xl/ctrlProps/ctrlProp30.xml><?xml version="1.0" encoding="utf-8"?>
<formControlPr xmlns="http://schemas.microsoft.com/office/spreadsheetml/2009/9/main" objectType="CheckBox" checked="Checked" fmlaLink="$AI45" lockText="1" noThreeD="1"/>
</file>

<file path=xl/ctrlProps/ctrlProp31.xml><?xml version="1.0" encoding="utf-8"?>
<formControlPr xmlns="http://schemas.microsoft.com/office/spreadsheetml/2009/9/main" objectType="CheckBox" checked="Checked" fmlaLink="$AI46" lockText="1" noThreeD="1"/>
</file>

<file path=xl/ctrlProps/ctrlProp32.xml><?xml version="1.0" encoding="utf-8"?>
<formControlPr xmlns="http://schemas.microsoft.com/office/spreadsheetml/2009/9/main" objectType="CheckBox" checked="Checked" fmlaLink="$AI47" lockText="1" noThreeD="1"/>
</file>

<file path=xl/ctrlProps/ctrlProp33.xml><?xml version="1.0" encoding="utf-8"?>
<formControlPr xmlns="http://schemas.microsoft.com/office/spreadsheetml/2009/9/main" objectType="CheckBox" checked="Checked" fmlaLink="$AI48" lockText="1" noThreeD="1"/>
</file>

<file path=xl/ctrlProps/ctrlProp34.xml><?xml version="1.0" encoding="utf-8"?>
<formControlPr xmlns="http://schemas.microsoft.com/office/spreadsheetml/2009/9/main" objectType="CheckBox" checked="Checked" fmlaLink="$AI49" lockText="1" noThreeD="1"/>
</file>

<file path=xl/ctrlProps/ctrlProp35.xml><?xml version="1.0" encoding="utf-8"?>
<formControlPr xmlns="http://schemas.microsoft.com/office/spreadsheetml/2009/9/main" objectType="CheckBox" checked="Checked" fmlaLink="$AI50" lockText="1" noThreeD="1"/>
</file>

<file path=xl/ctrlProps/ctrlProp36.xml><?xml version="1.0" encoding="utf-8"?>
<formControlPr xmlns="http://schemas.microsoft.com/office/spreadsheetml/2009/9/main" objectType="CheckBox" checked="Checked" fmlaLink="$AI51" lockText="1" noThreeD="1"/>
</file>

<file path=xl/ctrlProps/ctrlProp37.xml><?xml version="1.0" encoding="utf-8"?>
<formControlPr xmlns="http://schemas.microsoft.com/office/spreadsheetml/2009/9/main" objectType="CheckBox" checked="Checked" fmlaLink="$AI52" lockText="1" noThreeD="1"/>
</file>

<file path=xl/ctrlProps/ctrlProp38.xml><?xml version="1.0" encoding="utf-8"?>
<formControlPr xmlns="http://schemas.microsoft.com/office/spreadsheetml/2009/9/main" objectType="CheckBox" checked="Checked" fmlaLink="$AI53" lockText="1" noThreeD="1"/>
</file>

<file path=xl/ctrlProps/ctrlProp39.xml><?xml version="1.0" encoding="utf-8"?>
<formControlPr xmlns="http://schemas.microsoft.com/office/spreadsheetml/2009/9/main" objectType="CheckBox" checked="Checked" fmlaLink="$AI54" lockText="1" noThreeD="1"/>
</file>

<file path=xl/ctrlProps/ctrlProp4.xml><?xml version="1.0" encoding="utf-8"?>
<formControlPr xmlns="http://schemas.microsoft.com/office/spreadsheetml/2009/9/main" objectType="CheckBox" checked="Checked" fmlaLink="$AI43" lockText="1" noThreeD="1"/>
</file>

<file path=xl/ctrlProps/ctrlProp40.xml><?xml version="1.0" encoding="utf-8"?>
<formControlPr xmlns="http://schemas.microsoft.com/office/spreadsheetml/2009/9/main" objectType="CheckBox" checked="Checked" fmlaLink="$AI$55" lockText="1" noThreeD="1"/>
</file>

<file path=xl/ctrlProps/ctrlProp41.xml><?xml version="1.0" encoding="utf-8"?>
<formControlPr xmlns="http://schemas.microsoft.com/office/spreadsheetml/2009/9/main" objectType="CheckBox" checked="Checked" fmlaLink="$AI$58" lockText="1" noThreeD="1"/>
</file>

<file path=xl/ctrlProps/ctrlProp42.xml><?xml version="1.0" encoding="utf-8"?>
<formControlPr xmlns="http://schemas.microsoft.com/office/spreadsheetml/2009/9/main" objectType="CheckBox" checked="Checked" fmlaLink="$AI$59" lockText="1" noThreeD="1"/>
</file>

<file path=xl/ctrlProps/ctrlProp43.xml><?xml version="1.0" encoding="utf-8"?>
<formControlPr xmlns="http://schemas.microsoft.com/office/spreadsheetml/2009/9/main" objectType="CheckBox" checked="Checked" fmlaLink="$AI$60" lockText="1" noThreeD="1"/>
</file>

<file path=xl/ctrlProps/ctrlProp44.xml><?xml version="1.0" encoding="utf-8"?>
<formControlPr xmlns="http://schemas.microsoft.com/office/spreadsheetml/2009/9/main" objectType="CheckBox" checked="Checked" fmlaLink="$AI$61" lockText="1" noThreeD="1"/>
</file>

<file path=xl/ctrlProps/ctrlProp45.xml><?xml version="1.0" encoding="utf-8"?>
<formControlPr xmlns="http://schemas.microsoft.com/office/spreadsheetml/2009/9/main" objectType="CheckBox" checked="Checked" fmlaLink="$AI$62" lockText="1" noThreeD="1"/>
</file>

<file path=xl/ctrlProps/ctrlProp46.xml><?xml version="1.0" encoding="utf-8"?>
<formControlPr xmlns="http://schemas.microsoft.com/office/spreadsheetml/2009/9/main" objectType="CheckBox" checked="Checked" fmlaLink="$AI$56" lockText="1" noThreeD="1"/>
</file>

<file path=xl/ctrlProps/ctrlProp47.xml><?xml version="1.0" encoding="utf-8"?>
<formControlPr xmlns="http://schemas.microsoft.com/office/spreadsheetml/2009/9/main" objectType="CheckBox" checked="Checked" fmlaLink="$AI$57" lockText="1" noThreeD="1"/>
</file>

<file path=xl/ctrlProps/ctrlProp48.xml><?xml version="1.0" encoding="utf-8"?>
<formControlPr xmlns="http://schemas.microsoft.com/office/spreadsheetml/2009/9/main" objectType="CheckBox" checked="Checked" fmlaLink="$AI$63" lockText="1" noThreeD="1"/>
</file>

<file path=xl/ctrlProps/ctrlProp49.xml><?xml version="1.0" encoding="utf-8"?>
<formControlPr xmlns="http://schemas.microsoft.com/office/spreadsheetml/2009/9/main" objectType="CheckBox" checked="Checked" fmlaLink="$AJ40" lockText="1" noThreeD="1"/>
</file>

<file path=xl/ctrlProps/ctrlProp5.xml><?xml version="1.0" encoding="utf-8"?>
<formControlPr xmlns="http://schemas.microsoft.com/office/spreadsheetml/2009/9/main" objectType="CheckBox" checked="Checked" fmlaLink="$AI44" lockText="1" noThreeD="1"/>
</file>

<file path=xl/ctrlProps/ctrlProp50.xml><?xml version="1.0" encoding="utf-8"?>
<formControlPr xmlns="http://schemas.microsoft.com/office/spreadsheetml/2009/9/main" objectType="CheckBox" checked="Checked" fmlaLink="$AJ41" lockText="1" noThreeD="1"/>
</file>

<file path=xl/ctrlProps/ctrlProp51.xml><?xml version="1.0" encoding="utf-8"?>
<formControlPr xmlns="http://schemas.microsoft.com/office/spreadsheetml/2009/9/main" objectType="CheckBox" checked="Checked" fmlaLink="$AJ42" lockText="1" noThreeD="1"/>
</file>

<file path=xl/ctrlProps/ctrlProp52.xml><?xml version="1.0" encoding="utf-8"?>
<formControlPr xmlns="http://schemas.microsoft.com/office/spreadsheetml/2009/9/main" objectType="CheckBox" checked="Checked" fmlaLink="$AJ43" lockText="1" noThreeD="1"/>
</file>

<file path=xl/ctrlProps/ctrlProp53.xml><?xml version="1.0" encoding="utf-8"?>
<formControlPr xmlns="http://schemas.microsoft.com/office/spreadsheetml/2009/9/main" objectType="CheckBox" checked="Checked" fmlaLink="$AJ44" lockText="1" noThreeD="1"/>
</file>

<file path=xl/ctrlProps/ctrlProp54.xml><?xml version="1.0" encoding="utf-8"?>
<formControlPr xmlns="http://schemas.microsoft.com/office/spreadsheetml/2009/9/main" objectType="CheckBox" checked="Checked" fmlaLink="$AJ45" lockText="1" noThreeD="1"/>
</file>

<file path=xl/ctrlProps/ctrlProp55.xml><?xml version="1.0" encoding="utf-8"?>
<formControlPr xmlns="http://schemas.microsoft.com/office/spreadsheetml/2009/9/main" objectType="CheckBox" checked="Checked" fmlaLink="$AJ46" lockText="1" noThreeD="1"/>
</file>

<file path=xl/ctrlProps/ctrlProp56.xml><?xml version="1.0" encoding="utf-8"?>
<formControlPr xmlns="http://schemas.microsoft.com/office/spreadsheetml/2009/9/main" objectType="CheckBox" checked="Checked" fmlaLink="$AJ47" lockText="1" noThreeD="1"/>
</file>

<file path=xl/ctrlProps/ctrlProp57.xml><?xml version="1.0" encoding="utf-8"?>
<formControlPr xmlns="http://schemas.microsoft.com/office/spreadsheetml/2009/9/main" objectType="CheckBox" checked="Checked" fmlaLink="$AJ48" lockText="1" noThreeD="1"/>
</file>

<file path=xl/ctrlProps/ctrlProp58.xml><?xml version="1.0" encoding="utf-8"?>
<formControlPr xmlns="http://schemas.microsoft.com/office/spreadsheetml/2009/9/main" objectType="CheckBox" checked="Checked" fmlaLink="$AJ49" lockText="1" noThreeD="1"/>
</file>

<file path=xl/ctrlProps/ctrlProp59.xml><?xml version="1.0" encoding="utf-8"?>
<formControlPr xmlns="http://schemas.microsoft.com/office/spreadsheetml/2009/9/main" objectType="CheckBox" checked="Checked" fmlaLink="$AJ50" lockText="1" noThreeD="1"/>
</file>

<file path=xl/ctrlProps/ctrlProp6.xml><?xml version="1.0" encoding="utf-8"?>
<formControlPr xmlns="http://schemas.microsoft.com/office/spreadsheetml/2009/9/main" objectType="CheckBox" checked="Checked" fmlaLink="$AI45" lockText="1" noThreeD="1"/>
</file>

<file path=xl/ctrlProps/ctrlProp60.xml><?xml version="1.0" encoding="utf-8"?>
<formControlPr xmlns="http://schemas.microsoft.com/office/spreadsheetml/2009/9/main" objectType="CheckBox" checked="Checked" fmlaLink="$AJ51" lockText="1" noThreeD="1"/>
</file>

<file path=xl/ctrlProps/ctrlProp61.xml><?xml version="1.0" encoding="utf-8"?>
<formControlPr xmlns="http://schemas.microsoft.com/office/spreadsheetml/2009/9/main" objectType="CheckBox" checked="Checked" fmlaLink="$AJ52" lockText="1" noThreeD="1"/>
</file>

<file path=xl/ctrlProps/ctrlProp62.xml><?xml version="1.0" encoding="utf-8"?>
<formControlPr xmlns="http://schemas.microsoft.com/office/spreadsheetml/2009/9/main" objectType="CheckBox" checked="Checked" fmlaLink="$AJ53" lockText="1" noThreeD="1"/>
</file>

<file path=xl/ctrlProps/ctrlProp63.xml><?xml version="1.0" encoding="utf-8"?>
<formControlPr xmlns="http://schemas.microsoft.com/office/spreadsheetml/2009/9/main" objectType="CheckBox" checked="Checked" fmlaLink="$AJ54" lockText="1" noThreeD="1"/>
</file>

<file path=xl/ctrlProps/ctrlProp64.xml><?xml version="1.0" encoding="utf-8"?>
<formControlPr xmlns="http://schemas.microsoft.com/office/spreadsheetml/2009/9/main" objectType="CheckBox" checked="Checked" fmlaLink="$AJ$55" lockText="1" noThreeD="1"/>
</file>

<file path=xl/ctrlProps/ctrlProp65.xml><?xml version="1.0" encoding="utf-8"?>
<formControlPr xmlns="http://schemas.microsoft.com/office/spreadsheetml/2009/9/main" objectType="CheckBox" checked="Checked" fmlaLink="$AJ$58" lockText="1" noThreeD="1"/>
</file>

<file path=xl/ctrlProps/ctrlProp66.xml><?xml version="1.0" encoding="utf-8"?>
<formControlPr xmlns="http://schemas.microsoft.com/office/spreadsheetml/2009/9/main" objectType="CheckBox" checked="Checked" fmlaLink="$AJ$59" lockText="1" noThreeD="1"/>
</file>

<file path=xl/ctrlProps/ctrlProp67.xml><?xml version="1.0" encoding="utf-8"?>
<formControlPr xmlns="http://schemas.microsoft.com/office/spreadsheetml/2009/9/main" objectType="CheckBox" checked="Checked" fmlaLink="$AJ$60" lockText="1" noThreeD="1"/>
</file>

<file path=xl/ctrlProps/ctrlProp68.xml><?xml version="1.0" encoding="utf-8"?>
<formControlPr xmlns="http://schemas.microsoft.com/office/spreadsheetml/2009/9/main" objectType="CheckBox" checked="Checked" fmlaLink="$AJ$61" lockText="1" noThreeD="1"/>
</file>

<file path=xl/ctrlProps/ctrlProp69.xml><?xml version="1.0" encoding="utf-8"?>
<formControlPr xmlns="http://schemas.microsoft.com/office/spreadsheetml/2009/9/main" objectType="CheckBox" checked="Checked" fmlaLink="$AJ$62" lockText="1" noThreeD="1"/>
</file>

<file path=xl/ctrlProps/ctrlProp7.xml><?xml version="1.0" encoding="utf-8"?>
<formControlPr xmlns="http://schemas.microsoft.com/office/spreadsheetml/2009/9/main" objectType="CheckBox" checked="Checked" fmlaLink="$AI46" lockText="1" noThreeD="1"/>
</file>

<file path=xl/ctrlProps/ctrlProp70.xml><?xml version="1.0" encoding="utf-8"?>
<formControlPr xmlns="http://schemas.microsoft.com/office/spreadsheetml/2009/9/main" objectType="CheckBox" checked="Checked" fmlaLink="$AJ$56" lockText="1" noThreeD="1"/>
</file>

<file path=xl/ctrlProps/ctrlProp71.xml><?xml version="1.0" encoding="utf-8"?>
<formControlPr xmlns="http://schemas.microsoft.com/office/spreadsheetml/2009/9/main" objectType="CheckBox" checked="Checked" fmlaLink="$AJ$57" lockText="1" noThreeD="1"/>
</file>

<file path=xl/ctrlProps/ctrlProp72.xml><?xml version="1.0" encoding="utf-8"?>
<formControlPr xmlns="http://schemas.microsoft.com/office/spreadsheetml/2009/9/main" objectType="CheckBox" checked="Checked" fmlaLink="$AJ$63" lockText="1" noThreeD="1"/>
</file>

<file path=xl/ctrlProps/ctrlProp73.xml><?xml version="1.0" encoding="utf-8"?>
<formControlPr xmlns="http://schemas.microsoft.com/office/spreadsheetml/2009/9/main" objectType="CheckBox" checked="Checked" fmlaLink="$AI40" lockText="1" noThreeD="1"/>
</file>

<file path=xl/ctrlProps/ctrlProp74.xml><?xml version="1.0" encoding="utf-8"?>
<formControlPr xmlns="http://schemas.microsoft.com/office/spreadsheetml/2009/9/main" objectType="CheckBox" checked="Checked" fmlaLink="$AI41" lockText="1" noThreeD="1"/>
</file>

<file path=xl/ctrlProps/ctrlProp75.xml><?xml version="1.0" encoding="utf-8"?>
<formControlPr xmlns="http://schemas.microsoft.com/office/spreadsheetml/2009/9/main" objectType="CheckBox" checked="Checked" fmlaLink="$AI42" lockText="1" noThreeD="1"/>
</file>

<file path=xl/ctrlProps/ctrlProp76.xml><?xml version="1.0" encoding="utf-8"?>
<formControlPr xmlns="http://schemas.microsoft.com/office/spreadsheetml/2009/9/main" objectType="CheckBox" checked="Checked" fmlaLink="$AI43" lockText="1" noThreeD="1"/>
</file>

<file path=xl/ctrlProps/ctrlProp77.xml><?xml version="1.0" encoding="utf-8"?>
<formControlPr xmlns="http://schemas.microsoft.com/office/spreadsheetml/2009/9/main" objectType="CheckBox" checked="Checked" fmlaLink="$AI44" lockText="1" noThreeD="1"/>
</file>

<file path=xl/ctrlProps/ctrlProp78.xml><?xml version="1.0" encoding="utf-8"?>
<formControlPr xmlns="http://schemas.microsoft.com/office/spreadsheetml/2009/9/main" objectType="CheckBox" checked="Checked" fmlaLink="$AI45" lockText="1" noThreeD="1"/>
</file>

<file path=xl/ctrlProps/ctrlProp79.xml><?xml version="1.0" encoding="utf-8"?>
<formControlPr xmlns="http://schemas.microsoft.com/office/spreadsheetml/2009/9/main" objectType="CheckBox" checked="Checked" fmlaLink="$AI46" lockText="1" noThreeD="1"/>
</file>

<file path=xl/ctrlProps/ctrlProp8.xml><?xml version="1.0" encoding="utf-8"?>
<formControlPr xmlns="http://schemas.microsoft.com/office/spreadsheetml/2009/9/main" objectType="CheckBox" checked="Checked" fmlaLink="$AI47" lockText="1" noThreeD="1"/>
</file>

<file path=xl/ctrlProps/ctrlProp80.xml><?xml version="1.0" encoding="utf-8"?>
<formControlPr xmlns="http://schemas.microsoft.com/office/spreadsheetml/2009/9/main" objectType="CheckBox" checked="Checked" fmlaLink="$AI47" lockText="1" noThreeD="1"/>
</file>

<file path=xl/ctrlProps/ctrlProp81.xml><?xml version="1.0" encoding="utf-8"?>
<formControlPr xmlns="http://schemas.microsoft.com/office/spreadsheetml/2009/9/main" objectType="CheckBox" checked="Checked" fmlaLink="$AI48" lockText="1" noThreeD="1"/>
</file>

<file path=xl/ctrlProps/ctrlProp82.xml><?xml version="1.0" encoding="utf-8"?>
<formControlPr xmlns="http://schemas.microsoft.com/office/spreadsheetml/2009/9/main" objectType="CheckBox" checked="Checked" fmlaLink="$AI49" lockText="1" noThreeD="1"/>
</file>

<file path=xl/ctrlProps/ctrlProp83.xml><?xml version="1.0" encoding="utf-8"?>
<formControlPr xmlns="http://schemas.microsoft.com/office/spreadsheetml/2009/9/main" objectType="CheckBox" checked="Checked" fmlaLink="$AI50" lockText="1" noThreeD="1"/>
</file>

<file path=xl/ctrlProps/ctrlProp84.xml><?xml version="1.0" encoding="utf-8"?>
<formControlPr xmlns="http://schemas.microsoft.com/office/spreadsheetml/2009/9/main" objectType="CheckBox" checked="Checked" fmlaLink="$AI51" lockText="1" noThreeD="1"/>
</file>

<file path=xl/ctrlProps/ctrlProp85.xml><?xml version="1.0" encoding="utf-8"?>
<formControlPr xmlns="http://schemas.microsoft.com/office/spreadsheetml/2009/9/main" objectType="CheckBox" checked="Checked" fmlaLink="$AI52" lockText="1" noThreeD="1"/>
</file>

<file path=xl/ctrlProps/ctrlProp86.xml><?xml version="1.0" encoding="utf-8"?>
<formControlPr xmlns="http://schemas.microsoft.com/office/spreadsheetml/2009/9/main" objectType="CheckBox" checked="Checked" fmlaLink="$AI53" lockText="1" noThreeD="1"/>
</file>

<file path=xl/ctrlProps/ctrlProp87.xml><?xml version="1.0" encoding="utf-8"?>
<formControlPr xmlns="http://schemas.microsoft.com/office/spreadsheetml/2009/9/main" objectType="CheckBox" checked="Checked" fmlaLink="$AI54" lockText="1" noThreeD="1"/>
</file>

<file path=xl/ctrlProps/ctrlProp88.xml><?xml version="1.0" encoding="utf-8"?>
<formControlPr xmlns="http://schemas.microsoft.com/office/spreadsheetml/2009/9/main" objectType="CheckBox" checked="Checked" fmlaLink="$AI$55" lockText="1" noThreeD="1"/>
</file>

<file path=xl/ctrlProps/ctrlProp89.xml><?xml version="1.0" encoding="utf-8"?>
<formControlPr xmlns="http://schemas.microsoft.com/office/spreadsheetml/2009/9/main" objectType="CheckBox" checked="Checked" fmlaLink="$AI$58" lockText="1" noThreeD="1"/>
</file>

<file path=xl/ctrlProps/ctrlProp9.xml><?xml version="1.0" encoding="utf-8"?>
<formControlPr xmlns="http://schemas.microsoft.com/office/spreadsheetml/2009/9/main" objectType="CheckBox" checked="Checked" fmlaLink="$AI48" lockText="1" noThreeD="1"/>
</file>

<file path=xl/ctrlProps/ctrlProp90.xml><?xml version="1.0" encoding="utf-8"?>
<formControlPr xmlns="http://schemas.microsoft.com/office/spreadsheetml/2009/9/main" objectType="CheckBox" checked="Checked" fmlaLink="$AI$59" lockText="1" noThreeD="1"/>
</file>

<file path=xl/ctrlProps/ctrlProp91.xml><?xml version="1.0" encoding="utf-8"?>
<formControlPr xmlns="http://schemas.microsoft.com/office/spreadsheetml/2009/9/main" objectType="CheckBox" checked="Checked" fmlaLink="$AI$60" lockText="1" noThreeD="1"/>
</file>

<file path=xl/ctrlProps/ctrlProp92.xml><?xml version="1.0" encoding="utf-8"?>
<formControlPr xmlns="http://schemas.microsoft.com/office/spreadsheetml/2009/9/main" objectType="CheckBox" checked="Checked" fmlaLink="$AI$61" lockText="1" noThreeD="1"/>
</file>

<file path=xl/ctrlProps/ctrlProp93.xml><?xml version="1.0" encoding="utf-8"?>
<formControlPr xmlns="http://schemas.microsoft.com/office/spreadsheetml/2009/9/main" objectType="CheckBox" checked="Checked" fmlaLink="$AI$62" lockText="1" noThreeD="1"/>
</file>

<file path=xl/ctrlProps/ctrlProp94.xml><?xml version="1.0" encoding="utf-8"?>
<formControlPr xmlns="http://schemas.microsoft.com/office/spreadsheetml/2009/9/main" objectType="CheckBox" checked="Checked" fmlaLink="$AI$56" lockText="1" noThreeD="1"/>
</file>

<file path=xl/ctrlProps/ctrlProp95.xml><?xml version="1.0" encoding="utf-8"?>
<formControlPr xmlns="http://schemas.microsoft.com/office/spreadsheetml/2009/9/main" objectType="CheckBox" checked="Checked" fmlaLink="$AI$57" lockText="1" noThreeD="1"/>
</file>

<file path=xl/ctrlProps/ctrlProp96.xml><?xml version="1.0" encoding="utf-8"?>
<formControlPr xmlns="http://schemas.microsoft.com/office/spreadsheetml/2009/9/main" objectType="CheckBox" checked="Checked" fmlaLink="$AI$63" lockText="1" noThreeD="1"/>
</file>

<file path=xl/ctrlProps/ctrlProp97.xml><?xml version="1.0" encoding="utf-8"?>
<formControlPr xmlns="http://schemas.microsoft.com/office/spreadsheetml/2009/9/main" objectType="CheckBox" checked="Checked" fmlaLink="$AI40" lockText="1" noThreeD="1"/>
</file>

<file path=xl/ctrlProps/ctrlProp98.xml><?xml version="1.0" encoding="utf-8"?>
<formControlPr xmlns="http://schemas.microsoft.com/office/spreadsheetml/2009/9/main" objectType="CheckBox" checked="Checked" fmlaLink="$AI41" lockText="1" noThreeD="1"/>
</file>

<file path=xl/ctrlProps/ctrlProp99.xml><?xml version="1.0" encoding="utf-8"?>
<formControlPr xmlns="http://schemas.microsoft.com/office/spreadsheetml/2009/9/main" objectType="CheckBox" checked="Checked" fmlaLink="$AI42"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 Id="rId6" Type="http://schemas.openxmlformats.org/officeDocument/2006/relationships/image" Target="../media/image7.png"/><Relationship Id="rId5" Type="http://schemas.openxmlformats.org/officeDocument/2006/relationships/chart" Target="../charts/chart39.xml"/><Relationship Id="rId4" Type="http://schemas.openxmlformats.org/officeDocument/2006/relationships/chart" Target="../charts/chart38.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 Id="rId6" Type="http://schemas.openxmlformats.org/officeDocument/2006/relationships/image" Target="../media/image7.png"/><Relationship Id="rId5" Type="http://schemas.openxmlformats.org/officeDocument/2006/relationships/chart" Target="../charts/chart44.xml"/><Relationship Id="rId4" Type="http://schemas.openxmlformats.org/officeDocument/2006/relationships/chart" Target="../charts/chart43.xml"/></Relationships>
</file>

<file path=xl/drawings/_rels/drawing12.xml.rels><?xml version="1.0" encoding="UTF-8" standalone="yes"?>
<Relationships xmlns="http://schemas.openxmlformats.org/package/2006/relationships"><Relationship Id="rId8" Type="http://schemas.openxmlformats.org/officeDocument/2006/relationships/chart" Target="../charts/chart52.xml"/><Relationship Id="rId3" Type="http://schemas.openxmlformats.org/officeDocument/2006/relationships/chart" Target="../charts/chart47.xml"/><Relationship Id="rId7" Type="http://schemas.openxmlformats.org/officeDocument/2006/relationships/chart" Target="../charts/chart51.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chart" Target="../charts/chart50.xml"/><Relationship Id="rId5" Type="http://schemas.openxmlformats.org/officeDocument/2006/relationships/chart" Target="../charts/chart49.xml"/><Relationship Id="rId10" Type="http://schemas.openxmlformats.org/officeDocument/2006/relationships/image" Target="../media/image7.png"/><Relationship Id="rId4" Type="http://schemas.openxmlformats.org/officeDocument/2006/relationships/chart" Target="../charts/chart48.xml"/><Relationship Id="rId9" Type="http://schemas.openxmlformats.org/officeDocument/2006/relationships/chart" Target="../charts/chart53.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61.xml"/><Relationship Id="rId3" Type="http://schemas.openxmlformats.org/officeDocument/2006/relationships/chart" Target="../charts/chart56.xml"/><Relationship Id="rId7" Type="http://schemas.openxmlformats.org/officeDocument/2006/relationships/chart" Target="../charts/chart60.xml"/><Relationship Id="rId12" Type="http://schemas.openxmlformats.org/officeDocument/2006/relationships/image" Target="../media/image7.png"/><Relationship Id="rId2" Type="http://schemas.openxmlformats.org/officeDocument/2006/relationships/chart" Target="../charts/chart55.xml"/><Relationship Id="rId1" Type="http://schemas.openxmlformats.org/officeDocument/2006/relationships/chart" Target="../charts/chart54.xml"/><Relationship Id="rId6" Type="http://schemas.openxmlformats.org/officeDocument/2006/relationships/chart" Target="../charts/chart59.xml"/><Relationship Id="rId11" Type="http://schemas.openxmlformats.org/officeDocument/2006/relationships/chart" Target="../charts/chart64.xml"/><Relationship Id="rId5" Type="http://schemas.openxmlformats.org/officeDocument/2006/relationships/chart" Target="../charts/chart58.xml"/><Relationship Id="rId10" Type="http://schemas.openxmlformats.org/officeDocument/2006/relationships/chart" Target="../charts/chart63.xml"/><Relationship Id="rId4" Type="http://schemas.openxmlformats.org/officeDocument/2006/relationships/chart" Target="../charts/chart57.xml"/><Relationship Id="rId9" Type="http://schemas.openxmlformats.org/officeDocument/2006/relationships/chart" Target="../charts/chart62.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67.xml"/><Relationship Id="rId2" Type="http://schemas.openxmlformats.org/officeDocument/2006/relationships/chart" Target="../charts/chart66.xml"/><Relationship Id="rId1" Type="http://schemas.openxmlformats.org/officeDocument/2006/relationships/chart" Target="../charts/chart65.xml"/><Relationship Id="rId6" Type="http://schemas.openxmlformats.org/officeDocument/2006/relationships/image" Target="../media/image7.png"/><Relationship Id="rId5" Type="http://schemas.openxmlformats.org/officeDocument/2006/relationships/chart" Target="../charts/chart69.xml"/><Relationship Id="rId4" Type="http://schemas.openxmlformats.org/officeDocument/2006/relationships/chart" Target="../charts/chart68.xml"/></Relationships>
</file>

<file path=xl/drawings/_rels/drawing15.xml.rels><?xml version="1.0" encoding="UTF-8" standalone="yes"?>
<Relationships xmlns="http://schemas.openxmlformats.org/package/2006/relationships"><Relationship Id="rId8" Type="http://schemas.openxmlformats.org/officeDocument/2006/relationships/chart" Target="../charts/chart77.xml"/><Relationship Id="rId13" Type="http://schemas.openxmlformats.org/officeDocument/2006/relationships/chart" Target="../charts/chart82.xml"/><Relationship Id="rId18" Type="http://schemas.openxmlformats.org/officeDocument/2006/relationships/chart" Target="../charts/chart87.xml"/><Relationship Id="rId3" Type="http://schemas.openxmlformats.org/officeDocument/2006/relationships/chart" Target="../charts/chart72.xml"/><Relationship Id="rId7" Type="http://schemas.openxmlformats.org/officeDocument/2006/relationships/chart" Target="../charts/chart76.xml"/><Relationship Id="rId12" Type="http://schemas.openxmlformats.org/officeDocument/2006/relationships/chart" Target="../charts/chart81.xml"/><Relationship Id="rId17" Type="http://schemas.openxmlformats.org/officeDocument/2006/relationships/chart" Target="../charts/chart86.xml"/><Relationship Id="rId2" Type="http://schemas.openxmlformats.org/officeDocument/2006/relationships/chart" Target="../charts/chart71.xml"/><Relationship Id="rId16" Type="http://schemas.openxmlformats.org/officeDocument/2006/relationships/chart" Target="../charts/chart85.xml"/><Relationship Id="rId20" Type="http://schemas.openxmlformats.org/officeDocument/2006/relationships/image" Target="../media/image7.png"/><Relationship Id="rId1" Type="http://schemas.openxmlformats.org/officeDocument/2006/relationships/chart" Target="../charts/chart70.xml"/><Relationship Id="rId6" Type="http://schemas.openxmlformats.org/officeDocument/2006/relationships/chart" Target="../charts/chart75.xml"/><Relationship Id="rId11" Type="http://schemas.openxmlformats.org/officeDocument/2006/relationships/chart" Target="../charts/chart80.xml"/><Relationship Id="rId5" Type="http://schemas.openxmlformats.org/officeDocument/2006/relationships/chart" Target="../charts/chart74.xml"/><Relationship Id="rId15" Type="http://schemas.openxmlformats.org/officeDocument/2006/relationships/chart" Target="../charts/chart84.xml"/><Relationship Id="rId10" Type="http://schemas.openxmlformats.org/officeDocument/2006/relationships/chart" Target="../charts/chart79.xml"/><Relationship Id="rId19" Type="http://schemas.openxmlformats.org/officeDocument/2006/relationships/chart" Target="../charts/chart88.xml"/><Relationship Id="rId4" Type="http://schemas.openxmlformats.org/officeDocument/2006/relationships/chart" Target="../charts/chart73.xml"/><Relationship Id="rId9" Type="http://schemas.openxmlformats.org/officeDocument/2006/relationships/chart" Target="../charts/chart78.xml"/><Relationship Id="rId14" Type="http://schemas.openxmlformats.org/officeDocument/2006/relationships/chart" Target="../charts/chart83.xml"/></Relationships>
</file>

<file path=xl/drawings/_rels/drawing16.xml.rels><?xml version="1.0" encoding="UTF-8" standalone="yes"?>
<Relationships xmlns="http://schemas.openxmlformats.org/package/2006/relationships"><Relationship Id="rId8" Type="http://schemas.openxmlformats.org/officeDocument/2006/relationships/chart" Target="../charts/chart95.xml"/><Relationship Id="rId3" Type="http://schemas.openxmlformats.org/officeDocument/2006/relationships/chart" Target="../charts/chart91.xml"/><Relationship Id="rId7" Type="http://schemas.openxmlformats.org/officeDocument/2006/relationships/chart" Target="../charts/chart94.xml"/><Relationship Id="rId2" Type="http://schemas.openxmlformats.org/officeDocument/2006/relationships/chart" Target="../charts/chart90.xml"/><Relationship Id="rId1" Type="http://schemas.openxmlformats.org/officeDocument/2006/relationships/chart" Target="../charts/chart89.xml"/><Relationship Id="rId6" Type="http://schemas.openxmlformats.org/officeDocument/2006/relationships/image" Target="../media/image7.png"/><Relationship Id="rId5" Type="http://schemas.openxmlformats.org/officeDocument/2006/relationships/chart" Target="../charts/chart93.xml"/><Relationship Id="rId10" Type="http://schemas.openxmlformats.org/officeDocument/2006/relationships/chart" Target="../charts/chart97.xml"/><Relationship Id="rId4" Type="http://schemas.openxmlformats.org/officeDocument/2006/relationships/chart" Target="../charts/chart92.xml"/><Relationship Id="rId9" Type="http://schemas.openxmlformats.org/officeDocument/2006/relationships/chart" Target="../charts/chart96.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chart" Target="../charts/chart5.xml"/><Relationship Id="rId7" Type="http://schemas.openxmlformats.org/officeDocument/2006/relationships/chart" Target="../charts/chart9.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7.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chart" Target="../charts/chart12.xml"/><Relationship Id="rId7" Type="http://schemas.openxmlformats.org/officeDocument/2006/relationships/chart" Target="../charts/chart16.xml"/><Relationship Id="rId12" Type="http://schemas.openxmlformats.org/officeDocument/2006/relationships/image" Target="../media/image7.png"/><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11" Type="http://schemas.openxmlformats.org/officeDocument/2006/relationships/image" Target="../media/image6.png"/><Relationship Id="rId5" Type="http://schemas.openxmlformats.org/officeDocument/2006/relationships/chart" Target="../charts/chart14.xml"/><Relationship Id="rId10" Type="http://schemas.openxmlformats.org/officeDocument/2006/relationships/chart" Target="../charts/chart19.xml"/><Relationship Id="rId4" Type="http://schemas.openxmlformats.org/officeDocument/2006/relationships/chart" Target="../charts/chart13.xml"/><Relationship Id="rId9" Type="http://schemas.openxmlformats.org/officeDocument/2006/relationships/chart" Target="../charts/chart18.xml"/></Relationships>
</file>

<file path=xl/drawings/_rels/drawing8.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chart" Target="../charts/chart22.xml"/><Relationship Id="rId7" Type="http://schemas.openxmlformats.org/officeDocument/2006/relationships/chart" Target="../charts/chart26.xml"/><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chart" Target="../charts/chart25.xml"/><Relationship Id="rId5" Type="http://schemas.openxmlformats.org/officeDocument/2006/relationships/chart" Target="../charts/chart24.xml"/><Relationship Id="rId4" Type="http://schemas.openxmlformats.org/officeDocument/2006/relationships/chart" Target="../charts/chart23.xml"/></Relationships>
</file>

<file path=xl/drawings/_rels/drawing9.xml.rels><?xml version="1.0" encoding="UTF-8" standalone="yes"?>
<Relationships xmlns="http://schemas.openxmlformats.org/package/2006/relationships"><Relationship Id="rId8" Type="http://schemas.openxmlformats.org/officeDocument/2006/relationships/chart" Target="../charts/chart33.xml"/><Relationship Id="rId3" Type="http://schemas.openxmlformats.org/officeDocument/2006/relationships/chart" Target="../charts/chart28.xml"/><Relationship Id="rId7" Type="http://schemas.openxmlformats.org/officeDocument/2006/relationships/chart" Target="../charts/chart32.xml"/><Relationship Id="rId2" Type="http://schemas.openxmlformats.org/officeDocument/2006/relationships/chart" Target="../charts/chart27.xml"/><Relationship Id="rId1" Type="http://schemas.openxmlformats.org/officeDocument/2006/relationships/image" Target="../media/image7.png"/><Relationship Id="rId6" Type="http://schemas.openxmlformats.org/officeDocument/2006/relationships/chart" Target="../charts/chart31.xml"/><Relationship Id="rId5" Type="http://schemas.openxmlformats.org/officeDocument/2006/relationships/chart" Target="../charts/chart30.xml"/><Relationship Id="rId4" Type="http://schemas.openxmlformats.org/officeDocument/2006/relationships/chart" Target="../charts/chart29.xml"/><Relationship Id="rId9" Type="http://schemas.openxmlformats.org/officeDocument/2006/relationships/chart" Target="../charts/chart34.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133350</xdr:colOff>
      <xdr:row>6</xdr:row>
      <xdr:rowOff>0</xdr:rowOff>
    </xdr:to>
    <xdr:sp macro="" textlink="">
      <xdr:nvSpPr>
        <xdr:cNvPr id="2" name="AutoShape 2"/>
        <xdr:cNvSpPr>
          <a:spLocks noChangeArrowheads="1"/>
        </xdr:cNvSpPr>
      </xdr:nvSpPr>
      <xdr:spPr bwMode="auto">
        <a:xfrm>
          <a:off x="266700" y="266700"/>
          <a:ext cx="3581400" cy="1657350"/>
        </a:xfrm>
        <a:prstGeom prst="roundRect">
          <a:avLst>
            <a:gd name="adj" fmla="val 16667"/>
          </a:avLst>
        </a:prstGeom>
        <a:solidFill>
          <a:srgbClr val="C85100"/>
        </a:solidFill>
        <a:ln w="19050">
          <a:solidFill>
            <a:srgbClr val="C85100"/>
          </a:solidFill>
          <a:round/>
          <a:headEnd/>
          <a:tailEnd/>
        </a:ln>
      </xdr:spPr>
      <xdr:txBody>
        <a:bodyPr vertOverflow="clip" wrap="square" lIns="54864" tIns="41148" rIns="54864" bIns="41148" anchor="ctr" upright="1"/>
        <a:lstStyle/>
        <a:p>
          <a:pPr algn="ctr" rtl="0">
            <a:defRPr sz="1000"/>
          </a:pPr>
          <a:r>
            <a:rPr lang="en-GB" sz="2500" b="1" i="0" u="none" strike="noStrike" baseline="0">
              <a:solidFill>
                <a:srgbClr val="FFFFFF"/>
              </a:solidFill>
              <a:latin typeface="Arial"/>
              <a:cs typeface="Arial"/>
            </a:rPr>
            <a:t>Children's Social Care Benchmarking</a:t>
          </a:r>
        </a:p>
        <a:p>
          <a:pPr algn="ctr" rtl="0">
            <a:defRPr sz="1000"/>
          </a:pPr>
          <a:r>
            <a:rPr lang="en-GB" sz="2000" b="1" i="0" u="none" strike="noStrike" baseline="0">
              <a:solidFill>
                <a:srgbClr val="FFCC99"/>
              </a:solidFill>
              <a:latin typeface="Arial"/>
              <a:cs typeface="Arial"/>
            </a:rPr>
            <a:t>Sector-Led Improvement</a:t>
          </a:r>
        </a:p>
      </xdr:txBody>
    </xdr:sp>
    <xdr:clientData/>
  </xdr:twoCellAnchor>
  <xdr:twoCellAnchor>
    <xdr:from>
      <xdr:col>7</xdr:col>
      <xdr:colOff>371475</xdr:colOff>
      <xdr:row>28</xdr:row>
      <xdr:rowOff>55109</xdr:rowOff>
    </xdr:from>
    <xdr:to>
      <xdr:col>10</xdr:col>
      <xdr:colOff>0</xdr:colOff>
      <xdr:row>34</xdr:row>
      <xdr:rowOff>0</xdr:rowOff>
    </xdr:to>
    <xdr:pic>
      <xdr:nvPicPr>
        <xdr:cNvPr id="6265" name="Picture 3" descr="ESCC_logo_RG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665334"/>
          <a:ext cx="1238250" cy="8402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962025</xdr:colOff>
      <xdr:row>32</xdr:row>
      <xdr:rowOff>142875</xdr:rowOff>
    </xdr:from>
    <xdr:to>
      <xdr:col>2</xdr:col>
      <xdr:colOff>76199</xdr:colOff>
      <xdr:row>34</xdr:row>
      <xdr:rowOff>57150</xdr:rowOff>
    </xdr:to>
    <xdr:sp macro="" textlink="">
      <xdr:nvSpPr>
        <xdr:cNvPr id="6267" name="Right Arrow 50"/>
        <xdr:cNvSpPr>
          <a:spLocks noChangeArrowheads="1"/>
        </xdr:cNvSpPr>
      </xdr:nvSpPr>
      <xdr:spPr bwMode="auto">
        <a:xfrm flipH="1">
          <a:off x="1190625" y="6334125"/>
          <a:ext cx="257174" cy="25717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2</xdr:col>
      <xdr:colOff>142873</xdr:colOff>
      <xdr:row>32</xdr:row>
      <xdr:rowOff>142875</xdr:rowOff>
    </xdr:from>
    <xdr:to>
      <xdr:col>2</xdr:col>
      <xdr:colOff>398473</xdr:colOff>
      <xdr:row>34</xdr:row>
      <xdr:rowOff>57150</xdr:rowOff>
    </xdr:to>
    <xdr:sp macro="" textlink="">
      <xdr:nvSpPr>
        <xdr:cNvPr id="11" name="Right Arrow 50"/>
        <xdr:cNvSpPr>
          <a:spLocks noChangeArrowheads="1"/>
        </xdr:cNvSpPr>
      </xdr:nvSpPr>
      <xdr:spPr bwMode="auto">
        <a:xfrm>
          <a:off x="1514473" y="6334125"/>
          <a:ext cx="255600" cy="25717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4</xdr:col>
      <xdr:colOff>0</xdr:colOff>
      <xdr:row>27</xdr:row>
      <xdr:rowOff>0</xdr:rowOff>
    </xdr:from>
    <xdr:to>
      <xdr:col>4</xdr:col>
      <xdr:colOff>304800</xdr:colOff>
      <xdr:row>29</xdr:row>
      <xdr:rowOff>0</xdr:rowOff>
    </xdr:to>
    <xdr:sp macro="" textlink="">
      <xdr:nvSpPr>
        <xdr:cNvPr id="1025" name="0bDyKzIGauR6eM:" descr="Image result for house icon free"/>
        <xdr:cNvSpPr>
          <a:spLocks noChangeAspect="1" noChangeArrowheads="1"/>
        </xdr:cNvSpPr>
      </xdr:nvSpPr>
      <xdr:spPr bwMode="auto">
        <a:xfrm>
          <a:off x="3962400" y="547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36</xdr:row>
      <xdr:rowOff>0</xdr:rowOff>
    </xdr:from>
    <xdr:to>
      <xdr:col>6</xdr:col>
      <xdr:colOff>104775</xdr:colOff>
      <xdr:row>55</xdr:row>
      <xdr:rowOff>114300</xdr:rowOff>
    </xdr:to>
    <xdr:sp macro="" textlink="">
      <xdr:nvSpPr>
        <xdr:cNvPr id="1026" name="AutoShape 2" descr="Image result for house icon free"/>
        <xdr:cNvSpPr>
          <a:spLocks noChangeAspect="1" noChangeArrowheads="1"/>
        </xdr:cNvSpPr>
      </xdr:nvSpPr>
      <xdr:spPr bwMode="auto">
        <a:xfrm>
          <a:off x="3676650" y="7067550"/>
          <a:ext cx="3495675" cy="28289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123825</xdr:colOff>
      <xdr:row>26</xdr:row>
      <xdr:rowOff>149095</xdr:rowOff>
    </xdr:from>
    <xdr:to>
      <xdr:col>2</xdr:col>
      <xdr:colOff>772968</xdr:colOff>
      <xdr:row>31</xdr:row>
      <xdr:rowOff>78061</xdr:rowOff>
    </xdr:to>
    <xdr:pic macro="[0]!Home">
      <xdr:nvPicPr>
        <xdr:cNvPr id="6"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5425" y="5473570"/>
          <a:ext cx="649143" cy="6623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347250</xdr:colOff>
      <xdr:row>36</xdr:row>
      <xdr:rowOff>95250</xdr:rowOff>
    </xdr:to>
    <xdr:sp macro="[0]!CiN" textlink="">
      <xdr:nvSpPr>
        <xdr:cNvPr id="2" name="Down Arrow 44"/>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CiN" textlink="">
      <xdr:nvSpPr>
        <xdr:cNvPr id="3" name="Down Arrow 2"/>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9"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495298</xdr:colOff>
      <xdr:row>0</xdr:row>
      <xdr:rowOff>85725</xdr:rowOff>
    </xdr:from>
    <xdr:to>
      <xdr:col>20</xdr:col>
      <xdr:colOff>64498</xdr:colOff>
      <xdr:row>2</xdr:row>
      <xdr:rowOff>149475</xdr:rowOff>
    </xdr:to>
    <xdr:sp macro="" textlink="">
      <xdr:nvSpPr>
        <xdr:cNvPr id="10" name="AutoShape 32"/>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11"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76200</xdr:rowOff>
        </xdr:from>
        <xdr:to>
          <xdr:col>35</xdr:col>
          <xdr:colOff>47625</xdr:colOff>
          <xdr:row>40</xdr:row>
          <xdr:rowOff>19050</xdr:rowOff>
        </xdr:to>
        <xdr:sp macro="" textlink="">
          <xdr:nvSpPr>
            <xdr:cNvPr id="96257" name="Check Box 1" hidden="1">
              <a:extLst>
                <a:ext uri="{63B3BB69-23CF-44E3-9099-C40C66FF867C}">
                  <a14:compatExt spid="_x0000_s96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161925</xdr:rowOff>
        </xdr:from>
        <xdr:to>
          <xdr:col>35</xdr:col>
          <xdr:colOff>47625</xdr:colOff>
          <xdr:row>41</xdr:row>
          <xdr:rowOff>19050</xdr:rowOff>
        </xdr:to>
        <xdr:sp macro="" textlink="">
          <xdr:nvSpPr>
            <xdr:cNvPr id="96258" name="Check Box 2" hidden="1">
              <a:extLst>
                <a:ext uri="{63B3BB69-23CF-44E3-9099-C40C66FF867C}">
                  <a14:compatExt spid="_x0000_s96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161925</xdr:rowOff>
        </xdr:from>
        <xdr:to>
          <xdr:col>35</xdr:col>
          <xdr:colOff>47625</xdr:colOff>
          <xdr:row>42</xdr:row>
          <xdr:rowOff>19050</xdr:rowOff>
        </xdr:to>
        <xdr:sp macro="" textlink="">
          <xdr:nvSpPr>
            <xdr:cNvPr id="96259" name="Check Box 3" hidden="1">
              <a:extLst>
                <a:ext uri="{63B3BB69-23CF-44E3-9099-C40C66FF867C}">
                  <a14:compatExt spid="_x0000_s96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161925</xdr:rowOff>
        </xdr:from>
        <xdr:to>
          <xdr:col>35</xdr:col>
          <xdr:colOff>47625</xdr:colOff>
          <xdr:row>43</xdr:row>
          <xdr:rowOff>19050</xdr:rowOff>
        </xdr:to>
        <xdr:sp macro="" textlink="">
          <xdr:nvSpPr>
            <xdr:cNvPr id="96260" name="Check Box 4" hidden="1">
              <a:extLst>
                <a:ext uri="{63B3BB69-23CF-44E3-9099-C40C66FF867C}">
                  <a14:compatExt spid="_x0000_s96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161925</xdr:rowOff>
        </xdr:from>
        <xdr:to>
          <xdr:col>35</xdr:col>
          <xdr:colOff>47625</xdr:colOff>
          <xdr:row>44</xdr:row>
          <xdr:rowOff>19050</xdr:rowOff>
        </xdr:to>
        <xdr:sp macro="" textlink="">
          <xdr:nvSpPr>
            <xdr:cNvPr id="96261" name="Check Box 5" hidden="1">
              <a:extLst>
                <a:ext uri="{63B3BB69-23CF-44E3-9099-C40C66FF867C}">
                  <a14:compatExt spid="_x0000_s96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161925</xdr:rowOff>
        </xdr:from>
        <xdr:to>
          <xdr:col>35</xdr:col>
          <xdr:colOff>47625</xdr:colOff>
          <xdr:row>45</xdr:row>
          <xdr:rowOff>19050</xdr:rowOff>
        </xdr:to>
        <xdr:sp macro="" textlink="">
          <xdr:nvSpPr>
            <xdr:cNvPr id="96262" name="Check Box 6" hidden="1">
              <a:extLst>
                <a:ext uri="{63B3BB69-23CF-44E3-9099-C40C66FF867C}">
                  <a14:compatExt spid="_x0000_s96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161925</xdr:rowOff>
        </xdr:from>
        <xdr:to>
          <xdr:col>35</xdr:col>
          <xdr:colOff>47625</xdr:colOff>
          <xdr:row>46</xdr:row>
          <xdr:rowOff>19050</xdr:rowOff>
        </xdr:to>
        <xdr:sp macro="" textlink="">
          <xdr:nvSpPr>
            <xdr:cNvPr id="96263" name="Check Box 7" hidden="1">
              <a:extLst>
                <a:ext uri="{63B3BB69-23CF-44E3-9099-C40C66FF867C}">
                  <a14:compatExt spid="_x0000_s96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161925</xdr:rowOff>
        </xdr:from>
        <xdr:to>
          <xdr:col>35</xdr:col>
          <xdr:colOff>47625</xdr:colOff>
          <xdr:row>47</xdr:row>
          <xdr:rowOff>19050</xdr:rowOff>
        </xdr:to>
        <xdr:sp macro="" textlink="">
          <xdr:nvSpPr>
            <xdr:cNvPr id="96264" name="Check Box 8" hidden="1">
              <a:extLst>
                <a:ext uri="{63B3BB69-23CF-44E3-9099-C40C66FF867C}">
                  <a14:compatExt spid="_x0000_s96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161925</xdr:rowOff>
        </xdr:from>
        <xdr:to>
          <xdr:col>35</xdr:col>
          <xdr:colOff>47625</xdr:colOff>
          <xdr:row>48</xdr:row>
          <xdr:rowOff>19050</xdr:rowOff>
        </xdr:to>
        <xdr:sp macro="" textlink="">
          <xdr:nvSpPr>
            <xdr:cNvPr id="96265" name="Check Box 9" hidden="1">
              <a:extLst>
                <a:ext uri="{63B3BB69-23CF-44E3-9099-C40C66FF867C}">
                  <a14:compatExt spid="_x0000_s96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161925</xdr:rowOff>
        </xdr:from>
        <xdr:to>
          <xdr:col>35</xdr:col>
          <xdr:colOff>47625</xdr:colOff>
          <xdr:row>49</xdr:row>
          <xdr:rowOff>19050</xdr:rowOff>
        </xdr:to>
        <xdr:sp macro="" textlink="">
          <xdr:nvSpPr>
            <xdr:cNvPr id="96266" name="Check Box 10" hidden="1">
              <a:extLst>
                <a:ext uri="{63B3BB69-23CF-44E3-9099-C40C66FF867C}">
                  <a14:compatExt spid="_x0000_s96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161925</xdr:rowOff>
        </xdr:from>
        <xdr:to>
          <xdr:col>35</xdr:col>
          <xdr:colOff>47625</xdr:colOff>
          <xdr:row>50</xdr:row>
          <xdr:rowOff>19050</xdr:rowOff>
        </xdr:to>
        <xdr:sp macro="" textlink="">
          <xdr:nvSpPr>
            <xdr:cNvPr id="96267" name="Check Box 11" hidden="1">
              <a:extLst>
                <a:ext uri="{63B3BB69-23CF-44E3-9099-C40C66FF867C}">
                  <a14:compatExt spid="_x0000_s96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161925</xdr:rowOff>
        </xdr:from>
        <xdr:to>
          <xdr:col>35</xdr:col>
          <xdr:colOff>47625</xdr:colOff>
          <xdr:row>51</xdr:row>
          <xdr:rowOff>19050</xdr:rowOff>
        </xdr:to>
        <xdr:sp macro="" textlink="">
          <xdr:nvSpPr>
            <xdr:cNvPr id="96268" name="Check Box 12" hidden="1">
              <a:extLst>
                <a:ext uri="{63B3BB69-23CF-44E3-9099-C40C66FF867C}">
                  <a14:compatExt spid="_x0000_s96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161925</xdr:rowOff>
        </xdr:from>
        <xdr:to>
          <xdr:col>35</xdr:col>
          <xdr:colOff>47625</xdr:colOff>
          <xdr:row>52</xdr:row>
          <xdr:rowOff>19050</xdr:rowOff>
        </xdr:to>
        <xdr:sp macro="" textlink="">
          <xdr:nvSpPr>
            <xdr:cNvPr id="96269" name="Check Box 13" hidden="1">
              <a:extLst>
                <a:ext uri="{63B3BB69-23CF-44E3-9099-C40C66FF867C}">
                  <a14:compatExt spid="_x0000_s96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161925</xdr:rowOff>
        </xdr:from>
        <xdr:to>
          <xdr:col>35</xdr:col>
          <xdr:colOff>47625</xdr:colOff>
          <xdr:row>53</xdr:row>
          <xdr:rowOff>19050</xdr:rowOff>
        </xdr:to>
        <xdr:sp macro="" textlink="">
          <xdr:nvSpPr>
            <xdr:cNvPr id="96270" name="Check Box 14" hidden="1">
              <a:extLst>
                <a:ext uri="{63B3BB69-23CF-44E3-9099-C40C66FF867C}">
                  <a14:compatExt spid="_x0000_s96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161925</xdr:rowOff>
        </xdr:from>
        <xdr:to>
          <xdr:col>35</xdr:col>
          <xdr:colOff>47625</xdr:colOff>
          <xdr:row>54</xdr:row>
          <xdr:rowOff>19050</xdr:rowOff>
        </xdr:to>
        <xdr:sp macro="" textlink="">
          <xdr:nvSpPr>
            <xdr:cNvPr id="96271" name="Check Box 15" hidden="1">
              <a:extLst>
                <a:ext uri="{63B3BB69-23CF-44E3-9099-C40C66FF867C}">
                  <a14:compatExt spid="_x0000_s96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161925</xdr:rowOff>
        </xdr:from>
        <xdr:to>
          <xdr:col>35</xdr:col>
          <xdr:colOff>47625</xdr:colOff>
          <xdr:row>55</xdr:row>
          <xdr:rowOff>19050</xdr:rowOff>
        </xdr:to>
        <xdr:sp macro="" textlink="">
          <xdr:nvSpPr>
            <xdr:cNvPr id="96272" name="Check Box 16" hidden="1">
              <a:extLst>
                <a:ext uri="{63B3BB69-23CF-44E3-9099-C40C66FF867C}">
                  <a14:compatExt spid="_x0000_s96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161925</xdr:rowOff>
        </xdr:from>
        <xdr:to>
          <xdr:col>35</xdr:col>
          <xdr:colOff>47625</xdr:colOff>
          <xdr:row>58</xdr:row>
          <xdr:rowOff>19050</xdr:rowOff>
        </xdr:to>
        <xdr:sp macro="" textlink="">
          <xdr:nvSpPr>
            <xdr:cNvPr id="96273" name="Check Box 17" hidden="1">
              <a:extLst>
                <a:ext uri="{63B3BB69-23CF-44E3-9099-C40C66FF867C}">
                  <a14:compatExt spid="_x0000_s96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161925</xdr:rowOff>
        </xdr:from>
        <xdr:to>
          <xdr:col>35</xdr:col>
          <xdr:colOff>47625</xdr:colOff>
          <xdr:row>59</xdr:row>
          <xdr:rowOff>19050</xdr:rowOff>
        </xdr:to>
        <xdr:sp macro="" textlink="">
          <xdr:nvSpPr>
            <xdr:cNvPr id="96274" name="Check Box 18" hidden="1">
              <a:extLst>
                <a:ext uri="{63B3BB69-23CF-44E3-9099-C40C66FF867C}">
                  <a14:compatExt spid="_x0000_s96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161925</xdr:rowOff>
        </xdr:from>
        <xdr:to>
          <xdr:col>35</xdr:col>
          <xdr:colOff>47625</xdr:colOff>
          <xdr:row>60</xdr:row>
          <xdr:rowOff>19050</xdr:rowOff>
        </xdr:to>
        <xdr:sp macro="" textlink="">
          <xdr:nvSpPr>
            <xdr:cNvPr id="96275" name="Check Box 19" hidden="1">
              <a:extLst>
                <a:ext uri="{63B3BB69-23CF-44E3-9099-C40C66FF867C}">
                  <a14:compatExt spid="_x0000_s96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161925</xdr:rowOff>
        </xdr:from>
        <xdr:to>
          <xdr:col>35</xdr:col>
          <xdr:colOff>47625</xdr:colOff>
          <xdr:row>61</xdr:row>
          <xdr:rowOff>19050</xdr:rowOff>
        </xdr:to>
        <xdr:sp macro="" textlink="">
          <xdr:nvSpPr>
            <xdr:cNvPr id="96276" name="Check Box 20" hidden="1">
              <a:extLst>
                <a:ext uri="{63B3BB69-23CF-44E3-9099-C40C66FF867C}">
                  <a14:compatExt spid="_x0000_s96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161925</xdr:rowOff>
        </xdr:from>
        <xdr:to>
          <xdr:col>35</xdr:col>
          <xdr:colOff>47625</xdr:colOff>
          <xdr:row>62</xdr:row>
          <xdr:rowOff>19050</xdr:rowOff>
        </xdr:to>
        <xdr:sp macro="" textlink="">
          <xdr:nvSpPr>
            <xdr:cNvPr id="96277" name="Check Box 21" hidden="1">
              <a:extLst>
                <a:ext uri="{63B3BB69-23CF-44E3-9099-C40C66FF867C}">
                  <a14:compatExt spid="_x0000_s96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54</xdr:row>
          <xdr:rowOff>161925</xdr:rowOff>
        </xdr:from>
        <xdr:to>
          <xdr:col>35</xdr:col>
          <xdr:colOff>47625</xdr:colOff>
          <xdr:row>56</xdr:row>
          <xdr:rowOff>19050</xdr:rowOff>
        </xdr:to>
        <xdr:sp macro="" textlink="">
          <xdr:nvSpPr>
            <xdr:cNvPr id="96278" name="Check Box 22" hidden="1">
              <a:extLst>
                <a:ext uri="{63B3BB69-23CF-44E3-9099-C40C66FF867C}">
                  <a14:compatExt spid="_x0000_s96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161925</xdr:rowOff>
        </xdr:from>
        <xdr:to>
          <xdr:col>35</xdr:col>
          <xdr:colOff>47625</xdr:colOff>
          <xdr:row>57</xdr:row>
          <xdr:rowOff>19050</xdr:rowOff>
        </xdr:to>
        <xdr:sp macro="" textlink="">
          <xdr:nvSpPr>
            <xdr:cNvPr id="96279" name="Check Box 23" hidden="1">
              <a:extLst>
                <a:ext uri="{63B3BB69-23CF-44E3-9099-C40C66FF867C}">
                  <a14:compatExt spid="_x0000_s96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61</xdr:row>
          <xdr:rowOff>161925</xdr:rowOff>
        </xdr:from>
        <xdr:to>
          <xdr:col>35</xdr:col>
          <xdr:colOff>47625</xdr:colOff>
          <xdr:row>63</xdr:row>
          <xdr:rowOff>19050</xdr:rowOff>
        </xdr:to>
        <xdr:sp macro="" textlink="">
          <xdr:nvSpPr>
            <xdr:cNvPr id="96280" name="Check Box 24" hidden="1">
              <a:extLst>
                <a:ext uri="{63B3BB69-23CF-44E3-9099-C40C66FF867C}">
                  <a14:compatExt spid="_x0000_s96280"/>
                </a:ext>
              </a:extLst>
            </xdr:cNvPr>
            <xdr:cNvSpPr/>
          </xdr:nvSpPr>
          <xdr:spPr>
            <a:xfrm>
              <a:off x="0" y="0"/>
              <a:ext cx="0" cy="0"/>
            </a:xfrm>
            <a:prstGeom prst="rect">
              <a:avLst/>
            </a:prstGeom>
          </xdr:spPr>
        </xdr:sp>
        <xdr:clientData/>
      </xdr:twoCellAnchor>
    </mc:Choice>
    <mc:Fallback/>
  </mc:AlternateContent>
  <xdr:oneCellAnchor>
    <xdr:from>
      <xdr:col>21</xdr:col>
      <xdr:colOff>95250</xdr:colOff>
      <xdr:row>103</xdr:row>
      <xdr:rowOff>33750</xdr:rowOff>
    </xdr:from>
    <xdr:ext cx="252000" cy="252000"/>
    <xdr:sp macro="[0]!CiN" textlink="">
      <xdr:nvSpPr>
        <xdr:cNvPr id="39" name="Down Arrow 44"/>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20</xdr:col>
      <xdr:colOff>0</xdr:colOff>
      <xdr:row>102</xdr:row>
      <xdr:rowOff>0</xdr:rowOff>
    </xdr:to>
    <xdr:graphicFrame macro="">
      <xdr:nvGraphicFramePr>
        <xdr:cNvPr id="40"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41"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42"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43"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76199</xdr:rowOff>
    </xdr:from>
    <xdr:to>
      <xdr:col>17</xdr:col>
      <xdr:colOff>367425</xdr:colOff>
      <xdr:row>63</xdr:row>
      <xdr:rowOff>76199</xdr:rowOff>
    </xdr:to>
    <xdr:sp macro="" textlink="">
      <xdr:nvSpPr>
        <xdr:cNvPr id="44"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21</xdr:col>
      <xdr:colOff>66675</xdr:colOff>
      <xdr:row>0</xdr:row>
      <xdr:rowOff>193416</xdr:rowOff>
    </xdr:from>
    <xdr:to>
      <xdr:col>21</xdr:col>
      <xdr:colOff>371475</xdr:colOff>
      <xdr:row>2</xdr:row>
      <xdr:rowOff>47625</xdr:rowOff>
    </xdr:to>
    <xdr:pic macro="[0]!Home">
      <xdr:nvPicPr>
        <xdr:cNvPr id="45" name="Picture 44"/>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Assessments" textlink="">
      <xdr:nvSpPr>
        <xdr:cNvPr id="46" name="Right Arrow 45"/>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Sec_47" textlink="">
      <xdr:nvSpPr>
        <xdr:cNvPr id="47" name="Right Arrow 50"/>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347250</xdr:colOff>
      <xdr:row>36</xdr:row>
      <xdr:rowOff>95250</xdr:rowOff>
    </xdr:to>
    <xdr:sp macro="[0]!Sec_47" textlink="">
      <xdr:nvSpPr>
        <xdr:cNvPr id="2" name="Down Arrow 44"/>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Sec_47" textlink="">
      <xdr:nvSpPr>
        <xdr:cNvPr id="3" name="Down Arrow 2"/>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7"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495298</xdr:colOff>
      <xdr:row>0</xdr:row>
      <xdr:rowOff>85725</xdr:rowOff>
    </xdr:from>
    <xdr:to>
      <xdr:col>20</xdr:col>
      <xdr:colOff>64498</xdr:colOff>
      <xdr:row>2</xdr:row>
      <xdr:rowOff>149475</xdr:rowOff>
    </xdr:to>
    <xdr:sp macro="" textlink="">
      <xdr:nvSpPr>
        <xdr:cNvPr id="8" name="AutoShape 32"/>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76200</xdr:rowOff>
        </xdr:from>
        <xdr:to>
          <xdr:col>35</xdr:col>
          <xdr:colOff>47625</xdr:colOff>
          <xdr:row>40</xdr:row>
          <xdr:rowOff>19050</xdr:rowOff>
        </xdr:to>
        <xdr:sp macro="" textlink="">
          <xdr:nvSpPr>
            <xdr:cNvPr id="97281" name="Check Box 1" hidden="1">
              <a:extLst>
                <a:ext uri="{63B3BB69-23CF-44E3-9099-C40C66FF867C}">
                  <a14:compatExt spid="_x0000_s97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161925</xdr:rowOff>
        </xdr:from>
        <xdr:to>
          <xdr:col>35</xdr:col>
          <xdr:colOff>47625</xdr:colOff>
          <xdr:row>41</xdr:row>
          <xdr:rowOff>19050</xdr:rowOff>
        </xdr:to>
        <xdr:sp macro="" textlink="">
          <xdr:nvSpPr>
            <xdr:cNvPr id="97282" name="Check Box 2" hidden="1">
              <a:extLst>
                <a:ext uri="{63B3BB69-23CF-44E3-9099-C40C66FF867C}">
                  <a14:compatExt spid="_x0000_s97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161925</xdr:rowOff>
        </xdr:from>
        <xdr:to>
          <xdr:col>35</xdr:col>
          <xdr:colOff>47625</xdr:colOff>
          <xdr:row>42</xdr:row>
          <xdr:rowOff>19050</xdr:rowOff>
        </xdr:to>
        <xdr:sp macro="" textlink="">
          <xdr:nvSpPr>
            <xdr:cNvPr id="97283" name="Check Box 3" hidden="1">
              <a:extLst>
                <a:ext uri="{63B3BB69-23CF-44E3-9099-C40C66FF867C}">
                  <a14:compatExt spid="_x0000_s97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161925</xdr:rowOff>
        </xdr:from>
        <xdr:to>
          <xdr:col>35</xdr:col>
          <xdr:colOff>47625</xdr:colOff>
          <xdr:row>43</xdr:row>
          <xdr:rowOff>19050</xdr:rowOff>
        </xdr:to>
        <xdr:sp macro="" textlink="">
          <xdr:nvSpPr>
            <xdr:cNvPr id="97284" name="Check Box 4" hidden="1">
              <a:extLst>
                <a:ext uri="{63B3BB69-23CF-44E3-9099-C40C66FF867C}">
                  <a14:compatExt spid="_x0000_s97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161925</xdr:rowOff>
        </xdr:from>
        <xdr:to>
          <xdr:col>35</xdr:col>
          <xdr:colOff>47625</xdr:colOff>
          <xdr:row>44</xdr:row>
          <xdr:rowOff>19050</xdr:rowOff>
        </xdr:to>
        <xdr:sp macro="" textlink="">
          <xdr:nvSpPr>
            <xdr:cNvPr id="97285" name="Check Box 5" hidden="1">
              <a:extLst>
                <a:ext uri="{63B3BB69-23CF-44E3-9099-C40C66FF867C}">
                  <a14:compatExt spid="_x0000_s97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161925</xdr:rowOff>
        </xdr:from>
        <xdr:to>
          <xdr:col>35</xdr:col>
          <xdr:colOff>47625</xdr:colOff>
          <xdr:row>45</xdr:row>
          <xdr:rowOff>19050</xdr:rowOff>
        </xdr:to>
        <xdr:sp macro="" textlink="">
          <xdr:nvSpPr>
            <xdr:cNvPr id="97286" name="Check Box 6" hidden="1">
              <a:extLst>
                <a:ext uri="{63B3BB69-23CF-44E3-9099-C40C66FF867C}">
                  <a14:compatExt spid="_x0000_s97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161925</xdr:rowOff>
        </xdr:from>
        <xdr:to>
          <xdr:col>35</xdr:col>
          <xdr:colOff>47625</xdr:colOff>
          <xdr:row>46</xdr:row>
          <xdr:rowOff>19050</xdr:rowOff>
        </xdr:to>
        <xdr:sp macro="" textlink="">
          <xdr:nvSpPr>
            <xdr:cNvPr id="97287" name="Check Box 7" hidden="1">
              <a:extLst>
                <a:ext uri="{63B3BB69-23CF-44E3-9099-C40C66FF867C}">
                  <a14:compatExt spid="_x0000_s97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161925</xdr:rowOff>
        </xdr:from>
        <xdr:to>
          <xdr:col>35</xdr:col>
          <xdr:colOff>47625</xdr:colOff>
          <xdr:row>47</xdr:row>
          <xdr:rowOff>19050</xdr:rowOff>
        </xdr:to>
        <xdr:sp macro="" textlink="">
          <xdr:nvSpPr>
            <xdr:cNvPr id="97288" name="Check Box 8" hidden="1">
              <a:extLst>
                <a:ext uri="{63B3BB69-23CF-44E3-9099-C40C66FF867C}">
                  <a14:compatExt spid="_x0000_s97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161925</xdr:rowOff>
        </xdr:from>
        <xdr:to>
          <xdr:col>35</xdr:col>
          <xdr:colOff>47625</xdr:colOff>
          <xdr:row>48</xdr:row>
          <xdr:rowOff>19050</xdr:rowOff>
        </xdr:to>
        <xdr:sp macro="" textlink="">
          <xdr:nvSpPr>
            <xdr:cNvPr id="97289" name="Check Box 9" hidden="1">
              <a:extLst>
                <a:ext uri="{63B3BB69-23CF-44E3-9099-C40C66FF867C}">
                  <a14:compatExt spid="_x0000_s97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161925</xdr:rowOff>
        </xdr:from>
        <xdr:to>
          <xdr:col>35</xdr:col>
          <xdr:colOff>47625</xdr:colOff>
          <xdr:row>49</xdr:row>
          <xdr:rowOff>19050</xdr:rowOff>
        </xdr:to>
        <xdr:sp macro="" textlink="">
          <xdr:nvSpPr>
            <xdr:cNvPr id="97290" name="Check Box 10" hidden="1">
              <a:extLst>
                <a:ext uri="{63B3BB69-23CF-44E3-9099-C40C66FF867C}">
                  <a14:compatExt spid="_x0000_s97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161925</xdr:rowOff>
        </xdr:from>
        <xdr:to>
          <xdr:col>35</xdr:col>
          <xdr:colOff>47625</xdr:colOff>
          <xdr:row>50</xdr:row>
          <xdr:rowOff>19050</xdr:rowOff>
        </xdr:to>
        <xdr:sp macro="" textlink="">
          <xdr:nvSpPr>
            <xdr:cNvPr id="97291" name="Check Box 11" hidden="1">
              <a:extLst>
                <a:ext uri="{63B3BB69-23CF-44E3-9099-C40C66FF867C}">
                  <a14:compatExt spid="_x0000_s97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161925</xdr:rowOff>
        </xdr:from>
        <xdr:to>
          <xdr:col>35</xdr:col>
          <xdr:colOff>47625</xdr:colOff>
          <xdr:row>51</xdr:row>
          <xdr:rowOff>19050</xdr:rowOff>
        </xdr:to>
        <xdr:sp macro="" textlink="">
          <xdr:nvSpPr>
            <xdr:cNvPr id="97292" name="Check Box 12" hidden="1">
              <a:extLst>
                <a:ext uri="{63B3BB69-23CF-44E3-9099-C40C66FF867C}">
                  <a14:compatExt spid="_x0000_s97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161925</xdr:rowOff>
        </xdr:from>
        <xdr:to>
          <xdr:col>35</xdr:col>
          <xdr:colOff>47625</xdr:colOff>
          <xdr:row>52</xdr:row>
          <xdr:rowOff>19050</xdr:rowOff>
        </xdr:to>
        <xdr:sp macro="" textlink="">
          <xdr:nvSpPr>
            <xdr:cNvPr id="97293" name="Check Box 13" hidden="1">
              <a:extLst>
                <a:ext uri="{63B3BB69-23CF-44E3-9099-C40C66FF867C}">
                  <a14:compatExt spid="_x0000_s97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161925</xdr:rowOff>
        </xdr:from>
        <xdr:to>
          <xdr:col>35</xdr:col>
          <xdr:colOff>47625</xdr:colOff>
          <xdr:row>53</xdr:row>
          <xdr:rowOff>19050</xdr:rowOff>
        </xdr:to>
        <xdr:sp macro="" textlink="">
          <xdr:nvSpPr>
            <xdr:cNvPr id="97294" name="Check Box 14" hidden="1">
              <a:extLst>
                <a:ext uri="{63B3BB69-23CF-44E3-9099-C40C66FF867C}">
                  <a14:compatExt spid="_x0000_s97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161925</xdr:rowOff>
        </xdr:from>
        <xdr:to>
          <xdr:col>35</xdr:col>
          <xdr:colOff>47625</xdr:colOff>
          <xdr:row>54</xdr:row>
          <xdr:rowOff>19050</xdr:rowOff>
        </xdr:to>
        <xdr:sp macro="" textlink="">
          <xdr:nvSpPr>
            <xdr:cNvPr id="97295" name="Check Box 15" hidden="1">
              <a:extLst>
                <a:ext uri="{63B3BB69-23CF-44E3-9099-C40C66FF867C}">
                  <a14:compatExt spid="_x0000_s97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161925</xdr:rowOff>
        </xdr:from>
        <xdr:to>
          <xdr:col>35</xdr:col>
          <xdr:colOff>47625</xdr:colOff>
          <xdr:row>55</xdr:row>
          <xdr:rowOff>19050</xdr:rowOff>
        </xdr:to>
        <xdr:sp macro="" textlink="">
          <xdr:nvSpPr>
            <xdr:cNvPr id="97296" name="Check Box 16" hidden="1">
              <a:extLst>
                <a:ext uri="{63B3BB69-23CF-44E3-9099-C40C66FF867C}">
                  <a14:compatExt spid="_x0000_s97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161925</xdr:rowOff>
        </xdr:from>
        <xdr:to>
          <xdr:col>35</xdr:col>
          <xdr:colOff>47625</xdr:colOff>
          <xdr:row>58</xdr:row>
          <xdr:rowOff>19050</xdr:rowOff>
        </xdr:to>
        <xdr:sp macro="" textlink="">
          <xdr:nvSpPr>
            <xdr:cNvPr id="97297" name="Check Box 17" hidden="1">
              <a:extLst>
                <a:ext uri="{63B3BB69-23CF-44E3-9099-C40C66FF867C}">
                  <a14:compatExt spid="_x0000_s97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161925</xdr:rowOff>
        </xdr:from>
        <xdr:to>
          <xdr:col>35</xdr:col>
          <xdr:colOff>47625</xdr:colOff>
          <xdr:row>59</xdr:row>
          <xdr:rowOff>19050</xdr:rowOff>
        </xdr:to>
        <xdr:sp macro="" textlink="">
          <xdr:nvSpPr>
            <xdr:cNvPr id="97298" name="Check Box 18" hidden="1">
              <a:extLst>
                <a:ext uri="{63B3BB69-23CF-44E3-9099-C40C66FF867C}">
                  <a14:compatExt spid="_x0000_s97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161925</xdr:rowOff>
        </xdr:from>
        <xdr:to>
          <xdr:col>35</xdr:col>
          <xdr:colOff>47625</xdr:colOff>
          <xdr:row>60</xdr:row>
          <xdr:rowOff>19050</xdr:rowOff>
        </xdr:to>
        <xdr:sp macro="" textlink="">
          <xdr:nvSpPr>
            <xdr:cNvPr id="97299" name="Check Box 19" hidden="1">
              <a:extLst>
                <a:ext uri="{63B3BB69-23CF-44E3-9099-C40C66FF867C}">
                  <a14:compatExt spid="_x0000_s97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161925</xdr:rowOff>
        </xdr:from>
        <xdr:to>
          <xdr:col>35</xdr:col>
          <xdr:colOff>47625</xdr:colOff>
          <xdr:row>61</xdr:row>
          <xdr:rowOff>19050</xdr:rowOff>
        </xdr:to>
        <xdr:sp macro="" textlink="">
          <xdr:nvSpPr>
            <xdr:cNvPr id="97300" name="Check Box 20" hidden="1">
              <a:extLst>
                <a:ext uri="{63B3BB69-23CF-44E3-9099-C40C66FF867C}">
                  <a14:compatExt spid="_x0000_s97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161925</xdr:rowOff>
        </xdr:from>
        <xdr:to>
          <xdr:col>35</xdr:col>
          <xdr:colOff>47625</xdr:colOff>
          <xdr:row>62</xdr:row>
          <xdr:rowOff>19050</xdr:rowOff>
        </xdr:to>
        <xdr:sp macro="" textlink="">
          <xdr:nvSpPr>
            <xdr:cNvPr id="97301" name="Check Box 21" hidden="1">
              <a:extLst>
                <a:ext uri="{63B3BB69-23CF-44E3-9099-C40C66FF867C}">
                  <a14:compatExt spid="_x0000_s97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54</xdr:row>
          <xdr:rowOff>161925</xdr:rowOff>
        </xdr:from>
        <xdr:to>
          <xdr:col>35</xdr:col>
          <xdr:colOff>47625</xdr:colOff>
          <xdr:row>56</xdr:row>
          <xdr:rowOff>19050</xdr:rowOff>
        </xdr:to>
        <xdr:sp macro="" textlink="">
          <xdr:nvSpPr>
            <xdr:cNvPr id="97302" name="Check Box 22" hidden="1">
              <a:extLst>
                <a:ext uri="{63B3BB69-23CF-44E3-9099-C40C66FF867C}">
                  <a14:compatExt spid="_x0000_s97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161925</xdr:rowOff>
        </xdr:from>
        <xdr:to>
          <xdr:col>35</xdr:col>
          <xdr:colOff>47625</xdr:colOff>
          <xdr:row>57</xdr:row>
          <xdr:rowOff>19050</xdr:rowOff>
        </xdr:to>
        <xdr:sp macro="" textlink="">
          <xdr:nvSpPr>
            <xdr:cNvPr id="97303" name="Check Box 23" hidden="1">
              <a:extLst>
                <a:ext uri="{63B3BB69-23CF-44E3-9099-C40C66FF867C}">
                  <a14:compatExt spid="_x0000_s97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61</xdr:row>
          <xdr:rowOff>161925</xdr:rowOff>
        </xdr:from>
        <xdr:to>
          <xdr:col>35</xdr:col>
          <xdr:colOff>47625</xdr:colOff>
          <xdr:row>63</xdr:row>
          <xdr:rowOff>19050</xdr:rowOff>
        </xdr:to>
        <xdr:sp macro="" textlink="">
          <xdr:nvSpPr>
            <xdr:cNvPr id="97304" name="Check Box 24" hidden="1">
              <a:extLst>
                <a:ext uri="{63B3BB69-23CF-44E3-9099-C40C66FF867C}">
                  <a14:compatExt spid="_x0000_s97304"/>
                </a:ext>
              </a:extLst>
            </xdr:cNvPr>
            <xdr:cNvSpPr/>
          </xdr:nvSpPr>
          <xdr:spPr>
            <a:xfrm>
              <a:off x="0" y="0"/>
              <a:ext cx="0" cy="0"/>
            </a:xfrm>
            <a:prstGeom prst="rect">
              <a:avLst/>
            </a:prstGeom>
          </xdr:spPr>
        </xdr:sp>
        <xdr:clientData/>
      </xdr:twoCellAnchor>
    </mc:Choice>
    <mc:Fallback/>
  </mc:AlternateContent>
  <xdr:oneCellAnchor>
    <xdr:from>
      <xdr:col>21</xdr:col>
      <xdr:colOff>95250</xdr:colOff>
      <xdr:row>103</xdr:row>
      <xdr:rowOff>33750</xdr:rowOff>
    </xdr:from>
    <xdr:ext cx="252000" cy="252000"/>
    <xdr:sp macro="[0]!Sec_47" textlink="">
      <xdr:nvSpPr>
        <xdr:cNvPr id="37" name="Down Arrow 44"/>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20</xdr:col>
      <xdr:colOff>0</xdr:colOff>
      <xdr:row>102</xdr:row>
      <xdr:rowOff>0</xdr:rowOff>
    </xdr:to>
    <xdr:graphicFrame macro="">
      <xdr:nvGraphicFramePr>
        <xdr:cNvPr id="38"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39"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40"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41"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76199</xdr:rowOff>
    </xdr:from>
    <xdr:to>
      <xdr:col>17</xdr:col>
      <xdr:colOff>367425</xdr:colOff>
      <xdr:row>63</xdr:row>
      <xdr:rowOff>76199</xdr:rowOff>
    </xdr:to>
    <xdr:sp macro="" textlink="">
      <xdr:nvSpPr>
        <xdr:cNvPr id="42"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21</xdr:col>
      <xdr:colOff>66675</xdr:colOff>
      <xdr:row>0</xdr:row>
      <xdr:rowOff>193416</xdr:rowOff>
    </xdr:from>
    <xdr:to>
      <xdr:col>21</xdr:col>
      <xdr:colOff>371475</xdr:colOff>
      <xdr:row>2</xdr:row>
      <xdr:rowOff>47625</xdr:rowOff>
    </xdr:to>
    <xdr:pic macro="[0]!Home">
      <xdr:nvPicPr>
        <xdr:cNvPr id="43" name="Picture 42"/>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CiN" textlink="">
      <xdr:nvSpPr>
        <xdr:cNvPr id="44" name="Right Arrow 43"/>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ICPC" textlink="">
      <xdr:nvSpPr>
        <xdr:cNvPr id="45" name="Right Arrow 50"/>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347250</xdr:colOff>
      <xdr:row>36</xdr:row>
      <xdr:rowOff>95250</xdr:rowOff>
    </xdr:to>
    <xdr:sp macro="[0]!ICPC" textlink="">
      <xdr:nvSpPr>
        <xdr:cNvPr id="2" name="Down Arrow 44"/>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ICPC" textlink="">
      <xdr:nvSpPr>
        <xdr:cNvPr id="3" name="Down Arrow 2"/>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7"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495299</xdr:colOff>
      <xdr:row>0</xdr:row>
      <xdr:rowOff>85725</xdr:rowOff>
    </xdr:from>
    <xdr:to>
      <xdr:col>20</xdr:col>
      <xdr:colOff>64499</xdr:colOff>
      <xdr:row>2</xdr:row>
      <xdr:rowOff>149475</xdr:rowOff>
    </xdr:to>
    <xdr:sp macro="" textlink="">
      <xdr:nvSpPr>
        <xdr:cNvPr id="8" name="AutoShape 32"/>
        <xdr:cNvSpPr>
          <a:spLocks noChangeArrowheads="1"/>
        </xdr:cNvSpPr>
      </xdr:nvSpPr>
      <xdr:spPr bwMode="auto">
        <a:xfrm>
          <a:off x="694372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76200</xdr:rowOff>
        </xdr:from>
        <xdr:to>
          <xdr:col>35</xdr:col>
          <xdr:colOff>47625</xdr:colOff>
          <xdr:row>40</xdr:row>
          <xdr:rowOff>19050</xdr:rowOff>
        </xdr:to>
        <xdr:sp macro="" textlink="">
          <xdr:nvSpPr>
            <xdr:cNvPr id="98305" name="Check Box 1" hidden="1">
              <a:extLst>
                <a:ext uri="{63B3BB69-23CF-44E3-9099-C40C66FF867C}">
                  <a14:compatExt spid="_x0000_s98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161925</xdr:rowOff>
        </xdr:from>
        <xdr:to>
          <xdr:col>35</xdr:col>
          <xdr:colOff>47625</xdr:colOff>
          <xdr:row>41</xdr:row>
          <xdr:rowOff>19050</xdr:rowOff>
        </xdr:to>
        <xdr:sp macro="" textlink="">
          <xdr:nvSpPr>
            <xdr:cNvPr id="98306" name="Check Box 2" hidden="1">
              <a:extLst>
                <a:ext uri="{63B3BB69-23CF-44E3-9099-C40C66FF867C}">
                  <a14:compatExt spid="_x0000_s98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161925</xdr:rowOff>
        </xdr:from>
        <xdr:to>
          <xdr:col>35</xdr:col>
          <xdr:colOff>47625</xdr:colOff>
          <xdr:row>42</xdr:row>
          <xdr:rowOff>19050</xdr:rowOff>
        </xdr:to>
        <xdr:sp macro="" textlink="">
          <xdr:nvSpPr>
            <xdr:cNvPr id="98307" name="Check Box 3" hidden="1">
              <a:extLst>
                <a:ext uri="{63B3BB69-23CF-44E3-9099-C40C66FF867C}">
                  <a14:compatExt spid="_x0000_s98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161925</xdr:rowOff>
        </xdr:from>
        <xdr:to>
          <xdr:col>35</xdr:col>
          <xdr:colOff>47625</xdr:colOff>
          <xdr:row>43</xdr:row>
          <xdr:rowOff>19050</xdr:rowOff>
        </xdr:to>
        <xdr:sp macro="" textlink="">
          <xdr:nvSpPr>
            <xdr:cNvPr id="98308" name="Check Box 4" hidden="1">
              <a:extLst>
                <a:ext uri="{63B3BB69-23CF-44E3-9099-C40C66FF867C}">
                  <a14:compatExt spid="_x0000_s98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161925</xdr:rowOff>
        </xdr:from>
        <xdr:to>
          <xdr:col>35</xdr:col>
          <xdr:colOff>47625</xdr:colOff>
          <xdr:row>44</xdr:row>
          <xdr:rowOff>19050</xdr:rowOff>
        </xdr:to>
        <xdr:sp macro="" textlink="">
          <xdr:nvSpPr>
            <xdr:cNvPr id="98309" name="Check Box 5" hidden="1">
              <a:extLst>
                <a:ext uri="{63B3BB69-23CF-44E3-9099-C40C66FF867C}">
                  <a14:compatExt spid="_x0000_s98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161925</xdr:rowOff>
        </xdr:from>
        <xdr:to>
          <xdr:col>35</xdr:col>
          <xdr:colOff>47625</xdr:colOff>
          <xdr:row>45</xdr:row>
          <xdr:rowOff>19050</xdr:rowOff>
        </xdr:to>
        <xdr:sp macro="" textlink="">
          <xdr:nvSpPr>
            <xdr:cNvPr id="98310" name="Check Box 6" hidden="1">
              <a:extLst>
                <a:ext uri="{63B3BB69-23CF-44E3-9099-C40C66FF867C}">
                  <a14:compatExt spid="_x0000_s98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161925</xdr:rowOff>
        </xdr:from>
        <xdr:to>
          <xdr:col>35</xdr:col>
          <xdr:colOff>47625</xdr:colOff>
          <xdr:row>46</xdr:row>
          <xdr:rowOff>19050</xdr:rowOff>
        </xdr:to>
        <xdr:sp macro="" textlink="">
          <xdr:nvSpPr>
            <xdr:cNvPr id="98311" name="Check Box 7" hidden="1">
              <a:extLst>
                <a:ext uri="{63B3BB69-23CF-44E3-9099-C40C66FF867C}">
                  <a14:compatExt spid="_x0000_s98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161925</xdr:rowOff>
        </xdr:from>
        <xdr:to>
          <xdr:col>35</xdr:col>
          <xdr:colOff>47625</xdr:colOff>
          <xdr:row>47</xdr:row>
          <xdr:rowOff>19050</xdr:rowOff>
        </xdr:to>
        <xdr:sp macro="" textlink="">
          <xdr:nvSpPr>
            <xdr:cNvPr id="98312" name="Check Box 8" hidden="1">
              <a:extLst>
                <a:ext uri="{63B3BB69-23CF-44E3-9099-C40C66FF867C}">
                  <a14:compatExt spid="_x0000_s98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161925</xdr:rowOff>
        </xdr:from>
        <xdr:to>
          <xdr:col>35</xdr:col>
          <xdr:colOff>47625</xdr:colOff>
          <xdr:row>48</xdr:row>
          <xdr:rowOff>19050</xdr:rowOff>
        </xdr:to>
        <xdr:sp macro="" textlink="">
          <xdr:nvSpPr>
            <xdr:cNvPr id="98313" name="Check Box 9" hidden="1">
              <a:extLst>
                <a:ext uri="{63B3BB69-23CF-44E3-9099-C40C66FF867C}">
                  <a14:compatExt spid="_x0000_s98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161925</xdr:rowOff>
        </xdr:from>
        <xdr:to>
          <xdr:col>35</xdr:col>
          <xdr:colOff>47625</xdr:colOff>
          <xdr:row>49</xdr:row>
          <xdr:rowOff>19050</xdr:rowOff>
        </xdr:to>
        <xdr:sp macro="" textlink="">
          <xdr:nvSpPr>
            <xdr:cNvPr id="98314" name="Check Box 10" hidden="1">
              <a:extLst>
                <a:ext uri="{63B3BB69-23CF-44E3-9099-C40C66FF867C}">
                  <a14:compatExt spid="_x0000_s98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161925</xdr:rowOff>
        </xdr:from>
        <xdr:to>
          <xdr:col>35</xdr:col>
          <xdr:colOff>47625</xdr:colOff>
          <xdr:row>50</xdr:row>
          <xdr:rowOff>19050</xdr:rowOff>
        </xdr:to>
        <xdr:sp macro="" textlink="">
          <xdr:nvSpPr>
            <xdr:cNvPr id="98315" name="Check Box 11" hidden="1">
              <a:extLst>
                <a:ext uri="{63B3BB69-23CF-44E3-9099-C40C66FF867C}">
                  <a14:compatExt spid="_x0000_s98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161925</xdr:rowOff>
        </xdr:from>
        <xdr:to>
          <xdr:col>35</xdr:col>
          <xdr:colOff>47625</xdr:colOff>
          <xdr:row>51</xdr:row>
          <xdr:rowOff>19050</xdr:rowOff>
        </xdr:to>
        <xdr:sp macro="" textlink="">
          <xdr:nvSpPr>
            <xdr:cNvPr id="98316" name="Check Box 12" hidden="1">
              <a:extLst>
                <a:ext uri="{63B3BB69-23CF-44E3-9099-C40C66FF867C}">
                  <a14:compatExt spid="_x0000_s98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161925</xdr:rowOff>
        </xdr:from>
        <xdr:to>
          <xdr:col>35</xdr:col>
          <xdr:colOff>47625</xdr:colOff>
          <xdr:row>52</xdr:row>
          <xdr:rowOff>19050</xdr:rowOff>
        </xdr:to>
        <xdr:sp macro="" textlink="">
          <xdr:nvSpPr>
            <xdr:cNvPr id="98317" name="Check Box 13" hidden="1">
              <a:extLst>
                <a:ext uri="{63B3BB69-23CF-44E3-9099-C40C66FF867C}">
                  <a14:compatExt spid="_x0000_s98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161925</xdr:rowOff>
        </xdr:from>
        <xdr:to>
          <xdr:col>35</xdr:col>
          <xdr:colOff>47625</xdr:colOff>
          <xdr:row>53</xdr:row>
          <xdr:rowOff>19050</xdr:rowOff>
        </xdr:to>
        <xdr:sp macro="" textlink="">
          <xdr:nvSpPr>
            <xdr:cNvPr id="98318" name="Check Box 14" hidden="1">
              <a:extLst>
                <a:ext uri="{63B3BB69-23CF-44E3-9099-C40C66FF867C}">
                  <a14:compatExt spid="_x0000_s98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161925</xdr:rowOff>
        </xdr:from>
        <xdr:to>
          <xdr:col>35</xdr:col>
          <xdr:colOff>47625</xdr:colOff>
          <xdr:row>54</xdr:row>
          <xdr:rowOff>19050</xdr:rowOff>
        </xdr:to>
        <xdr:sp macro="" textlink="">
          <xdr:nvSpPr>
            <xdr:cNvPr id="98319" name="Check Box 15" hidden="1">
              <a:extLst>
                <a:ext uri="{63B3BB69-23CF-44E3-9099-C40C66FF867C}">
                  <a14:compatExt spid="_x0000_s98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161925</xdr:rowOff>
        </xdr:from>
        <xdr:to>
          <xdr:col>35</xdr:col>
          <xdr:colOff>47625</xdr:colOff>
          <xdr:row>55</xdr:row>
          <xdr:rowOff>19050</xdr:rowOff>
        </xdr:to>
        <xdr:sp macro="" textlink="">
          <xdr:nvSpPr>
            <xdr:cNvPr id="98320" name="Check Box 16" hidden="1">
              <a:extLst>
                <a:ext uri="{63B3BB69-23CF-44E3-9099-C40C66FF867C}">
                  <a14:compatExt spid="_x0000_s98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161925</xdr:rowOff>
        </xdr:from>
        <xdr:to>
          <xdr:col>35</xdr:col>
          <xdr:colOff>47625</xdr:colOff>
          <xdr:row>58</xdr:row>
          <xdr:rowOff>19050</xdr:rowOff>
        </xdr:to>
        <xdr:sp macro="" textlink="">
          <xdr:nvSpPr>
            <xdr:cNvPr id="98321" name="Check Box 17" hidden="1">
              <a:extLst>
                <a:ext uri="{63B3BB69-23CF-44E3-9099-C40C66FF867C}">
                  <a14:compatExt spid="_x0000_s98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161925</xdr:rowOff>
        </xdr:from>
        <xdr:to>
          <xdr:col>35</xdr:col>
          <xdr:colOff>47625</xdr:colOff>
          <xdr:row>59</xdr:row>
          <xdr:rowOff>19050</xdr:rowOff>
        </xdr:to>
        <xdr:sp macro="" textlink="">
          <xdr:nvSpPr>
            <xdr:cNvPr id="98322" name="Check Box 18" hidden="1">
              <a:extLst>
                <a:ext uri="{63B3BB69-23CF-44E3-9099-C40C66FF867C}">
                  <a14:compatExt spid="_x0000_s98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161925</xdr:rowOff>
        </xdr:from>
        <xdr:to>
          <xdr:col>35</xdr:col>
          <xdr:colOff>47625</xdr:colOff>
          <xdr:row>60</xdr:row>
          <xdr:rowOff>19050</xdr:rowOff>
        </xdr:to>
        <xdr:sp macro="" textlink="">
          <xdr:nvSpPr>
            <xdr:cNvPr id="98323" name="Check Box 19" hidden="1">
              <a:extLst>
                <a:ext uri="{63B3BB69-23CF-44E3-9099-C40C66FF867C}">
                  <a14:compatExt spid="_x0000_s98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161925</xdr:rowOff>
        </xdr:from>
        <xdr:to>
          <xdr:col>35</xdr:col>
          <xdr:colOff>47625</xdr:colOff>
          <xdr:row>61</xdr:row>
          <xdr:rowOff>19050</xdr:rowOff>
        </xdr:to>
        <xdr:sp macro="" textlink="">
          <xdr:nvSpPr>
            <xdr:cNvPr id="98324" name="Check Box 20" hidden="1">
              <a:extLst>
                <a:ext uri="{63B3BB69-23CF-44E3-9099-C40C66FF867C}">
                  <a14:compatExt spid="_x0000_s98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161925</xdr:rowOff>
        </xdr:from>
        <xdr:to>
          <xdr:col>35</xdr:col>
          <xdr:colOff>47625</xdr:colOff>
          <xdr:row>62</xdr:row>
          <xdr:rowOff>19050</xdr:rowOff>
        </xdr:to>
        <xdr:sp macro="" textlink="">
          <xdr:nvSpPr>
            <xdr:cNvPr id="98325" name="Check Box 21" hidden="1">
              <a:extLst>
                <a:ext uri="{63B3BB69-23CF-44E3-9099-C40C66FF867C}">
                  <a14:compatExt spid="_x0000_s98325"/>
                </a:ext>
              </a:extLst>
            </xdr:cNvPr>
            <xdr:cNvSpPr/>
          </xdr:nvSpPr>
          <xdr:spPr>
            <a:xfrm>
              <a:off x="0" y="0"/>
              <a:ext cx="0" cy="0"/>
            </a:xfrm>
            <a:prstGeom prst="rect">
              <a:avLst/>
            </a:prstGeom>
          </xdr:spPr>
        </xdr:sp>
        <xdr:clientData/>
      </xdr:twoCellAnchor>
    </mc:Choice>
    <mc:Fallback/>
  </mc:AlternateContent>
  <xdr:oneCellAnchor>
    <xdr:from>
      <xdr:col>21</xdr:col>
      <xdr:colOff>95250</xdr:colOff>
      <xdr:row>173</xdr:row>
      <xdr:rowOff>33750</xdr:rowOff>
    </xdr:from>
    <xdr:ext cx="252000" cy="252000"/>
    <xdr:sp macro="[0]!ICPC" textlink="">
      <xdr:nvSpPr>
        <xdr:cNvPr id="31" name="Down Arrow 44"/>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169</xdr:row>
      <xdr:rowOff>0</xdr:rowOff>
    </xdr:from>
    <xdr:to>
      <xdr:col>8</xdr:col>
      <xdr:colOff>0</xdr:colOff>
      <xdr:row>172</xdr:row>
      <xdr:rowOff>0</xdr:rowOff>
    </xdr:to>
    <xdr:graphicFrame macro="">
      <xdr:nvGraphicFramePr>
        <xdr:cNvPr id="32"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54</xdr:row>
          <xdr:rowOff>161925</xdr:rowOff>
        </xdr:from>
        <xdr:to>
          <xdr:col>35</xdr:col>
          <xdr:colOff>47625</xdr:colOff>
          <xdr:row>56</xdr:row>
          <xdr:rowOff>19050</xdr:rowOff>
        </xdr:to>
        <xdr:sp macro="" textlink="">
          <xdr:nvSpPr>
            <xdr:cNvPr id="98326" name="Check Box 22" hidden="1">
              <a:extLst>
                <a:ext uri="{63B3BB69-23CF-44E3-9099-C40C66FF867C}">
                  <a14:compatExt spid="_x0000_s98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161925</xdr:rowOff>
        </xdr:from>
        <xdr:to>
          <xdr:col>35</xdr:col>
          <xdr:colOff>47625</xdr:colOff>
          <xdr:row>57</xdr:row>
          <xdr:rowOff>19050</xdr:rowOff>
        </xdr:to>
        <xdr:sp macro="" textlink="">
          <xdr:nvSpPr>
            <xdr:cNvPr id="98327" name="Check Box 23" hidden="1">
              <a:extLst>
                <a:ext uri="{63B3BB69-23CF-44E3-9099-C40C66FF867C}">
                  <a14:compatExt spid="_x0000_s98327"/>
                </a:ext>
              </a:extLst>
            </xdr:cNvPr>
            <xdr:cNvSpPr/>
          </xdr:nvSpPr>
          <xdr:spPr>
            <a:xfrm>
              <a:off x="0" y="0"/>
              <a:ext cx="0" cy="0"/>
            </a:xfrm>
            <a:prstGeom prst="rect">
              <a:avLst/>
            </a:prstGeom>
          </xdr:spPr>
        </xdr:sp>
        <xdr:clientData/>
      </xdr:twoCellAnchor>
    </mc:Choice>
    <mc:Fallback/>
  </mc:AlternateContent>
  <xdr:twoCellAnchor>
    <xdr:from>
      <xdr:col>8</xdr:col>
      <xdr:colOff>514349</xdr:colOff>
      <xdr:row>141</xdr:row>
      <xdr:rowOff>95250</xdr:rowOff>
    </xdr:from>
    <xdr:to>
      <xdr:col>19</xdr:col>
      <xdr:colOff>514349</xdr:colOff>
      <xdr:row>171</xdr:row>
      <xdr:rowOff>533399</xdr:rowOff>
    </xdr:to>
    <xdr:graphicFrame macro="">
      <xdr:nvGraphicFramePr>
        <xdr:cNvPr id="3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61</xdr:row>
          <xdr:rowOff>161925</xdr:rowOff>
        </xdr:from>
        <xdr:to>
          <xdr:col>35</xdr:col>
          <xdr:colOff>47625</xdr:colOff>
          <xdr:row>63</xdr:row>
          <xdr:rowOff>19050</xdr:rowOff>
        </xdr:to>
        <xdr:sp macro="" textlink="">
          <xdr:nvSpPr>
            <xdr:cNvPr id="98328" name="Check Box 24" hidden="1">
              <a:extLst>
                <a:ext uri="{63B3BB69-23CF-44E3-9099-C40C66FF867C}">
                  <a14:compatExt spid="_x0000_s98328"/>
                </a:ext>
              </a:extLst>
            </xdr:cNvPr>
            <xdr:cNvSpPr/>
          </xdr:nvSpPr>
          <xdr:spPr>
            <a:xfrm>
              <a:off x="0" y="0"/>
              <a:ext cx="0" cy="0"/>
            </a:xfrm>
            <a:prstGeom prst="rect">
              <a:avLst/>
            </a:prstGeom>
          </xdr:spPr>
        </xdr:sp>
        <xdr:clientData/>
      </xdr:twoCellAnchor>
    </mc:Choice>
    <mc:Fallback/>
  </mc:AlternateContent>
  <xdr:oneCellAnchor>
    <xdr:from>
      <xdr:col>21</xdr:col>
      <xdr:colOff>95250</xdr:colOff>
      <xdr:row>103</xdr:row>
      <xdr:rowOff>33750</xdr:rowOff>
    </xdr:from>
    <xdr:ext cx="252000" cy="252000"/>
    <xdr:sp macro="[0]!ICPC" textlink="">
      <xdr:nvSpPr>
        <xdr:cNvPr id="37" name="Down Arrow 44"/>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20</xdr:col>
      <xdr:colOff>0</xdr:colOff>
      <xdr:row>102</xdr:row>
      <xdr:rowOff>0</xdr:rowOff>
    </xdr:to>
    <xdr:graphicFrame macro="">
      <xdr:nvGraphicFramePr>
        <xdr:cNvPr id="38"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39"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40"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41"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oneCellAnchor>
    <xdr:from>
      <xdr:col>21</xdr:col>
      <xdr:colOff>95250</xdr:colOff>
      <xdr:row>138</xdr:row>
      <xdr:rowOff>33750</xdr:rowOff>
    </xdr:from>
    <xdr:ext cx="252000" cy="252000"/>
    <xdr:sp macro="[0]!ICPC" textlink="">
      <xdr:nvSpPr>
        <xdr:cNvPr id="42" name="Down Arrow 44"/>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4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514349</xdr:colOff>
      <xdr:row>106</xdr:row>
      <xdr:rowOff>95250</xdr:rowOff>
    </xdr:from>
    <xdr:to>
      <xdr:col>19</xdr:col>
      <xdr:colOff>514349</xdr:colOff>
      <xdr:row>136</xdr:row>
      <xdr:rowOff>533399</xdr:rowOff>
    </xdr:to>
    <xdr:graphicFrame macro="">
      <xdr:nvGraphicFramePr>
        <xdr:cNvPr id="4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16</xdr:col>
      <xdr:colOff>66675</xdr:colOff>
      <xdr:row>63</xdr:row>
      <xdr:rowOff>76199</xdr:rowOff>
    </xdr:from>
    <xdr:to>
      <xdr:col>17</xdr:col>
      <xdr:colOff>367425</xdr:colOff>
      <xdr:row>63</xdr:row>
      <xdr:rowOff>76199</xdr:rowOff>
    </xdr:to>
    <xdr:sp macro="" textlink="">
      <xdr:nvSpPr>
        <xdr:cNvPr id="45"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21</xdr:col>
      <xdr:colOff>66675</xdr:colOff>
      <xdr:row>0</xdr:row>
      <xdr:rowOff>193416</xdr:rowOff>
    </xdr:from>
    <xdr:to>
      <xdr:col>21</xdr:col>
      <xdr:colOff>371475</xdr:colOff>
      <xdr:row>2</xdr:row>
      <xdr:rowOff>47625</xdr:rowOff>
    </xdr:to>
    <xdr:pic macro="[0]!Home">
      <xdr:nvPicPr>
        <xdr:cNvPr id="46" name="Picture 45"/>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Sec_47" textlink="">
      <xdr:nvSpPr>
        <xdr:cNvPr id="47" name="Right Arrow 46"/>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CPP" textlink="">
      <xdr:nvSpPr>
        <xdr:cNvPr id="48" name="Right Arrow 50"/>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347250</xdr:colOff>
      <xdr:row>36</xdr:row>
      <xdr:rowOff>95250</xdr:rowOff>
    </xdr:to>
    <xdr:sp macro="[0]!CPP" textlink="">
      <xdr:nvSpPr>
        <xdr:cNvPr id="2" name="Down Arrow 44"/>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CPP" textlink="">
      <xdr:nvSpPr>
        <xdr:cNvPr id="3" name="Down Arrow 2"/>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7"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495298</xdr:colOff>
      <xdr:row>0</xdr:row>
      <xdr:rowOff>85725</xdr:rowOff>
    </xdr:from>
    <xdr:to>
      <xdr:col>20</xdr:col>
      <xdr:colOff>64498</xdr:colOff>
      <xdr:row>2</xdr:row>
      <xdr:rowOff>149475</xdr:rowOff>
    </xdr:to>
    <xdr:sp macro="" textlink="">
      <xdr:nvSpPr>
        <xdr:cNvPr id="8" name="AutoShape 32"/>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85725</xdr:rowOff>
        </xdr:from>
        <xdr:to>
          <xdr:col>35</xdr:col>
          <xdr:colOff>47625</xdr:colOff>
          <xdr:row>40</xdr:row>
          <xdr:rowOff>28575</xdr:rowOff>
        </xdr:to>
        <xdr:sp macro="" textlink="">
          <xdr:nvSpPr>
            <xdr:cNvPr id="99329" name="Check Box 1" hidden="1">
              <a:extLst>
                <a:ext uri="{63B3BB69-23CF-44E3-9099-C40C66FF867C}">
                  <a14:compatExt spid="_x0000_s99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171450</xdr:rowOff>
        </xdr:from>
        <xdr:to>
          <xdr:col>35</xdr:col>
          <xdr:colOff>47625</xdr:colOff>
          <xdr:row>41</xdr:row>
          <xdr:rowOff>28575</xdr:rowOff>
        </xdr:to>
        <xdr:sp macro="" textlink="">
          <xdr:nvSpPr>
            <xdr:cNvPr id="99330" name="Check Box 2" hidden="1">
              <a:extLst>
                <a:ext uri="{63B3BB69-23CF-44E3-9099-C40C66FF867C}">
                  <a14:compatExt spid="_x0000_s99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171450</xdr:rowOff>
        </xdr:from>
        <xdr:to>
          <xdr:col>35</xdr:col>
          <xdr:colOff>47625</xdr:colOff>
          <xdr:row>42</xdr:row>
          <xdr:rowOff>28575</xdr:rowOff>
        </xdr:to>
        <xdr:sp macro="" textlink="">
          <xdr:nvSpPr>
            <xdr:cNvPr id="99331" name="Check Box 3" hidden="1">
              <a:extLst>
                <a:ext uri="{63B3BB69-23CF-44E3-9099-C40C66FF867C}">
                  <a14:compatExt spid="_x0000_s99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171450</xdr:rowOff>
        </xdr:from>
        <xdr:to>
          <xdr:col>35</xdr:col>
          <xdr:colOff>47625</xdr:colOff>
          <xdr:row>43</xdr:row>
          <xdr:rowOff>28575</xdr:rowOff>
        </xdr:to>
        <xdr:sp macro="" textlink="">
          <xdr:nvSpPr>
            <xdr:cNvPr id="99332" name="Check Box 4" hidden="1">
              <a:extLst>
                <a:ext uri="{63B3BB69-23CF-44E3-9099-C40C66FF867C}">
                  <a14:compatExt spid="_x0000_s99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171450</xdr:rowOff>
        </xdr:from>
        <xdr:to>
          <xdr:col>35</xdr:col>
          <xdr:colOff>47625</xdr:colOff>
          <xdr:row>44</xdr:row>
          <xdr:rowOff>28575</xdr:rowOff>
        </xdr:to>
        <xdr:sp macro="" textlink="">
          <xdr:nvSpPr>
            <xdr:cNvPr id="99333" name="Check Box 5" hidden="1">
              <a:extLst>
                <a:ext uri="{63B3BB69-23CF-44E3-9099-C40C66FF867C}">
                  <a14:compatExt spid="_x0000_s99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171450</xdr:rowOff>
        </xdr:from>
        <xdr:to>
          <xdr:col>35</xdr:col>
          <xdr:colOff>47625</xdr:colOff>
          <xdr:row>45</xdr:row>
          <xdr:rowOff>28575</xdr:rowOff>
        </xdr:to>
        <xdr:sp macro="" textlink="">
          <xdr:nvSpPr>
            <xdr:cNvPr id="99334" name="Check Box 6" hidden="1">
              <a:extLst>
                <a:ext uri="{63B3BB69-23CF-44E3-9099-C40C66FF867C}">
                  <a14:compatExt spid="_x0000_s99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171450</xdr:rowOff>
        </xdr:from>
        <xdr:to>
          <xdr:col>35</xdr:col>
          <xdr:colOff>47625</xdr:colOff>
          <xdr:row>46</xdr:row>
          <xdr:rowOff>28575</xdr:rowOff>
        </xdr:to>
        <xdr:sp macro="" textlink="">
          <xdr:nvSpPr>
            <xdr:cNvPr id="99335" name="Check Box 7" hidden="1">
              <a:extLst>
                <a:ext uri="{63B3BB69-23CF-44E3-9099-C40C66FF867C}">
                  <a14:compatExt spid="_x0000_s99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171450</xdr:rowOff>
        </xdr:from>
        <xdr:to>
          <xdr:col>35</xdr:col>
          <xdr:colOff>47625</xdr:colOff>
          <xdr:row>47</xdr:row>
          <xdr:rowOff>28575</xdr:rowOff>
        </xdr:to>
        <xdr:sp macro="" textlink="">
          <xdr:nvSpPr>
            <xdr:cNvPr id="99336" name="Check Box 8" hidden="1">
              <a:extLst>
                <a:ext uri="{63B3BB69-23CF-44E3-9099-C40C66FF867C}">
                  <a14:compatExt spid="_x0000_s99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171450</xdr:rowOff>
        </xdr:from>
        <xdr:to>
          <xdr:col>35</xdr:col>
          <xdr:colOff>47625</xdr:colOff>
          <xdr:row>48</xdr:row>
          <xdr:rowOff>28575</xdr:rowOff>
        </xdr:to>
        <xdr:sp macro="" textlink="">
          <xdr:nvSpPr>
            <xdr:cNvPr id="99337" name="Check Box 9" hidden="1">
              <a:extLst>
                <a:ext uri="{63B3BB69-23CF-44E3-9099-C40C66FF867C}">
                  <a14:compatExt spid="_x0000_s99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171450</xdr:rowOff>
        </xdr:from>
        <xdr:to>
          <xdr:col>35</xdr:col>
          <xdr:colOff>47625</xdr:colOff>
          <xdr:row>49</xdr:row>
          <xdr:rowOff>28575</xdr:rowOff>
        </xdr:to>
        <xdr:sp macro="" textlink="">
          <xdr:nvSpPr>
            <xdr:cNvPr id="99338" name="Check Box 10" hidden="1">
              <a:extLst>
                <a:ext uri="{63B3BB69-23CF-44E3-9099-C40C66FF867C}">
                  <a14:compatExt spid="_x0000_s99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171450</xdr:rowOff>
        </xdr:from>
        <xdr:to>
          <xdr:col>35</xdr:col>
          <xdr:colOff>47625</xdr:colOff>
          <xdr:row>50</xdr:row>
          <xdr:rowOff>28575</xdr:rowOff>
        </xdr:to>
        <xdr:sp macro="" textlink="">
          <xdr:nvSpPr>
            <xdr:cNvPr id="99339" name="Check Box 11" hidden="1">
              <a:extLst>
                <a:ext uri="{63B3BB69-23CF-44E3-9099-C40C66FF867C}">
                  <a14:compatExt spid="_x0000_s99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171450</xdr:rowOff>
        </xdr:from>
        <xdr:to>
          <xdr:col>35</xdr:col>
          <xdr:colOff>47625</xdr:colOff>
          <xdr:row>51</xdr:row>
          <xdr:rowOff>28575</xdr:rowOff>
        </xdr:to>
        <xdr:sp macro="" textlink="">
          <xdr:nvSpPr>
            <xdr:cNvPr id="99340" name="Check Box 12" hidden="1">
              <a:extLst>
                <a:ext uri="{63B3BB69-23CF-44E3-9099-C40C66FF867C}">
                  <a14:compatExt spid="_x0000_s99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171450</xdr:rowOff>
        </xdr:from>
        <xdr:to>
          <xdr:col>35</xdr:col>
          <xdr:colOff>47625</xdr:colOff>
          <xdr:row>52</xdr:row>
          <xdr:rowOff>28575</xdr:rowOff>
        </xdr:to>
        <xdr:sp macro="" textlink="">
          <xdr:nvSpPr>
            <xdr:cNvPr id="99341" name="Check Box 13" hidden="1">
              <a:extLst>
                <a:ext uri="{63B3BB69-23CF-44E3-9099-C40C66FF867C}">
                  <a14:compatExt spid="_x0000_s99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171450</xdr:rowOff>
        </xdr:from>
        <xdr:to>
          <xdr:col>35</xdr:col>
          <xdr:colOff>47625</xdr:colOff>
          <xdr:row>53</xdr:row>
          <xdr:rowOff>28575</xdr:rowOff>
        </xdr:to>
        <xdr:sp macro="" textlink="">
          <xdr:nvSpPr>
            <xdr:cNvPr id="99342" name="Check Box 14" hidden="1">
              <a:extLst>
                <a:ext uri="{63B3BB69-23CF-44E3-9099-C40C66FF867C}">
                  <a14:compatExt spid="_x0000_s99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171450</xdr:rowOff>
        </xdr:from>
        <xdr:to>
          <xdr:col>35</xdr:col>
          <xdr:colOff>47625</xdr:colOff>
          <xdr:row>54</xdr:row>
          <xdr:rowOff>28575</xdr:rowOff>
        </xdr:to>
        <xdr:sp macro="" textlink="">
          <xdr:nvSpPr>
            <xdr:cNvPr id="99343" name="Check Box 15" hidden="1">
              <a:extLst>
                <a:ext uri="{63B3BB69-23CF-44E3-9099-C40C66FF867C}">
                  <a14:compatExt spid="_x0000_s99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171450</xdr:rowOff>
        </xdr:from>
        <xdr:to>
          <xdr:col>35</xdr:col>
          <xdr:colOff>47625</xdr:colOff>
          <xdr:row>55</xdr:row>
          <xdr:rowOff>28575</xdr:rowOff>
        </xdr:to>
        <xdr:sp macro="" textlink="">
          <xdr:nvSpPr>
            <xdr:cNvPr id="99344" name="Check Box 16" hidden="1">
              <a:extLst>
                <a:ext uri="{63B3BB69-23CF-44E3-9099-C40C66FF867C}">
                  <a14:compatExt spid="_x0000_s99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171450</xdr:rowOff>
        </xdr:from>
        <xdr:to>
          <xdr:col>35</xdr:col>
          <xdr:colOff>47625</xdr:colOff>
          <xdr:row>58</xdr:row>
          <xdr:rowOff>28575</xdr:rowOff>
        </xdr:to>
        <xdr:sp macro="" textlink="">
          <xdr:nvSpPr>
            <xdr:cNvPr id="99345" name="Check Box 17" hidden="1">
              <a:extLst>
                <a:ext uri="{63B3BB69-23CF-44E3-9099-C40C66FF867C}">
                  <a14:compatExt spid="_x0000_s99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171450</xdr:rowOff>
        </xdr:from>
        <xdr:to>
          <xdr:col>35</xdr:col>
          <xdr:colOff>47625</xdr:colOff>
          <xdr:row>59</xdr:row>
          <xdr:rowOff>28575</xdr:rowOff>
        </xdr:to>
        <xdr:sp macro="" textlink="">
          <xdr:nvSpPr>
            <xdr:cNvPr id="99346" name="Check Box 18" hidden="1">
              <a:extLst>
                <a:ext uri="{63B3BB69-23CF-44E3-9099-C40C66FF867C}">
                  <a14:compatExt spid="_x0000_s99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171450</xdr:rowOff>
        </xdr:from>
        <xdr:to>
          <xdr:col>35</xdr:col>
          <xdr:colOff>47625</xdr:colOff>
          <xdr:row>60</xdr:row>
          <xdr:rowOff>28575</xdr:rowOff>
        </xdr:to>
        <xdr:sp macro="" textlink="">
          <xdr:nvSpPr>
            <xdr:cNvPr id="99347" name="Check Box 19" hidden="1">
              <a:extLst>
                <a:ext uri="{63B3BB69-23CF-44E3-9099-C40C66FF867C}">
                  <a14:compatExt spid="_x0000_s99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171450</xdr:rowOff>
        </xdr:from>
        <xdr:to>
          <xdr:col>35</xdr:col>
          <xdr:colOff>47625</xdr:colOff>
          <xdr:row>61</xdr:row>
          <xdr:rowOff>28575</xdr:rowOff>
        </xdr:to>
        <xdr:sp macro="" textlink="">
          <xdr:nvSpPr>
            <xdr:cNvPr id="99348" name="Check Box 20" hidden="1">
              <a:extLst>
                <a:ext uri="{63B3BB69-23CF-44E3-9099-C40C66FF867C}">
                  <a14:compatExt spid="_x0000_s99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171450</xdr:rowOff>
        </xdr:from>
        <xdr:to>
          <xdr:col>35</xdr:col>
          <xdr:colOff>47625</xdr:colOff>
          <xdr:row>62</xdr:row>
          <xdr:rowOff>28575</xdr:rowOff>
        </xdr:to>
        <xdr:sp macro="" textlink="">
          <xdr:nvSpPr>
            <xdr:cNvPr id="99349" name="Check Box 21" hidden="1">
              <a:extLst>
                <a:ext uri="{63B3BB69-23CF-44E3-9099-C40C66FF867C}">
                  <a14:compatExt spid="_x0000_s99349"/>
                </a:ext>
              </a:extLst>
            </xdr:cNvPr>
            <xdr:cNvSpPr/>
          </xdr:nvSpPr>
          <xdr:spPr>
            <a:xfrm>
              <a:off x="0" y="0"/>
              <a:ext cx="0" cy="0"/>
            </a:xfrm>
            <a:prstGeom prst="rect">
              <a:avLst/>
            </a:prstGeom>
          </xdr:spPr>
        </xdr:sp>
        <xdr:clientData/>
      </xdr:twoCellAnchor>
    </mc:Choice>
    <mc:Fallback/>
  </mc:AlternateContent>
  <xdr:oneCellAnchor>
    <xdr:from>
      <xdr:col>21</xdr:col>
      <xdr:colOff>95250</xdr:colOff>
      <xdr:row>173</xdr:row>
      <xdr:rowOff>33750</xdr:rowOff>
    </xdr:from>
    <xdr:ext cx="252000" cy="252000"/>
    <xdr:sp macro="[0]!CPP" textlink="">
      <xdr:nvSpPr>
        <xdr:cNvPr id="31" name="Down Arrow 44"/>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169</xdr:row>
      <xdr:rowOff>0</xdr:rowOff>
    </xdr:from>
    <xdr:to>
      <xdr:col>8</xdr:col>
      <xdr:colOff>0</xdr:colOff>
      <xdr:row>172</xdr:row>
      <xdr:rowOff>0</xdr:rowOff>
    </xdr:to>
    <xdr:graphicFrame macro="">
      <xdr:nvGraphicFramePr>
        <xdr:cNvPr id="32"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54</xdr:row>
          <xdr:rowOff>171450</xdr:rowOff>
        </xdr:from>
        <xdr:to>
          <xdr:col>35</xdr:col>
          <xdr:colOff>47625</xdr:colOff>
          <xdr:row>56</xdr:row>
          <xdr:rowOff>28575</xdr:rowOff>
        </xdr:to>
        <xdr:sp macro="" textlink="">
          <xdr:nvSpPr>
            <xdr:cNvPr id="99350" name="Check Box 22" hidden="1">
              <a:extLst>
                <a:ext uri="{63B3BB69-23CF-44E3-9099-C40C66FF867C}">
                  <a14:compatExt spid="_x0000_s99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171450</xdr:rowOff>
        </xdr:from>
        <xdr:to>
          <xdr:col>35</xdr:col>
          <xdr:colOff>47625</xdr:colOff>
          <xdr:row>57</xdr:row>
          <xdr:rowOff>28575</xdr:rowOff>
        </xdr:to>
        <xdr:sp macro="" textlink="">
          <xdr:nvSpPr>
            <xdr:cNvPr id="99351" name="Check Box 23" hidden="1">
              <a:extLst>
                <a:ext uri="{63B3BB69-23CF-44E3-9099-C40C66FF867C}">
                  <a14:compatExt spid="_x0000_s99351"/>
                </a:ext>
              </a:extLst>
            </xdr:cNvPr>
            <xdr:cNvSpPr/>
          </xdr:nvSpPr>
          <xdr:spPr>
            <a:xfrm>
              <a:off x="0" y="0"/>
              <a:ext cx="0" cy="0"/>
            </a:xfrm>
            <a:prstGeom prst="rect">
              <a:avLst/>
            </a:prstGeom>
          </xdr:spPr>
        </xdr:sp>
        <xdr:clientData/>
      </xdr:twoCellAnchor>
    </mc:Choice>
    <mc:Fallback/>
  </mc:AlternateContent>
  <xdr:twoCellAnchor>
    <xdr:from>
      <xdr:col>8</xdr:col>
      <xdr:colOff>514349</xdr:colOff>
      <xdr:row>141</xdr:row>
      <xdr:rowOff>95250</xdr:rowOff>
    </xdr:from>
    <xdr:to>
      <xdr:col>19</xdr:col>
      <xdr:colOff>514349</xdr:colOff>
      <xdr:row>171</xdr:row>
      <xdr:rowOff>533399</xdr:rowOff>
    </xdr:to>
    <xdr:graphicFrame macro="">
      <xdr:nvGraphicFramePr>
        <xdr:cNvPr id="3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61</xdr:row>
          <xdr:rowOff>171450</xdr:rowOff>
        </xdr:from>
        <xdr:to>
          <xdr:col>35</xdr:col>
          <xdr:colOff>47625</xdr:colOff>
          <xdr:row>63</xdr:row>
          <xdr:rowOff>28575</xdr:rowOff>
        </xdr:to>
        <xdr:sp macro="" textlink="">
          <xdr:nvSpPr>
            <xdr:cNvPr id="99352" name="Check Box 24" hidden="1">
              <a:extLst>
                <a:ext uri="{63B3BB69-23CF-44E3-9099-C40C66FF867C}">
                  <a14:compatExt spid="_x0000_s99352"/>
                </a:ext>
              </a:extLst>
            </xdr:cNvPr>
            <xdr:cNvSpPr/>
          </xdr:nvSpPr>
          <xdr:spPr>
            <a:xfrm>
              <a:off x="0" y="0"/>
              <a:ext cx="0" cy="0"/>
            </a:xfrm>
            <a:prstGeom prst="rect">
              <a:avLst/>
            </a:prstGeom>
          </xdr:spPr>
        </xdr:sp>
        <xdr:clientData/>
      </xdr:twoCellAnchor>
    </mc:Choice>
    <mc:Fallback/>
  </mc:AlternateContent>
  <xdr:oneCellAnchor>
    <xdr:from>
      <xdr:col>21</xdr:col>
      <xdr:colOff>95250</xdr:colOff>
      <xdr:row>103</xdr:row>
      <xdr:rowOff>33750</xdr:rowOff>
    </xdr:from>
    <xdr:ext cx="252000" cy="252000"/>
    <xdr:sp macro="[0]!CPP" textlink="">
      <xdr:nvSpPr>
        <xdr:cNvPr id="37" name="Down Arrow 44"/>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20</xdr:col>
      <xdr:colOff>0</xdr:colOff>
      <xdr:row>102</xdr:row>
      <xdr:rowOff>0</xdr:rowOff>
    </xdr:to>
    <xdr:graphicFrame macro="">
      <xdr:nvGraphicFramePr>
        <xdr:cNvPr id="38"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39"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40"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41"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oneCellAnchor>
    <xdr:from>
      <xdr:col>21</xdr:col>
      <xdr:colOff>95250</xdr:colOff>
      <xdr:row>138</xdr:row>
      <xdr:rowOff>33750</xdr:rowOff>
    </xdr:from>
    <xdr:ext cx="252000" cy="252000"/>
    <xdr:sp macro="[0]!CPP" textlink="">
      <xdr:nvSpPr>
        <xdr:cNvPr id="42" name="Down Arrow 44"/>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4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514349</xdr:colOff>
      <xdr:row>106</xdr:row>
      <xdr:rowOff>95250</xdr:rowOff>
    </xdr:from>
    <xdr:to>
      <xdr:col>19</xdr:col>
      <xdr:colOff>514349</xdr:colOff>
      <xdr:row>136</xdr:row>
      <xdr:rowOff>533399</xdr:rowOff>
    </xdr:to>
    <xdr:graphicFrame macro="">
      <xdr:nvGraphicFramePr>
        <xdr:cNvPr id="4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21</xdr:col>
      <xdr:colOff>95250</xdr:colOff>
      <xdr:row>208</xdr:row>
      <xdr:rowOff>33750</xdr:rowOff>
    </xdr:from>
    <xdr:ext cx="252000" cy="252000"/>
    <xdr:sp macro="[0]!CPP" textlink="">
      <xdr:nvSpPr>
        <xdr:cNvPr id="45" name="Down Arrow 44"/>
        <xdr:cNvSpPr>
          <a:spLocks noChangeArrowheads="1"/>
        </xdr:cNvSpPr>
      </xdr:nvSpPr>
      <xdr:spPr bwMode="auto">
        <a:xfrm flipV="1">
          <a:off x="9277350" y="469062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204</xdr:row>
      <xdr:rowOff>0</xdr:rowOff>
    </xdr:from>
    <xdr:to>
      <xdr:col>8</xdr:col>
      <xdr:colOff>0</xdr:colOff>
      <xdr:row>207</xdr:row>
      <xdr:rowOff>0</xdr:rowOff>
    </xdr:to>
    <xdr:graphicFrame macro="">
      <xdr:nvGraphicFramePr>
        <xdr:cNvPr id="4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514349</xdr:colOff>
      <xdr:row>176</xdr:row>
      <xdr:rowOff>95250</xdr:rowOff>
    </xdr:from>
    <xdr:to>
      <xdr:col>19</xdr:col>
      <xdr:colOff>504824</xdr:colOff>
      <xdr:row>206</xdr:row>
      <xdr:rowOff>495299</xdr:rowOff>
    </xdr:to>
    <xdr:graphicFrame macro="">
      <xdr:nvGraphicFramePr>
        <xdr:cNvPr id="47"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16</xdr:col>
      <xdr:colOff>66675</xdr:colOff>
      <xdr:row>63</xdr:row>
      <xdr:rowOff>76199</xdr:rowOff>
    </xdr:from>
    <xdr:to>
      <xdr:col>17</xdr:col>
      <xdr:colOff>367425</xdr:colOff>
      <xdr:row>63</xdr:row>
      <xdr:rowOff>76199</xdr:rowOff>
    </xdr:to>
    <xdr:sp macro="" textlink="">
      <xdr:nvSpPr>
        <xdr:cNvPr id="48"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21</xdr:col>
      <xdr:colOff>66675</xdr:colOff>
      <xdr:row>0</xdr:row>
      <xdr:rowOff>193416</xdr:rowOff>
    </xdr:from>
    <xdr:to>
      <xdr:col>21</xdr:col>
      <xdr:colOff>371475</xdr:colOff>
      <xdr:row>2</xdr:row>
      <xdr:rowOff>47625</xdr:rowOff>
    </xdr:to>
    <xdr:pic macro="[0]!Home">
      <xdr:nvPicPr>
        <xdr:cNvPr id="53" name="Picture 5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ICPC" textlink="">
      <xdr:nvSpPr>
        <xdr:cNvPr id="55" name="Right Arrow 54"/>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Court" textlink="">
      <xdr:nvSpPr>
        <xdr:cNvPr id="56" name="Right Arrow 50"/>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347250</xdr:colOff>
      <xdr:row>36</xdr:row>
      <xdr:rowOff>95250</xdr:rowOff>
    </xdr:to>
    <xdr:sp macro="[0]!Court" textlink="">
      <xdr:nvSpPr>
        <xdr:cNvPr id="2" name="Down Arrow 44"/>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Court" textlink="">
      <xdr:nvSpPr>
        <xdr:cNvPr id="3" name="Down Arrow 2"/>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7"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495298</xdr:colOff>
      <xdr:row>0</xdr:row>
      <xdr:rowOff>85725</xdr:rowOff>
    </xdr:from>
    <xdr:to>
      <xdr:col>20</xdr:col>
      <xdr:colOff>64498</xdr:colOff>
      <xdr:row>2</xdr:row>
      <xdr:rowOff>149475</xdr:rowOff>
    </xdr:to>
    <xdr:sp macro="" textlink="">
      <xdr:nvSpPr>
        <xdr:cNvPr id="8" name="AutoShape 32"/>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76200</xdr:rowOff>
        </xdr:from>
        <xdr:to>
          <xdr:col>35</xdr:col>
          <xdr:colOff>47625</xdr:colOff>
          <xdr:row>40</xdr:row>
          <xdr:rowOff>19050</xdr:rowOff>
        </xdr:to>
        <xdr:sp macro="" textlink="">
          <xdr:nvSpPr>
            <xdr:cNvPr id="104449" name="Check Box 1" hidden="1">
              <a:extLst>
                <a:ext uri="{63B3BB69-23CF-44E3-9099-C40C66FF867C}">
                  <a14:compatExt spid="_x0000_s1044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161925</xdr:rowOff>
        </xdr:from>
        <xdr:to>
          <xdr:col>35</xdr:col>
          <xdr:colOff>47625</xdr:colOff>
          <xdr:row>41</xdr:row>
          <xdr:rowOff>19050</xdr:rowOff>
        </xdr:to>
        <xdr:sp macro="" textlink="">
          <xdr:nvSpPr>
            <xdr:cNvPr id="104450" name="Check Box 2" hidden="1">
              <a:extLst>
                <a:ext uri="{63B3BB69-23CF-44E3-9099-C40C66FF867C}">
                  <a14:compatExt spid="_x0000_s104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161925</xdr:rowOff>
        </xdr:from>
        <xdr:to>
          <xdr:col>35</xdr:col>
          <xdr:colOff>47625</xdr:colOff>
          <xdr:row>42</xdr:row>
          <xdr:rowOff>19050</xdr:rowOff>
        </xdr:to>
        <xdr:sp macro="" textlink="">
          <xdr:nvSpPr>
            <xdr:cNvPr id="104451" name="Check Box 3" hidden="1">
              <a:extLst>
                <a:ext uri="{63B3BB69-23CF-44E3-9099-C40C66FF867C}">
                  <a14:compatExt spid="_x0000_s104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161925</xdr:rowOff>
        </xdr:from>
        <xdr:to>
          <xdr:col>35</xdr:col>
          <xdr:colOff>47625</xdr:colOff>
          <xdr:row>43</xdr:row>
          <xdr:rowOff>19050</xdr:rowOff>
        </xdr:to>
        <xdr:sp macro="" textlink="">
          <xdr:nvSpPr>
            <xdr:cNvPr id="104452" name="Check Box 4" hidden="1">
              <a:extLst>
                <a:ext uri="{63B3BB69-23CF-44E3-9099-C40C66FF867C}">
                  <a14:compatExt spid="_x0000_s104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161925</xdr:rowOff>
        </xdr:from>
        <xdr:to>
          <xdr:col>35</xdr:col>
          <xdr:colOff>47625</xdr:colOff>
          <xdr:row>44</xdr:row>
          <xdr:rowOff>19050</xdr:rowOff>
        </xdr:to>
        <xdr:sp macro="" textlink="">
          <xdr:nvSpPr>
            <xdr:cNvPr id="104453" name="Check Box 5" hidden="1">
              <a:extLst>
                <a:ext uri="{63B3BB69-23CF-44E3-9099-C40C66FF867C}">
                  <a14:compatExt spid="_x0000_s104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161925</xdr:rowOff>
        </xdr:from>
        <xdr:to>
          <xdr:col>35</xdr:col>
          <xdr:colOff>47625</xdr:colOff>
          <xdr:row>45</xdr:row>
          <xdr:rowOff>19050</xdr:rowOff>
        </xdr:to>
        <xdr:sp macro="" textlink="">
          <xdr:nvSpPr>
            <xdr:cNvPr id="104454" name="Check Box 6" hidden="1">
              <a:extLst>
                <a:ext uri="{63B3BB69-23CF-44E3-9099-C40C66FF867C}">
                  <a14:compatExt spid="_x0000_s104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161925</xdr:rowOff>
        </xdr:from>
        <xdr:to>
          <xdr:col>35</xdr:col>
          <xdr:colOff>47625</xdr:colOff>
          <xdr:row>46</xdr:row>
          <xdr:rowOff>19050</xdr:rowOff>
        </xdr:to>
        <xdr:sp macro="" textlink="">
          <xdr:nvSpPr>
            <xdr:cNvPr id="104455" name="Check Box 7" hidden="1">
              <a:extLst>
                <a:ext uri="{63B3BB69-23CF-44E3-9099-C40C66FF867C}">
                  <a14:compatExt spid="_x0000_s104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161925</xdr:rowOff>
        </xdr:from>
        <xdr:to>
          <xdr:col>35</xdr:col>
          <xdr:colOff>47625</xdr:colOff>
          <xdr:row>47</xdr:row>
          <xdr:rowOff>19050</xdr:rowOff>
        </xdr:to>
        <xdr:sp macro="" textlink="">
          <xdr:nvSpPr>
            <xdr:cNvPr id="104456" name="Check Box 8" hidden="1">
              <a:extLst>
                <a:ext uri="{63B3BB69-23CF-44E3-9099-C40C66FF867C}">
                  <a14:compatExt spid="_x0000_s104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161925</xdr:rowOff>
        </xdr:from>
        <xdr:to>
          <xdr:col>35</xdr:col>
          <xdr:colOff>47625</xdr:colOff>
          <xdr:row>48</xdr:row>
          <xdr:rowOff>19050</xdr:rowOff>
        </xdr:to>
        <xdr:sp macro="" textlink="">
          <xdr:nvSpPr>
            <xdr:cNvPr id="104457" name="Check Box 9" hidden="1">
              <a:extLst>
                <a:ext uri="{63B3BB69-23CF-44E3-9099-C40C66FF867C}">
                  <a14:compatExt spid="_x0000_s104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161925</xdr:rowOff>
        </xdr:from>
        <xdr:to>
          <xdr:col>35</xdr:col>
          <xdr:colOff>47625</xdr:colOff>
          <xdr:row>49</xdr:row>
          <xdr:rowOff>19050</xdr:rowOff>
        </xdr:to>
        <xdr:sp macro="" textlink="">
          <xdr:nvSpPr>
            <xdr:cNvPr id="104458" name="Check Box 10" hidden="1">
              <a:extLst>
                <a:ext uri="{63B3BB69-23CF-44E3-9099-C40C66FF867C}">
                  <a14:compatExt spid="_x0000_s104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161925</xdr:rowOff>
        </xdr:from>
        <xdr:to>
          <xdr:col>35</xdr:col>
          <xdr:colOff>47625</xdr:colOff>
          <xdr:row>50</xdr:row>
          <xdr:rowOff>19050</xdr:rowOff>
        </xdr:to>
        <xdr:sp macro="" textlink="">
          <xdr:nvSpPr>
            <xdr:cNvPr id="104459" name="Check Box 11" hidden="1">
              <a:extLst>
                <a:ext uri="{63B3BB69-23CF-44E3-9099-C40C66FF867C}">
                  <a14:compatExt spid="_x0000_s104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161925</xdr:rowOff>
        </xdr:from>
        <xdr:to>
          <xdr:col>35</xdr:col>
          <xdr:colOff>47625</xdr:colOff>
          <xdr:row>51</xdr:row>
          <xdr:rowOff>19050</xdr:rowOff>
        </xdr:to>
        <xdr:sp macro="" textlink="">
          <xdr:nvSpPr>
            <xdr:cNvPr id="104460" name="Check Box 12" hidden="1">
              <a:extLst>
                <a:ext uri="{63B3BB69-23CF-44E3-9099-C40C66FF867C}">
                  <a14:compatExt spid="_x0000_s104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161925</xdr:rowOff>
        </xdr:from>
        <xdr:to>
          <xdr:col>35</xdr:col>
          <xdr:colOff>47625</xdr:colOff>
          <xdr:row>52</xdr:row>
          <xdr:rowOff>19050</xdr:rowOff>
        </xdr:to>
        <xdr:sp macro="" textlink="">
          <xdr:nvSpPr>
            <xdr:cNvPr id="104461" name="Check Box 13" hidden="1">
              <a:extLst>
                <a:ext uri="{63B3BB69-23CF-44E3-9099-C40C66FF867C}">
                  <a14:compatExt spid="_x0000_s104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161925</xdr:rowOff>
        </xdr:from>
        <xdr:to>
          <xdr:col>35</xdr:col>
          <xdr:colOff>47625</xdr:colOff>
          <xdr:row>53</xdr:row>
          <xdr:rowOff>19050</xdr:rowOff>
        </xdr:to>
        <xdr:sp macro="" textlink="">
          <xdr:nvSpPr>
            <xdr:cNvPr id="104462" name="Check Box 14" hidden="1">
              <a:extLst>
                <a:ext uri="{63B3BB69-23CF-44E3-9099-C40C66FF867C}">
                  <a14:compatExt spid="_x0000_s104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161925</xdr:rowOff>
        </xdr:from>
        <xdr:to>
          <xdr:col>35</xdr:col>
          <xdr:colOff>47625</xdr:colOff>
          <xdr:row>54</xdr:row>
          <xdr:rowOff>19050</xdr:rowOff>
        </xdr:to>
        <xdr:sp macro="" textlink="">
          <xdr:nvSpPr>
            <xdr:cNvPr id="104463" name="Check Box 15" hidden="1">
              <a:extLst>
                <a:ext uri="{63B3BB69-23CF-44E3-9099-C40C66FF867C}">
                  <a14:compatExt spid="_x0000_s104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161925</xdr:rowOff>
        </xdr:from>
        <xdr:to>
          <xdr:col>35</xdr:col>
          <xdr:colOff>47625</xdr:colOff>
          <xdr:row>55</xdr:row>
          <xdr:rowOff>19050</xdr:rowOff>
        </xdr:to>
        <xdr:sp macro="" textlink="">
          <xdr:nvSpPr>
            <xdr:cNvPr id="104464" name="Check Box 16" hidden="1">
              <a:extLst>
                <a:ext uri="{63B3BB69-23CF-44E3-9099-C40C66FF867C}">
                  <a14:compatExt spid="_x0000_s104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161925</xdr:rowOff>
        </xdr:from>
        <xdr:to>
          <xdr:col>35</xdr:col>
          <xdr:colOff>47625</xdr:colOff>
          <xdr:row>58</xdr:row>
          <xdr:rowOff>19050</xdr:rowOff>
        </xdr:to>
        <xdr:sp macro="" textlink="">
          <xdr:nvSpPr>
            <xdr:cNvPr id="104465" name="Check Box 17" hidden="1">
              <a:extLst>
                <a:ext uri="{63B3BB69-23CF-44E3-9099-C40C66FF867C}">
                  <a14:compatExt spid="_x0000_s104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161925</xdr:rowOff>
        </xdr:from>
        <xdr:to>
          <xdr:col>35</xdr:col>
          <xdr:colOff>47625</xdr:colOff>
          <xdr:row>59</xdr:row>
          <xdr:rowOff>19050</xdr:rowOff>
        </xdr:to>
        <xdr:sp macro="" textlink="">
          <xdr:nvSpPr>
            <xdr:cNvPr id="104466" name="Check Box 18" hidden="1">
              <a:extLst>
                <a:ext uri="{63B3BB69-23CF-44E3-9099-C40C66FF867C}">
                  <a14:compatExt spid="_x0000_s104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161925</xdr:rowOff>
        </xdr:from>
        <xdr:to>
          <xdr:col>35</xdr:col>
          <xdr:colOff>47625</xdr:colOff>
          <xdr:row>60</xdr:row>
          <xdr:rowOff>19050</xdr:rowOff>
        </xdr:to>
        <xdr:sp macro="" textlink="">
          <xdr:nvSpPr>
            <xdr:cNvPr id="104467" name="Check Box 19" hidden="1">
              <a:extLst>
                <a:ext uri="{63B3BB69-23CF-44E3-9099-C40C66FF867C}">
                  <a14:compatExt spid="_x0000_s1044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161925</xdr:rowOff>
        </xdr:from>
        <xdr:to>
          <xdr:col>35</xdr:col>
          <xdr:colOff>47625</xdr:colOff>
          <xdr:row>61</xdr:row>
          <xdr:rowOff>19050</xdr:rowOff>
        </xdr:to>
        <xdr:sp macro="" textlink="">
          <xdr:nvSpPr>
            <xdr:cNvPr id="104468" name="Check Box 20" hidden="1">
              <a:extLst>
                <a:ext uri="{63B3BB69-23CF-44E3-9099-C40C66FF867C}">
                  <a14:compatExt spid="_x0000_s1044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161925</xdr:rowOff>
        </xdr:from>
        <xdr:to>
          <xdr:col>35</xdr:col>
          <xdr:colOff>47625</xdr:colOff>
          <xdr:row>62</xdr:row>
          <xdr:rowOff>19050</xdr:rowOff>
        </xdr:to>
        <xdr:sp macro="" textlink="">
          <xdr:nvSpPr>
            <xdr:cNvPr id="104469" name="Check Box 21" hidden="1">
              <a:extLst>
                <a:ext uri="{63B3BB69-23CF-44E3-9099-C40C66FF867C}">
                  <a14:compatExt spid="_x0000_s104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54</xdr:row>
          <xdr:rowOff>161925</xdr:rowOff>
        </xdr:from>
        <xdr:to>
          <xdr:col>35</xdr:col>
          <xdr:colOff>47625</xdr:colOff>
          <xdr:row>56</xdr:row>
          <xdr:rowOff>19050</xdr:rowOff>
        </xdr:to>
        <xdr:sp macro="" textlink="">
          <xdr:nvSpPr>
            <xdr:cNvPr id="104470" name="Check Box 22" hidden="1">
              <a:extLst>
                <a:ext uri="{63B3BB69-23CF-44E3-9099-C40C66FF867C}">
                  <a14:compatExt spid="_x0000_s104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161925</xdr:rowOff>
        </xdr:from>
        <xdr:to>
          <xdr:col>35</xdr:col>
          <xdr:colOff>47625</xdr:colOff>
          <xdr:row>57</xdr:row>
          <xdr:rowOff>19050</xdr:rowOff>
        </xdr:to>
        <xdr:sp macro="" textlink="">
          <xdr:nvSpPr>
            <xdr:cNvPr id="104471" name="Check Box 23" hidden="1">
              <a:extLst>
                <a:ext uri="{63B3BB69-23CF-44E3-9099-C40C66FF867C}">
                  <a14:compatExt spid="_x0000_s104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61</xdr:row>
          <xdr:rowOff>161925</xdr:rowOff>
        </xdr:from>
        <xdr:to>
          <xdr:col>35</xdr:col>
          <xdr:colOff>47625</xdr:colOff>
          <xdr:row>63</xdr:row>
          <xdr:rowOff>19050</xdr:rowOff>
        </xdr:to>
        <xdr:sp macro="" textlink="">
          <xdr:nvSpPr>
            <xdr:cNvPr id="104472" name="Check Box 24" hidden="1">
              <a:extLst>
                <a:ext uri="{63B3BB69-23CF-44E3-9099-C40C66FF867C}">
                  <a14:compatExt spid="_x0000_s104472"/>
                </a:ext>
              </a:extLst>
            </xdr:cNvPr>
            <xdr:cNvSpPr/>
          </xdr:nvSpPr>
          <xdr:spPr>
            <a:xfrm>
              <a:off x="0" y="0"/>
              <a:ext cx="0" cy="0"/>
            </a:xfrm>
            <a:prstGeom prst="rect">
              <a:avLst/>
            </a:prstGeom>
          </xdr:spPr>
        </xdr:sp>
        <xdr:clientData/>
      </xdr:twoCellAnchor>
    </mc:Choice>
    <mc:Fallback/>
  </mc:AlternateContent>
  <xdr:oneCellAnchor>
    <xdr:from>
      <xdr:col>21</xdr:col>
      <xdr:colOff>95250</xdr:colOff>
      <xdr:row>103</xdr:row>
      <xdr:rowOff>33750</xdr:rowOff>
    </xdr:from>
    <xdr:ext cx="252000" cy="252000"/>
    <xdr:sp macro="[0]!Court" textlink="">
      <xdr:nvSpPr>
        <xdr:cNvPr id="34" name="Down Arrow 44"/>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20</xdr:col>
      <xdr:colOff>0</xdr:colOff>
      <xdr:row>102</xdr:row>
      <xdr:rowOff>0</xdr:rowOff>
    </xdr:to>
    <xdr:graphicFrame macro="">
      <xdr:nvGraphicFramePr>
        <xdr:cNvPr id="3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36"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37"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38"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76199</xdr:rowOff>
    </xdr:from>
    <xdr:to>
      <xdr:col>17</xdr:col>
      <xdr:colOff>367425</xdr:colOff>
      <xdr:row>63</xdr:row>
      <xdr:rowOff>76199</xdr:rowOff>
    </xdr:to>
    <xdr:sp macro="" textlink="">
      <xdr:nvSpPr>
        <xdr:cNvPr id="39"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21</xdr:col>
      <xdr:colOff>66675</xdr:colOff>
      <xdr:row>0</xdr:row>
      <xdr:rowOff>193416</xdr:rowOff>
    </xdr:from>
    <xdr:to>
      <xdr:col>21</xdr:col>
      <xdr:colOff>371475</xdr:colOff>
      <xdr:row>2</xdr:row>
      <xdr:rowOff>47625</xdr:rowOff>
    </xdr:to>
    <xdr:pic macro="[0]!Home">
      <xdr:nvPicPr>
        <xdr:cNvPr id="40" name="Picture 39"/>
        <xdr:cNvPicPr>
          <a:picLocks/>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CPP" textlink="">
      <xdr:nvSpPr>
        <xdr:cNvPr id="41" name="Right Arrow 40"/>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LAC" textlink="">
      <xdr:nvSpPr>
        <xdr:cNvPr id="42" name="Right Arrow 50"/>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347250</xdr:colOff>
      <xdr:row>36</xdr:row>
      <xdr:rowOff>95250</xdr:rowOff>
    </xdr:to>
    <xdr:sp macro="[0]!LAC" textlink="">
      <xdr:nvSpPr>
        <xdr:cNvPr id="2" name="Down Arrow 44"/>
        <xdr:cNvSpPr>
          <a:spLocks noChangeArrowheads="1"/>
        </xdr:cNvSpPr>
      </xdr:nvSpPr>
      <xdr:spPr bwMode="auto">
        <a:xfrm flipV="1">
          <a:off x="926782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LAC" textlink="">
      <xdr:nvSpPr>
        <xdr:cNvPr id="3" name="Down Arrow 2"/>
        <xdr:cNvSpPr/>
      </xdr:nvSpPr>
      <xdr:spPr>
        <a:xfrm flipV="1">
          <a:off x="9267825"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7"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495299</xdr:colOff>
      <xdr:row>0</xdr:row>
      <xdr:rowOff>85725</xdr:rowOff>
    </xdr:from>
    <xdr:to>
      <xdr:col>20</xdr:col>
      <xdr:colOff>64499</xdr:colOff>
      <xdr:row>2</xdr:row>
      <xdr:rowOff>149475</xdr:rowOff>
    </xdr:to>
    <xdr:sp macro="" textlink="">
      <xdr:nvSpPr>
        <xdr:cNvPr id="8" name="AutoShape 32"/>
        <xdr:cNvSpPr>
          <a:spLocks noChangeArrowheads="1"/>
        </xdr:cNvSpPr>
      </xdr:nvSpPr>
      <xdr:spPr bwMode="auto">
        <a:xfrm>
          <a:off x="694372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76200</xdr:rowOff>
        </xdr:from>
        <xdr:to>
          <xdr:col>35</xdr:col>
          <xdr:colOff>47625</xdr:colOff>
          <xdr:row>40</xdr:row>
          <xdr:rowOff>19050</xdr:rowOff>
        </xdr:to>
        <xdr:sp macro="" textlink="">
          <xdr:nvSpPr>
            <xdr:cNvPr id="105473" name="Check Box 1" hidden="1">
              <a:extLst>
                <a:ext uri="{63B3BB69-23CF-44E3-9099-C40C66FF867C}">
                  <a14:compatExt spid="_x0000_s105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161925</xdr:rowOff>
        </xdr:from>
        <xdr:to>
          <xdr:col>35</xdr:col>
          <xdr:colOff>47625</xdr:colOff>
          <xdr:row>41</xdr:row>
          <xdr:rowOff>19050</xdr:rowOff>
        </xdr:to>
        <xdr:sp macro="" textlink="">
          <xdr:nvSpPr>
            <xdr:cNvPr id="105474" name="Check Box 2" hidden="1">
              <a:extLst>
                <a:ext uri="{63B3BB69-23CF-44E3-9099-C40C66FF867C}">
                  <a14:compatExt spid="_x0000_s105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161925</xdr:rowOff>
        </xdr:from>
        <xdr:to>
          <xdr:col>35</xdr:col>
          <xdr:colOff>47625</xdr:colOff>
          <xdr:row>42</xdr:row>
          <xdr:rowOff>19050</xdr:rowOff>
        </xdr:to>
        <xdr:sp macro="" textlink="">
          <xdr:nvSpPr>
            <xdr:cNvPr id="105475" name="Check Box 3" hidden="1">
              <a:extLst>
                <a:ext uri="{63B3BB69-23CF-44E3-9099-C40C66FF867C}">
                  <a14:compatExt spid="_x0000_s105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161925</xdr:rowOff>
        </xdr:from>
        <xdr:to>
          <xdr:col>35</xdr:col>
          <xdr:colOff>47625</xdr:colOff>
          <xdr:row>43</xdr:row>
          <xdr:rowOff>19050</xdr:rowOff>
        </xdr:to>
        <xdr:sp macro="" textlink="">
          <xdr:nvSpPr>
            <xdr:cNvPr id="105476" name="Check Box 4" hidden="1">
              <a:extLst>
                <a:ext uri="{63B3BB69-23CF-44E3-9099-C40C66FF867C}">
                  <a14:compatExt spid="_x0000_s105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161925</xdr:rowOff>
        </xdr:from>
        <xdr:to>
          <xdr:col>35</xdr:col>
          <xdr:colOff>47625</xdr:colOff>
          <xdr:row>44</xdr:row>
          <xdr:rowOff>19050</xdr:rowOff>
        </xdr:to>
        <xdr:sp macro="" textlink="">
          <xdr:nvSpPr>
            <xdr:cNvPr id="105477" name="Check Box 5" hidden="1">
              <a:extLst>
                <a:ext uri="{63B3BB69-23CF-44E3-9099-C40C66FF867C}">
                  <a14:compatExt spid="_x0000_s105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161925</xdr:rowOff>
        </xdr:from>
        <xdr:to>
          <xdr:col>35</xdr:col>
          <xdr:colOff>47625</xdr:colOff>
          <xdr:row>45</xdr:row>
          <xdr:rowOff>19050</xdr:rowOff>
        </xdr:to>
        <xdr:sp macro="" textlink="">
          <xdr:nvSpPr>
            <xdr:cNvPr id="105478" name="Check Box 6" hidden="1">
              <a:extLst>
                <a:ext uri="{63B3BB69-23CF-44E3-9099-C40C66FF867C}">
                  <a14:compatExt spid="_x0000_s105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161925</xdr:rowOff>
        </xdr:from>
        <xdr:to>
          <xdr:col>35</xdr:col>
          <xdr:colOff>47625</xdr:colOff>
          <xdr:row>46</xdr:row>
          <xdr:rowOff>19050</xdr:rowOff>
        </xdr:to>
        <xdr:sp macro="" textlink="">
          <xdr:nvSpPr>
            <xdr:cNvPr id="105479" name="Check Box 7" hidden="1">
              <a:extLst>
                <a:ext uri="{63B3BB69-23CF-44E3-9099-C40C66FF867C}">
                  <a14:compatExt spid="_x0000_s1054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161925</xdr:rowOff>
        </xdr:from>
        <xdr:to>
          <xdr:col>35</xdr:col>
          <xdr:colOff>47625</xdr:colOff>
          <xdr:row>47</xdr:row>
          <xdr:rowOff>19050</xdr:rowOff>
        </xdr:to>
        <xdr:sp macro="" textlink="">
          <xdr:nvSpPr>
            <xdr:cNvPr id="105480" name="Check Box 8" hidden="1">
              <a:extLst>
                <a:ext uri="{63B3BB69-23CF-44E3-9099-C40C66FF867C}">
                  <a14:compatExt spid="_x0000_s105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161925</xdr:rowOff>
        </xdr:from>
        <xdr:to>
          <xdr:col>35</xdr:col>
          <xdr:colOff>47625</xdr:colOff>
          <xdr:row>48</xdr:row>
          <xdr:rowOff>19050</xdr:rowOff>
        </xdr:to>
        <xdr:sp macro="" textlink="">
          <xdr:nvSpPr>
            <xdr:cNvPr id="105481" name="Check Box 9" hidden="1">
              <a:extLst>
                <a:ext uri="{63B3BB69-23CF-44E3-9099-C40C66FF867C}">
                  <a14:compatExt spid="_x0000_s105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161925</xdr:rowOff>
        </xdr:from>
        <xdr:to>
          <xdr:col>35</xdr:col>
          <xdr:colOff>47625</xdr:colOff>
          <xdr:row>49</xdr:row>
          <xdr:rowOff>19050</xdr:rowOff>
        </xdr:to>
        <xdr:sp macro="" textlink="">
          <xdr:nvSpPr>
            <xdr:cNvPr id="105482" name="Check Box 10" hidden="1">
              <a:extLst>
                <a:ext uri="{63B3BB69-23CF-44E3-9099-C40C66FF867C}">
                  <a14:compatExt spid="_x0000_s105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161925</xdr:rowOff>
        </xdr:from>
        <xdr:to>
          <xdr:col>35</xdr:col>
          <xdr:colOff>47625</xdr:colOff>
          <xdr:row>50</xdr:row>
          <xdr:rowOff>19050</xdr:rowOff>
        </xdr:to>
        <xdr:sp macro="" textlink="">
          <xdr:nvSpPr>
            <xdr:cNvPr id="105483" name="Check Box 11" hidden="1">
              <a:extLst>
                <a:ext uri="{63B3BB69-23CF-44E3-9099-C40C66FF867C}">
                  <a14:compatExt spid="_x0000_s105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161925</xdr:rowOff>
        </xdr:from>
        <xdr:to>
          <xdr:col>35</xdr:col>
          <xdr:colOff>47625</xdr:colOff>
          <xdr:row>51</xdr:row>
          <xdr:rowOff>19050</xdr:rowOff>
        </xdr:to>
        <xdr:sp macro="" textlink="">
          <xdr:nvSpPr>
            <xdr:cNvPr id="105484" name="Check Box 12" hidden="1">
              <a:extLst>
                <a:ext uri="{63B3BB69-23CF-44E3-9099-C40C66FF867C}">
                  <a14:compatExt spid="_x0000_s105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161925</xdr:rowOff>
        </xdr:from>
        <xdr:to>
          <xdr:col>35</xdr:col>
          <xdr:colOff>47625</xdr:colOff>
          <xdr:row>52</xdr:row>
          <xdr:rowOff>19050</xdr:rowOff>
        </xdr:to>
        <xdr:sp macro="" textlink="">
          <xdr:nvSpPr>
            <xdr:cNvPr id="105485" name="Check Box 13" hidden="1">
              <a:extLst>
                <a:ext uri="{63B3BB69-23CF-44E3-9099-C40C66FF867C}">
                  <a14:compatExt spid="_x0000_s105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161925</xdr:rowOff>
        </xdr:from>
        <xdr:to>
          <xdr:col>35</xdr:col>
          <xdr:colOff>47625</xdr:colOff>
          <xdr:row>53</xdr:row>
          <xdr:rowOff>19050</xdr:rowOff>
        </xdr:to>
        <xdr:sp macro="" textlink="">
          <xdr:nvSpPr>
            <xdr:cNvPr id="105486" name="Check Box 14" hidden="1">
              <a:extLst>
                <a:ext uri="{63B3BB69-23CF-44E3-9099-C40C66FF867C}">
                  <a14:compatExt spid="_x0000_s105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161925</xdr:rowOff>
        </xdr:from>
        <xdr:to>
          <xdr:col>35</xdr:col>
          <xdr:colOff>47625</xdr:colOff>
          <xdr:row>54</xdr:row>
          <xdr:rowOff>19050</xdr:rowOff>
        </xdr:to>
        <xdr:sp macro="" textlink="">
          <xdr:nvSpPr>
            <xdr:cNvPr id="105487" name="Check Box 15" hidden="1">
              <a:extLst>
                <a:ext uri="{63B3BB69-23CF-44E3-9099-C40C66FF867C}">
                  <a14:compatExt spid="_x0000_s105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161925</xdr:rowOff>
        </xdr:from>
        <xdr:to>
          <xdr:col>35</xdr:col>
          <xdr:colOff>47625</xdr:colOff>
          <xdr:row>55</xdr:row>
          <xdr:rowOff>19050</xdr:rowOff>
        </xdr:to>
        <xdr:sp macro="" textlink="">
          <xdr:nvSpPr>
            <xdr:cNvPr id="105488" name="Check Box 16" hidden="1">
              <a:extLst>
                <a:ext uri="{63B3BB69-23CF-44E3-9099-C40C66FF867C}">
                  <a14:compatExt spid="_x0000_s105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161925</xdr:rowOff>
        </xdr:from>
        <xdr:to>
          <xdr:col>35</xdr:col>
          <xdr:colOff>47625</xdr:colOff>
          <xdr:row>58</xdr:row>
          <xdr:rowOff>19050</xdr:rowOff>
        </xdr:to>
        <xdr:sp macro="" textlink="">
          <xdr:nvSpPr>
            <xdr:cNvPr id="105489" name="Check Box 17" hidden="1">
              <a:extLst>
                <a:ext uri="{63B3BB69-23CF-44E3-9099-C40C66FF867C}">
                  <a14:compatExt spid="_x0000_s105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161925</xdr:rowOff>
        </xdr:from>
        <xdr:to>
          <xdr:col>35</xdr:col>
          <xdr:colOff>47625</xdr:colOff>
          <xdr:row>59</xdr:row>
          <xdr:rowOff>19050</xdr:rowOff>
        </xdr:to>
        <xdr:sp macro="" textlink="">
          <xdr:nvSpPr>
            <xdr:cNvPr id="105490" name="Check Box 18" hidden="1">
              <a:extLst>
                <a:ext uri="{63B3BB69-23CF-44E3-9099-C40C66FF867C}">
                  <a14:compatExt spid="_x0000_s1054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161925</xdr:rowOff>
        </xdr:from>
        <xdr:to>
          <xdr:col>35</xdr:col>
          <xdr:colOff>47625</xdr:colOff>
          <xdr:row>60</xdr:row>
          <xdr:rowOff>19050</xdr:rowOff>
        </xdr:to>
        <xdr:sp macro="" textlink="">
          <xdr:nvSpPr>
            <xdr:cNvPr id="105491" name="Check Box 19" hidden="1">
              <a:extLst>
                <a:ext uri="{63B3BB69-23CF-44E3-9099-C40C66FF867C}">
                  <a14:compatExt spid="_x0000_s1054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161925</xdr:rowOff>
        </xdr:from>
        <xdr:to>
          <xdr:col>35</xdr:col>
          <xdr:colOff>47625</xdr:colOff>
          <xdr:row>61</xdr:row>
          <xdr:rowOff>19050</xdr:rowOff>
        </xdr:to>
        <xdr:sp macro="" textlink="">
          <xdr:nvSpPr>
            <xdr:cNvPr id="105492" name="Check Box 20" hidden="1">
              <a:extLst>
                <a:ext uri="{63B3BB69-23CF-44E3-9099-C40C66FF867C}">
                  <a14:compatExt spid="_x0000_s105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161925</xdr:rowOff>
        </xdr:from>
        <xdr:to>
          <xdr:col>35</xdr:col>
          <xdr:colOff>47625</xdr:colOff>
          <xdr:row>62</xdr:row>
          <xdr:rowOff>19050</xdr:rowOff>
        </xdr:to>
        <xdr:sp macro="" textlink="">
          <xdr:nvSpPr>
            <xdr:cNvPr id="105493" name="Check Box 21" hidden="1">
              <a:extLst>
                <a:ext uri="{63B3BB69-23CF-44E3-9099-C40C66FF867C}">
                  <a14:compatExt spid="_x0000_s105493"/>
                </a:ext>
              </a:extLst>
            </xdr:cNvPr>
            <xdr:cNvSpPr/>
          </xdr:nvSpPr>
          <xdr:spPr>
            <a:xfrm>
              <a:off x="0" y="0"/>
              <a:ext cx="0" cy="0"/>
            </a:xfrm>
            <a:prstGeom prst="rect">
              <a:avLst/>
            </a:prstGeom>
          </xdr:spPr>
        </xdr:sp>
        <xdr:clientData/>
      </xdr:twoCellAnchor>
    </mc:Choice>
    <mc:Fallback/>
  </mc:AlternateContent>
  <xdr:oneCellAnchor>
    <xdr:from>
      <xdr:col>21</xdr:col>
      <xdr:colOff>95250</xdr:colOff>
      <xdr:row>173</xdr:row>
      <xdr:rowOff>33750</xdr:rowOff>
    </xdr:from>
    <xdr:ext cx="252000" cy="252000"/>
    <xdr:sp macro="[0]!LAC" textlink="">
      <xdr:nvSpPr>
        <xdr:cNvPr id="31" name="Down Arrow 44"/>
        <xdr:cNvSpPr>
          <a:spLocks noChangeArrowheads="1"/>
        </xdr:cNvSpPr>
      </xdr:nvSpPr>
      <xdr:spPr bwMode="auto">
        <a:xfrm flipV="1">
          <a:off x="9267825"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169</xdr:row>
      <xdr:rowOff>0</xdr:rowOff>
    </xdr:from>
    <xdr:to>
      <xdr:col>8</xdr:col>
      <xdr:colOff>0</xdr:colOff>
      <xdr:row>172</xdr:row>
      <xdr:rowOff>0</xdr:rowOff>
    </xdr:to>
    <xdr:graphicFrame macro="">
      <xdr:nvGraphicFramePr>
        <xdr:cNvPr id="32"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54</xdr:row>
          <xdr:rowOff>161925</xdr:rowOff>
        </xdr:from>
        <xdr:to>
          <xdr:col>35</xdr:col>
          <xdr:colOff>47625</xdr:colOff>
          <xdr:row>56</xdr:row>
          <xdr:rowOff>19050</xdr:rowOff>
        </xdr:to>
        <xdr:sp macro="" textlink="">
          <xdr:nvSpPr>
            <xdr:cNvPr id="105494" name="Check Box 22" hidden="1">
              <a:extLst>
                <a:ext uri="{63B3BB69-23CF-44E3-9099-C40C66FF867C}">
                  <a14:compatExt spid="_x0000_s105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161925</xdr:rowOff>
        </xdr:from>
        <xdr:to>
          <xdr:col>35</xdr:col>
          <xdr:colOff>47625</xdr:colOff>
          <xdr:row>57</xdr:row>
          <xdr:rowOff>19050</xdr:rowOff>
        </xdr:to>
        <xdr:sp macro="" textlink="">
          <xdr:nvSpPr>
            <xdr:cNvPr id="105495" name="Check Box 23" hidden="1">
              <a:extLst>
                <a:ext uri="{63B3BB69-23CF-44E3-9099-C40C66FF867C}">
                  <a14:compatExt spid="_x0000_s105495"/>
                </a:ext>
              </a:extLst>
            </xdr:cNvPr>
            <xdr:cNvSpPr/>
          </xdr:nvSpPr>
          <xdr:spPr>
            <a:xfrm>
              <a:off x="0" y="0"/>
              <a:ext cx="0" cy="0"/>
            </a:xfrm>
            <a:prstGeom prst="rect">
              <a:avLst/>
            </a:prstGeom>
          </xdr:spPr>
        </xdr:sp>
        <xdr:clientData/>
      </xdr:twoCellAnchor>
    </mc:Choice>
    <mc:Fallback/>
  </mc:AlternateContent>
  <xdr:twoCellAnchor>
    <xdr:from>
      <xdr:col>8</xdr:col>
      <xdr:colOff>514349</xdr:colOff>
      <xdr:row>141</xdr:row>
      <xdr:rowOff>95250</xdr:rowOff>
    </xdr:from>
    <xdr:to>
      <xdr:col>19</xdr:col>
      <xdr:colOff>514349</xdr:colOff>
      <xdr:row>171</xdr:row>
      <xdr:rowOff>533399</xdr:rowOff>
    </xdr:to>
    <xdr:graphicFrame macro="">
      <xdr:nvGraphicFramePr>
        <xdr:cNvPr id="3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61</xdr:row>
          <xdr:rowOff>161925</xdr:rowOff>
        </xdr:from>
        <xdr:to>
          <xdr:col>35</xdr:col>
          <xdr:colOff>47625</xdr:colOff>
          <xdr:row>63</xdr:row>
          <xdr:rowOff>19050</xdr:rowOff>
        </xdr:to>
        <xdr:sp macro="" textlink="">
          <xdr:nvSpPr>
            <xdr:cNvPr id="105496" name="Check Box 24" hidden="1">
              <a:extLst>
                <a:ext uri="{63B3BB69-23CF-44E3-9099-C40C66FF867C}">
                  <a14:compatExt spid="_x0000_s105496"/>
                </a:ext>
              </a:extLst>
            </xdr:cNvPr>
            <xdr:cNvSpPr/>
          </xdr:nvSpPr>
          <xdr:spPr>
            <a:xfrm>
              <a:off x="0" y="0"/>
              <a:ext cx="0" cy="0"/>
            </a:xfrm>
            <a:prstGeom prst="rect">
              <a:avLst/>
            </a:prstGeom>
          </xdr:spPr>
        </xdr:sp>
        <xdr:clientData/>
      </xdr:twoCellAnchor>
    </mc:Choice>
    <mc:Fallback/>
  </mc:AlternateContent>
  <xdr:oneCellAnchor>
    <xdr:from>
      <xdr:col>21</xdr:col>
      <xdr:colOff>95250</xdr:colOff>
      <xdr:row>103</xdr:row>
      <xdr:rowOff>33750</xdr:rowOff>
    </xdr:from>
    <xdr:ext cx="252000" cy="252000"/>
    <xdr:sp macro="[0]!LAC" textlink="">
      <xdr:nvSpPr>
        <xdr:cNvPr id="37" name="Down Arrow 44"/>
        <xdr:cNvSpPr>
          <a:spLocks noChangeArrowheads="1"/>
        </xdr:cNvSpPr>
      </xdr:nvSpPr>
      <xdr:spPr bwMode="auto">
        <a:xfrm flipV="1">
          <a:off x="9267825"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20</xdr:col>
      <xdr:colOff>0</xdr:colOff>
      <xdr:row>102</xdr:row>
      <xdr:rowOff>0</xdr:rowOff>
    </xdr:to>
    <xdr:graphicFrame macro="">
      <xdr:nvGraphicFramePr>
        <xdr:cNvPr id="38"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39"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40"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41"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oneCellAnchor>
    <xdr:from>
      <xdr:col>21</xdr:col>
      <xdr:colOff>95250</xdr:colOff>
      <xdr:row>138</xdr:row>
      <xdr:rowOff>33750</xdr:rowOff>
    </xdr:from>
    <xdr:ext cx="252000" cy="252000"/>
    <xdr:sp macro="[0]!LAC" textlink="">
      <xdr:nvSpPr>
        <xdr:cNvPr id="42" name="Down Arrow 44"/>
        <xdr:cNvSpPr>
          <a:spLocks noChangeArrowheads="1"/>
        </xdr:cNvSpPr>
      </xdr:nvSpPr>
      <xdr:spPr bwMode="auto">
        <a:xfrm flipV="1">
          <a:off x="9267825"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133</xdr:row>
      <xdr:rowOff>76199</xdr:rowOff>
    </xdr:from>
    <xdr:to>
      <xdr:col>8</xdr:col>
      <xdr:colOff>0</xdr:colOff>
      <xdr:row>137</xdr:row>
      <xdr:rowOff>0</xdr:rowOff>
    </xdr:to>
    <xdr:graphicFrame macro="">
      <xdr:nvGraphicFramePr>
        <xdr:cNvPr id="4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0</xdr:colOff>
      <xdr:row>106</xdr:row>
      <xdr:rowOff>95251</xdr:rowOff>
    </xdr:from>
    <xdr:to>
      <xdr:col>20</xdr:col>
      <xdr:colOff>0</xdr:colOff>
      <xdr:row>137</xdr:row>
      <xdr:rowOff>0</xdr:rowOff>
    </xdr:to>
    <xdr:graphicFrame macro="">
      <xdr:nvGraphicFramePr>
        <xdr:cNvPr id="4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21</xdr:col>
      <xdr:colOff>95250</xdr:colOff>
      <xdr:row>208</xdr:row>
      <xdr:rowOff>33750</xdr:rowOff>
    </xdr:from>
    <xdr:ext cx="252000" cy="252000"/>
    <xdr:sp macro="[0]!LAC" textlink="">
      <xdr:nvSpPr>
        <xdr:cNvPr id="45" name="Down Arrow 44"/>
        <xdr:cNvSpPr>
          <a:spLocks noChangeArrowheads="1"/>
        </xdr:cNvSpPr>
      </xdr:nvSpPr>
      <xdr:spPr bwMode="auto">
        <a:xfrm flipV="1">
          <a:off x="9267825" y="401625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204</xdr:row>
      <xdr:rowOff>1</xdr:rowOff>
    </xdr:from>
    <xdr:to>
      <xdr:col>8</xdr:col>
      <xdr:colOff>0</xdr:colOff>
      <xdr:row>207</xdr:row>
      <xdr:rowOff>1</xdr:rowOff>
    </xdr:to>
    <xdr:graphicFrame macro="">
      <xdr:nvGraphicFramePr>
        <xdr:cNvPr id="4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514349</xdr:colOff>
      <xdr:row>176</xdr:row>
      <xdr:rowOff>95250</xdr:rowOff>
    </xdr:from>
    <xdr:to>
      <xdr:col>19</xdr:col>
      <xdr:colOff>514349</xdr:colOff>
      <xdr:row>206</xdr:row>
      <xdr:rowOff>533399</xdr:rowOff>
    </xdr:to>
    <xdr:graphicFrame macro="">
      <xdr:nvGraphicFramePr>
        <xdr:cNvPr id="47"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21</xdr:col>
      <xdr:colOff>95250</xdr:colOff>
      <xdr:row>278</xdr:row>
      <xdr:rowOff>33750</xdr:rowOff>
    </xdr:from>
    <xdr:ext cx="252000" cy="252000"/>
    <xdr:sp macro="[0]!LAC" textlink="">
      <xdr:nvSpPr>
        <xdr:cNvPr id="48" name="Down Arrow 47"/>
        <xdr:cNvSpPr>
          <a:spLocks noChangeArrowheads="1"/>
        </xdr:cNvSpPr>
      </xdr:nvSpPr>
      <xdr:spPr bwMode="auto">
        <a:xfrm flipV="1">
          <a:off x="9267825" y="604032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13</xdr:col>
      <xdr:colOff>479425</xdr:colOff>
      <xdr:row>247</xdr:row>
      <xdr:rowOff>0</xdr:rowOff>
    </xdr:from>
    <xdr:to>
      <xdr:col>19</xdr:col>
      <xdr:colOff>495300</xdr:colOff>
      <xdr:row>277</xdr:row>
      <xdr:rowOff>0</xdr:rowOff>
    </xdr:to>
    <xdr:graphicFrame macro="">
      <xdr:nvGraphicFramePr>
        <xdr:cNvPr id="54" name="Chart 1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21</xdr:col>
      <xdr:colOff>95250</xdr:colOff>
      <xdr:row>313</xdr:row>
      <xdr:rowOff>33750</xdr:rowOff>
    </xdr:from>
    <xdr:ext cx="252000" cy="252000"/>
    <xdr:sp macro="[0]!LAC" textlink="">
      <xdr:nvSpPr>
        <xdr:cNvPr id="50" name="Down Arrow 49"/>
        <xdr:cNvSpPr>
          <a:spLocks noChangeArrowheads="1"/>
        </xdr:cNvSpPr>
      </xdr:nvSpPr>
      <xdr:spPr bwMode="auto">
        <a:xfrm flipV="1">
          <a:off x="9267825" y="671564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8</xdr:col>
      <xdr:colOff>0</xdr:colOff>
      <xdr:row>283</xdr:row>
      <xdr:rowOff>0</xdr:rowOff>
    </xdr:from>
    <xdr:to>
      <xdr:col>10</xdr:col>
      <xdr:colOff>410179</xdr:colOff>
      <xdr:row>310</xdr:row>
      <xdr:rowOff>0</xdr:rowOff>
    </xdr:to>
    <xdr:graphicFrame macro="">
      <xdr:nvGraphicFramePr>
        <xdr:cNvPr id="52" name="Chart 1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10</xdr:col>
      <xdr:colOff>428626</xdr:colOff>
      <xdr:row>283</xdr:row>
      <xdr:rowOff>0</xdr:rowOff>
    </xdr:from>
    <xdr:to>
      <xdr:col>13</xdr:col>
      <xdr:colOff>0</xdr:colOff>
      <xdr:row>310</xdr:row>
      <xdr:rowOff>0</xdr:rowOff>
    </xdr:to>
    <xdr:graphicFrame macro="">
      <xdr:nvGraphicFramePr>
        <xdr:cNvPr id="53" name="Chart 1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6594</xdr:colOff>
      <xdr:row>283</xdr:row>
      <xdr:rowOff>1</xdr:rowOff>
    </xdr:from>
    <xdr:to>
      <xdr:col>15</xdr:col>
      <xdr:colOff>74996</xdr:colOff>
      <xdr:row>310</xdr:row>
      <xdr:rowOff>0</xdr:rowOff>
    </xdr:to>
    <xdr:graphicFrame macro="">
      <xdr:nvGraphicFramePr>
        <xdr:cNvPr id="55" name="Chart 1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15</xdr:col>
      <xdr:colOff>83281</xdr:colOff>
      <xdr:row>283</xdr:row>
      <xdr:rowOff>0</xdr:rowOff>
    </xdr:from>
    <xdr:to>
      <xdr:col>18</xdr:col>
      <xdr:colOff>3014</xdr:colOff>
      <xdr:row>310</xdr:row>
      <xdr:rowOff>0</xdr:rowOff>
    </xdr:to>
    <xdr:graphicFrame macro="">
      <xdr:nvGraphicFramePr>
        <xdr:cNvPr id="56" name="Chart 1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18</xdr:col>
      <xdr:colOff>5372</xdr:colOff>
      <xdr:row>283</xdr:row>
      <xdr:rowOff>1</xdr:rowOff>
    </xdr:from>
    <xdr:to>
      <xdr:col>19</xdr:col>
      <xdr:colOff>495300</xdr:colOff>
      <xdr:row>310</xdr:row>
      <xdr:rowOff>0</xdr:rowOff>
    </xdr:to>
    <xdr:graphicFrame macro="">
      <xdr:nvGraphicFramePr>
        <xdr:cNvPr id="57" name="Chart 1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oneCellAnchor>
    <xdr:from>
      <xdr:col>21</xdr:col>
      <xdr:colOff>95250</xdr:colOff>
      <xdr:row>243</xdr:row>
      <xdr:rowOff>33750</xdr:rowOff>
    </xdr:from>
    <xdr:ext cx="252000" cy="252000"/>
    <xdr:sp macro="[0]!LAC" textlink="">
      <xdr:nvSpPr>
        <xdr:cNvPr id="58" name="Down Arrow 57"/>
        <xdr:cNvSpPr>
          <a:spLocks noChangeArrowheads="1"/>
        </xdr:cNvSpPr>
      </xdr:nvSpPr>
      <xdr:spPr bwMode="auto">
        <a:xfrm flipV="1">
          <a:off x="9267825" y="536499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238</xdr:row>
      <xdr:rowOff>76199</xdr:rowOff>
    </xdr:from>
    <xdr:to>
      <xdr:col>8</xdr:col>
      <xdr:colOff>0</xdr:colOff>
      <xdr:row>242</xdr:row>
      <xdr:rowOff>0</xdr:rowOff>
    </xdr:to>
    <xdr:graphicFrame macro="">
      <xdr:nvGraphicFramePr>
        <xdr:cNvPr id="5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xdr:col>
      <xdr:colOff>514349</xdr:colOff>
      <xdr:row>211</xdr:row>
      <xdr:rowOff>95250</xdr:rowOff>
    </xdr:from>
    <xdr:to>
      <xdr:col>19</xdr:col>
      <xdr:colOff>514349</xdr:colOff>
      <xdr:row>241</xdr:row>
      <xdr:rowOff>533399</xdr:rowOff>
    </xdr:to>
    <xdr:graphicFrame macro="">
      <xdr:nvGraphicFramePr>
        <xdr:cNvPr id="60"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66675</xdr:colOff>
      <xdr:row>63</xdr:row>
      <xdr:rowOff>76199</xdr:rowOff>
    </xdr:from>
    <xdr:to>
      <xdr:col>17</xdr:col>
      <xdr:colOff>367425</xdr:colOff>
      <xdr:row>63</xdr:row>
      <xdr:rowOff>76199</xdr:rowOff>
    </xdr:to>
    <xdr:sp macro="" textlink="">
      <xdr:nvSpPr>
        <xdr:cNvPr id="64"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21</xdr:col>
      <xdr:colOff>66675</xdr:colOff>
      <xdr:row>0</xdr:row>
      <xdr:rowOff>193416</xdr:rowOff>
    </xdr:from>
    <xdr:to>
      <xdr:col>21</xdr:col>
      <xdr:colOff>371475</xdr:colOff>
      <xdr:row>2</xdr:row>
      <xdr:rowOff>47625</xdr:rowOff>
    </xdr:to>
    <xdr:pic macro="[0]!Home">
      <xdr:nvPicPr>
        <xdr:cNvPr id="65" name="Picture 64"/>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Court" textlink="">
      <xdr:nvSpPr>
        <xdr:cNvPr id="66" name="Right Arrow 65"/>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Adoption" textlink="">
      <xdr:nvSpPr>
        <xdr:cNvPr id="67" name="Right Arrow 50"/>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347250</xdr:colOff>
      <xdr:row>37</xdr:row>
      <xdr:rowOff>95250</xdr:rowOff>
    </xdr:to>
    <xdr:sp macro="[0]!Adoption" textlink="">
      <xdr:nvSpPr>
        <xdr:cNvPr id="2" name="Down Arrow 44"/>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Adoption" textlink="">
      <xdr:nvSpPr>
        <xdr:cNvPr id="3" name="Down Arrow 2"/>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1</xdr:colOff>
      <xdr:row>39</xdr:row>
      <xdr:rowOff>0</xdr:rowOff>
    </xdr:from>
    <xdr:to>
      <xdr:col>21</xdr:col>
      <xdr:colOff>1</xdr:colOff>
      <xdr:row>63</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219075</xdr:colOff>
      <xdr:row>64</xdr:row>
      <xdr:rowOff>38100</xdr:rowOff>
    </xdr:from>
    <xdr:to>
      <xdr:col>11</xdr:col>
      <xdr:colOff>295275</xdr:colOff>
      <xdr:row>64</xdr:row>
      <xdr:rowOff>114300</xdr:rowOff>
    </xdr:to>
    <xdr:sp macro="" textlink="">
      <xdr:nvSpPr>
        <xdr:cNvPr id="7"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editAs="absolute">
    <xdr:from>
      <xdr:col>15</xdr:col>
      <xdr:colOff>3172</xdr:colOff>
      <xdr:row>0</xdr:row>
      <xdr:rowOff>85725</xdr:rowOff>
    </xdr:from>
    <xdr:to>
      <xdr:col>21</xdr:col>
      <xdr:colOff>67672</xdr:colOff>
      <xdr:row>2</xdr:row>
      <xdr:rowOff>149475</xdr:rowOff>
    </xdr:to>
    <xdr:sp macro="" textlink="">
      <xdr:nvSpPr>
        <xdr:cNvPr id="8" name="AutoShape 32"/>
        <xdr:cNvSpPr>
          <a:spLocks noChangeArrowheads="1"/>
        </xdr:cNvSpPr>
      </xdr:nvSpPr>
      <xdr:spPr bwMode="auto">
        <a:xfrm>
          <a:off x="6946897"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66675</xdr:colOff>
          <xdr:row>39</xdr:row>
          <xdr:rowOff>76200</xdr:rowOff>
        </xdr:from>
        <xdr:to>
          <xdr:col>36</xdr:col>
          <xdr:colOff>47625</xdr:colOff>
          <xdr:row>41</xdr:row>
          <xdr:rowOff>19050</xdr:rowOff>
        </xdr:to>
        <xdr:sp macro="" textlink="">
          <xdr:nvSpPr>
            <xdr:cNvPr id="108545" name="Check Box 1" hidden="1">
              <a:extLst>
                <a:ext uri="{63B3BB69-23CF-44E3-9099-C40C66FF867C}">
                  <a14:compatExt spid="_x0000_s1085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40</xdr:row>
          <xdr:rowOff>161925</xdr:rowOff>
        </xdr:from>
        <xdr:to>
          <xdr:col>36</xdr:col>
          <xdr:colOff>47625</xdr:colOff>
          <xdr:row>42</xdr:row>
          <xdr:rowOff>19050</xdr:rowOff>
        </xdr:to>
        <xdr:sp macro="" textlink="">
          <xdr:nvSpPr>
            <xdr:cNvPr id="108546" name="Check Box 2" hidden="1">
              <a:extLst>
                <a:ext uri="{63B3BB69-23CF-44E3-9099-C40C66FF867C}">
                  <a14:compatExt spid="_x0000_s1085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41</xdr:row>
          <xdr:rowOff>161925</xdr:rowOff>
        </xdr:from>
        <xdr:to>
          <xdr:col>36</xdr:col>
          <xdr:colOff>47625</xdr:colOff>
          <xdr:row>43</xdr:row>
          <xdr:rowOff>19050</xdr:rowOff>
        </xdr:to>
        <xdr:sp macro="" textlink="">
          <xdr:nvSpPr>
            <xdr:cNvPr id="108547" name="Check Box 3" hidden="1">
              <a:extLst>
                <a:ext uri="{63B3BB69-23CF-44E3-9099-C40C66FF867C}">
                  <a14:compatExt spid="_x0000_s1085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42</xdr:row>
          <xdr:rowOff>161925</xdr:rowOff>
        </xdr:from>
        <xdr:to>
          <xdr:col>36</xdr:col>
          <xdr:colOff>47625</xdr:colOff>
          <xdr:row>44</xdr:row>
          <xdr:rowOff>19050</xdr:rowOff>
        </xdr:to>
        <xdr:sp macro="" textlink="">
          <xdr:nvSpPr>
            <xdr:cNvPr id="108548" name="Check Box 4" hidden="1">
              <a:extLst>
                <a:ext uri="{63B3BB69-23CF-44E3-9099-C40C66FF867C}">
                  <a14:compatExt spid="_x0000_s1085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43</xdr:row>
          <xdr:rowOff>161925</xdr:rowOff>
        </xdr:from>
        <xdr:to>
          <xdr:col>36</xdr:col>
          <xdr:colOff>47625</xdr:colOff>
          <xdr:row>45</xdr:row>
          <xdr:rowOff>19050</xdr:rowOff>
        </xdr:to>
        <xdr:sp macro="" textlink="">
          <xdr:nvSpPr>
            <xdr:cNvPr id="108549" name="Check Box 5" hidden="1">
              <a:extLst>
                <a:ext uri="{63B3BB69-23CF-44E3-9099-C40C66FF867C}">
                  <a14:compatExt spid="_x0000_s1085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44</xdr:row>
          <xdr:rowOff>161925</xdr:rowOff>
        </xdr:from>
        <xdr:to>
          <xdr:col>36</xdr:col>
          <xdr:colOff>47625</xdr:colOff>
          <xdr:row>46</xdr:row>
          <xdr:rowOff>19050</xdr:rowOff>
        </xdr:to>
        <xdr:sp macro="" textlink="">
          <xdr:nvSpPr>
            <xdr:cNvPr id="108550" name="Check Box 6" hidden="1">
              <a:extLst>
                <a:ext uri="{63B3BB69-23CF-44E3-9099-C40C66FF867C}">
                  <a14:compatExt spid="_x0000_s1085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45</xdr:row>
          <xdr:rowOff>161925</xdr:rowOff>
        </xdr:from>
        <xdr:to>
          <xdr:col>36</xdr:col>
          <xdr:colOff>47625</xdr:colOff>
          <xdr:row>47</xdr:row>
          <xdr:rowOff>19050</xdr:rowOff>
        </xdr:to>
        <xdr:sp macro="" textlink="">
          <xdr:nvSpPr>
            <xdr:cNvPr id="108551" name="Check Box 7" hidden="1">
              <a:extLst>
                <a:ext uri="{63B3BB69-23CF-44E3-9099-C40C66FF867C}">
                  <a14:compatExt spid="_x0000_s1085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46</xdr:row>
          <xdr:rowOff>161925</xdr:rowOff>
        </xdr:from>
        <xdr:to>
          <xdr:col>36</xdr:col>
          <xdr:colOff>47625</xdr:colOff>
          <xdr:row>48</xdr:row>
          <xdr:rowOff>19050</xdr:rowOff>
        </xdr:to>
        <xdr:sp macro="" textlink="">
          <xdr:nvSpPr>
            <xdr:cNvPr id="108552" name="Check Box 8" hidden="1">
              <a:extLst>
                <a:ext uri="{63B3BB69-23CF-44E3-9099-C40C66FF867C}">
                  <a14:compatExt spid="_x0000_s1085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47</xdr:row>
          <xdr:rowOff>161925</xdr:rowOff>
        </xdr:from>
        <xdr:to>
          <xdr:col>36</xdr:col>
          <xdr:colOff>47625</xdr:colOff>
          <xdr:row>49</xdr:row>
          <xdr:rowOff>19050</xdr:rowOff>
        </xdr:to>
        <xdr:sp macro="" textlink="">
          <xdr:nvSpPr>
            <xdr:cNvPr id="108553" name="Check Box 9" hidden="1">
              <a:extLst>
                <a:ext uri="{63B3BB69-23CF-44E3-9099-C40C66FF867C}">
                  <a14:compatExt spid="_x0000_s1085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48</xdr:row>
          <xdr:rowOff>161925</xdr:rowOff>
        </xdr:from>
        <xdr:to>
          <xdr:col>36</xdr:col>
          <xdr:colOff>47625</xdr:colOff>
          <xdr:row>50</xdr:row>
          <xdr:rowOff>19050</xdr:rowOff>
        </xdr:to>
        <xdr:sp macro="" textlink="">
          <xdr:nvSpPr>
            <xdr:cNvPr id="108554" name="Check Box 10" hidden="1">
              <a:extLst>
                <a:ext uri="{63B3BB69-23CF-44E3-9099-C40C66FF867C}">
                  <a14:compatExt spid="_x0000_s1085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49</xdr:row>
          <xdr:rowOff>161925</xdr:rowOff>
        </xdr:from>
        <xdr:to>
          <xdr:col>36</xdr:col>
          <xdr:colOff>47625</xdr:colOff>
          <xdr:row>51</xdr:row>
          <xdr:rowOff>19050</xdr:rowOff>
        </xdr:to>
        <xdr:sp macro="" textlink="">
          <xdr:nvSpPr>
            <xdr:cNvPr id="108555" name="Check Box 11" hidden="1">
              <a:extLst>
                <a:ext uri="{63B3BB69-23CF-44E3-9099-C40C66FF867C}">
                  <a14:compatExt spid="_x0000_s1085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50</xdr:row>
          <xdr:rowOff>161925</xdr:rowOff>
        </xdr:from>
        <xdr:to>
          <xdr:col>36</xdr:col>
          <xdr:colOff>47625</xdr:colOff>
          <xdr:row>52</xdr:row>
          <xdr:rowOff>19050</xdr:rowOff>
        </xdr:to>
        <xdr:sp macro="" textlink="">
          <xdr:nvSpPr>
            <xdr:cNvPr id="108556" name="Check Box 12" hidden="1">
              <a:extLst>
                <a:ext uri="{63B3BB69-23CF-44E3-9099-C40C66FF867C}">
                  <a14:compatExt spid="_x0000_s1085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51</xdr:row>
          <xdr:rowOff>161925</xdr:rowOff>
        </xdr:from>
        <xdr:to>
          <xdr:col>36</xdr:col>
          <xdr:colOff>47625</xdr:colOff>
          <xdr:row>53</xdr:row>
          <xdr:rowOff>19050</xdr:rowOff>
        </xdr:to>
        <xdr:sp macro="" textlink="">
          <xdr:nvSpPr>
            <xdr:cNvPr id="108557" name="Check Box 13" hidden="1">
              <a:extLst>
                <a:ext uri="{63B3BB69-23CF-44E3-9099-C40C66FF867C}">
                  <a14:compatExt spid="_x0000_s1085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52</xdr:row>
          <xdr:rowOff>161925</xdr:rowOff>
        </xdr:from>
        <xdr:to>
          <xdr:col>36</xdr:col>
          <xdr:colOff>47625</xdr:colOff>
          <xdr:row>54</xdr:row>
          <xdr:rowOff>19050</xdr:rowOff>
        </xdr:to>
        <xdr:sp macro="" textlink="">
          <xdr:nvSpPr>
            <xdr:cNvPr id="108558" name="Check Box 14" hidden="1">
              <a:extLst>
                <a:ext uri="{63B3BB69-23CF-44E3-9099-C40C66FF867C}">
                  <a14:compatExt spid="_x0000_s1085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53</xdr:row>
          <xdr:rowOff>161925</xdr:rowOff>
        </xdr:from>
        <xdr:to>
          <xdr:col>36</xdr:col>
          <xdr:colOff>47625</xdr:colOff>
          <xdr:row>55</xdr:row>
          <xdr:rowOff>19050</xdr:rowOff>
        </xdr:to>
        <xdr:sp macro="" textlink="">
          <xdr:nvSpPr>
            <xdr:cNvPr id="108559" name="Check Box 15" hidden="1">
              <a:extLst>
                <a:ext uri="{63B3BB69-23CF-44E3-9099-C40C66FF867C}">
                  <a14:compatExt spid="_x0000_s1085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54</xdr:row>
          <xdr:rowOff>161925</xdr:rowOff>
        </xdr:from>
        <xdr:to>
          <xdr:col>36</xdr:col>
          <xdr:colOff>47625</xdr:colOff>
          <xdr:row>56</xdr:row>
          <xdr:rowOff>19050</xdr:rowOff>
        </xdr:to>
        <xdr:sp macro="" textlink="">
          <xdr:nvSpPr>
            <xdr:cNvPr id="108560" name="Check Box 16" hidden="1">
              <a:extLst>
                <a:ext uri="{63B3BB69-23CF-44E3-9099-C40C66FF867C}">
                  <a14:compatExt spid="_x0000_s1085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57</xdr:row>
          <xdr:rowOff>161925</xdr:rowOff>
        </xdr:from>
        <xdr:to>
          <xdr:col>36</xdr:col>
          <xdr:colOff>47625</xdr:colOff>
          <xdr:row>59</xdr:row>
          <xdr:rowOff>19050</xdr:rowOff>
        </xdr:to>
        <xdr:sp macro="" textlink="">
          <xdr:nvSpPr>
            <xdr:cNvPr id="108561" name="Check Box 17" hidden="1">
              <a:extLst>
                <a:ext uri="{63B3BB69-23CF-44E3-9099-C40C66FF867C}">
                  <a14:compatExt spid="_x0000_s1085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58</xdr:row>
          <xdr:rowOff>161925</xdr:rowOff>
        </xdr:from>
        <xdr:to>
          <xdr:col>36</xdr:col>
          <xdr:colOff>47625</xdr:colOff>
          <xdr:row>60</xdr:row>
          <xdr:rowOff>19050</xdr:rowOff>
        </xdr:to>
        <xdr:sp macro="" textlink="">
          <xdr:nvSpPr>
            <xdr:cNvPr id="108562" name="Check Box 18" hidden="1">
              <a:extLst>
                <a:ext uri="{63B3BB69-23CF-44E3-9099-C40C66FF867C}">
                  <a14:compatExt spid="_x0000_s1085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59</xdr:row>
          <xdr:rowOff>161925</xdr:rowOff>
        </xdr:from>
        <xdr:to>
          <xdr:col>36</xdr:col>
          <xdr:colOff>47625</xdr:colOff>
          <xdr:row>61</xdr:row>
          <xdr:rowOff>19050</xdr:rowOff>
        </xdr:to>
        <xdr:sp macro="" textlink="">
          <xdr:nvSpPr>
            <xdr:cNvPr id="108563" name="Check Box 19" hidden="1">
              <a:extLst>
                <a:ext uri="{63B3BB69-23CF-44E3-9099-C40C66FF867C}">
                  <a14:compatExt spid="_x0000_s1085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60</xdr:row>
          <xdr:rowOff>161925</xdr:rowOff>
        </xdr:from>
        <xdr:to>
          <xdr:col>36</xdr:col>
          <xdr:colOff>47625</xdr:colOff>
          <xdr:row>62</xdr:row>
          <xdr:rowOff>19050</xdr:rowOff>
        </xdr:to>
        <xdr:sp macro="" textlink="">
          <xdr:nvSpPr>
            <xdr:cNvPr id="108564" name="Check Box 20" hidden="1">
              <a:extLst>
                <a:ext uri="{63B3BB69-23CF-44E3-9099-C40C66FF867C}">
                  <a14:compatExt spid="_x0000_s1085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61</xdr:row>
          <xdr:rowOff>161925</xdr:rowOff>
        </xdr:from>
        <xdr:to>
          <xdr:col>36</xdr:col>
          <xdr:colOff>47625</xdr:colOff>
          <xdr:row>63</xdr:row>
          <xdr:rowOff>19050</xdr:rowOff>
        </xdr:to>
        <xdr:sp macro="" textlink="">
          <xdr:nvSpPr>
            <xdr:cNvPr id="108565" name="Check Box 21" hidden="1">
              <a:extLst>
                <a:ext uri="{63B3BB69-23CF-44E3-9099-C40C66FF867C}">
                  <a14:compatExt spid="_x0000_s108565"/>
                </a:ext>
              </a:extLst>
            </xdr:cNvPr>
            <xdr:cNvSpPr/>
          </xdr:nvSpPr>
          <xdr:spPr>
            <a:xfrm>
              <a:off x="0" y="0"/>
              <a:ext cx="0" cy="0"/>
            </a:xfrm>
            <a:prstGeom prst="rect">
              <a:avLst/>
            </a:prstGeom>
          </xdr:spPr>
        </xdr:sp>
        <xdr:clientData/>
      </xdr:twoCellAnchor>
    </mc:Choice>
    <mc:Fallback/>
  </mc:AlternateContent>
  <xdr:oneCellAnchor>
    <xdr:from>
      <xdr:col>22</xdr:col>
      <xdr:colOff>95250</xdr:colOff>
      <xdr:row>104</xdr:row>
      <xdr:rowOff>33750</xdr:rowOff>
    </xdr:from>
    <xdr:ext cx="252000" cy="252000"/>
    <xdr:sp macro="[0]!Adoption" textlink="">
      <xdr:nvSpPr>
        <xdr:cNvPr id="31" name="Down Arrow 44"/>
        <xdr:cNvSpPr>
          <a:spLocks noChangeArrowheads="1"/>
        </xdr:cNvSpPr>
      </xdr:nvSpPr>
      <xdr:spPr bwMode="auto">
        <a:xfrm flipV="1">
          <a:off x="9277350" y="334284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100</xdr:row>
      <xdr:rowOff>0</xdr:rowOff>
    </xdr:from>
    <xdr:to>
      <xdr:col>8</xdr:col>
      <xdr:colOff>0</xdr:colOff>
      <xdr:row>103</xdr:row>
      <xdr:rowOff>0</xdr:rowOff>
    </xdr:to>
    <xdr:graphicFrame macro="">
      <xdr:nvGraphicFramePr>
        <xdr:cNvPr id="32"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66675</xdr:colOff>
          <xdr:row>55</xdr:row>
          <xdr:rowOff>161925</xdr:rowOff>
        </xdr:from>
        <xdr:to>
          <xdr:col>36</xdr:col>
          <xdr:colOff>47625</xdr:colOff>
          <xdr:row>57</xdr:row>
          <xdr:rowOff>19050</xdr:rowOff>
        </xdr:to>
        <xdr:sp macro="" textlink="">
          <xdr:nvSpPr>
            <xdr:cNvPr id="108566" name="Check Box 22" hidden="1">
              <a:extLst>
                <a:ext uri="{63B3BB69-23CF-44E3-9099-C40C66FF867C}">
                  <a14:compatExt spid="_x0000_s1085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56</xdr:row>
          <xdr:rowOff>161925</xdr:rowOff>
        </xdr:from>
        <xdr:to>
          <xdr:col>36</xdr:col>
          <xdr:colOff>47625</xdr:colOff>
          <xdr:row>58</xdr:row>
          <xdr:rowOff>19050</xdr:rowOff>
        </xdr:to>
        <xdr:sp macro="" textlink="">
          <xdr:nvSpPr>
            <xdr:cNvPr id="108567" name="Check Box 23" hidden="1">
              <a:extLst>
                <a:ext uri="{63B3BB69-23CF-44E3-9099-C40C66FF867C}">
                  <a14:compatExt spid="_x0000_s108567"/>
                </a:ext>
              </a:extLst>
            </xdr:cNvPr>
            <xdr:cNvSpPr/>
          </xdr:nvSpPr>
          <xdr:spPr>
            <a:xfrm>
              <a:off x="0" y="0"/>
              <a:ext cx="0" cy="0"/>
            </a:xfrm>
            <a:prstGeom prst="rect">
              <a:avLst/>
            </a:prstGeom>
          </xdr:spPr>
        </xdr:sp>
        <xdr:clientData/>
      </xdr:twoCellAnchor>
    </mc:Choice>
    <mc:Fallback/>
  </mc:AlternateContent>
  <xdr:twoCellAnchor>
    <xdr:from>
      <xdr:col>8</xdr:col>
      <xdr:colOff>514349</xdr:colOff>
      <xdr:row>72</xdr:row>
      <xdr:rowOff>95250</xdr:rowOff>
    </xdr:from>
    <xdr:to>
      <xdr:col>20</xdr:col>
      <xdr:colOff>514349</xdr:colOff>
      <xdr:row>102</xdr:row>
      <xdr:rowOff>533399</xdr:rowOff>
    </xdr:to>
    <xdr:graphicFrame macro="">
      <xdr:nvGraphicFramePr>
        <xdr:cNvPr id="3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66675</xdr:colOff>
          <xdr:row>62</xdr:row>
          <xdr:rowOff>161925</xdr:rowOff>
        </xdr:from>
        <xdr:to>
          <xdr:col>36</xdr:col>
          <xdr:colOff>47625</xdr:colOff>
          <xdr:row>64</xdr:row>
          <xdr:rowOff>19050</xdr:rowOff>
        </xdr:to>
        <xdr:sp macro="" textlink="">
          <xdr:nvSpPr>
            <xdr:cNvPr id="108568" name="Check Box 24" hidden="1">
              <a:extLst>
                <a:ext uri="{63B3BB69-23CF-44E3-9099-C40C66FF867C}">
                  <a14:compatExt spid="_x0000_s108568"/>
                </a:ext>
              </a:extLst>
            </xdr:cNvPr>
            <xdr:cNvSpPr/>
          </xdr:nvSpPr>
          <xdr:spPr>
            <a:xfrm>
              <a:off x="0" y="0"/>
              <a:ext cx="0" cy="0"/>
            </a:xfrm>
            <a:prstGeom prst="rect">
              <a:avLst/>
            </a:prstGeom>
          </xdr:spPr>
        </xdr:sp>
        <xdr:clientData/>
      </xdr:twoCellAnchor>
    </mc:Choice>
    <mc:Fallback/>
  </mc:AlternateContent>
  <xdr:twoCellAnchor>
    <xdr:from>
      <xdr:col>11</xdr:col>
      <xdr:colOff>66675</xdr:colOff>
      <xdr:row>63</xdr:row>
      <xdr:rowOff>76200</xdr:rowOff>
    </xdr:from>
    <xdr:to>
      <xdr:col>11</xdr:col>
      <xdr:colOff>438150</xdr:colOff>
      <xdr:row>63</xdr:row>
      <xdr:rowOff>76200</xdr:rowOff>
    </xdr:to>
    <xdr:sp macro="" textlink="">
      <xdr:nvSpPr>
        <xdr:cNvPr id="40"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63</xdr:row>
      <xdr:rowOff>38100</xdr:rowOff>
    </xdr:from>
    <xdr:to>
      <xdr:col>15</xdr:col>
      <xdr:colOff>304800</xdr:colOff>
      <xdr:row>63</xdr:row>
      <xdr:rowOff>114300</xdr:rowOff>
    </xdr:to>
    <xdr:sp macro="" textlink="">
      <xdr:nvSpPr>
        <xdr:cNvPr id="41"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editAs="oneCell">
    <xdr:from>
      <xdr:col>22</xdr:col>
      <xdr:colOff>66675</xdr:colOff>
      <xdr:row>0</xdr:row>
      <xdr:rowOff>193416</xdr:rowOff>
    </xdr:from>
    <xdr:to>
      <xdr:col>22</xdr:col>
      <xdr:colOff>372675</xdr:colOff>
      <xdr:row>2</xdr:row>
      <xdr:rowOff>47625</xdr:rowOff>
    </xdr:to>
    <xdr:pic macro="[0]!Home">
      <xdr:nvPicPr>
        <xdr:cNvPr id="52" name="Picture 51"/>
        <xdr:cNvPicPr>
          <a:picLocks/>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248775" y="193416"/>
          <a:ext cx="3060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LAC" textlink="">
      <xdr:nvSpPr>
        <xdr:cNvPr id="45" name="Right Arrow 44"/>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22</xdr:col>
      <xdr:colOff>95250</xdr:colOff>
      <xdr:row>139</xdr:row>
      <xdr:rowOff>33750</xdr:rowOff>
    </xdr:from>
    <xdr:ext cx="252000" cy="252000"/>
    <xdr:sp macro="[0]!Adoption" textlink="">
      <xdr:nvSpPr>
        <xdr:cNvPr id="47" name="Down Arrow 46"/>
        <xdr:cNvSpPr>
          <a:spLocks noChangeArrowheads="1"/>
        </xdr:cNvSpPr>
      </xdr:nvSpPr>
      <xdr:spPr bwMode="auto">
        <a:xfrm flipV="1">
          <a:off x="9277350" y="317329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76199</xdr:rowOff>
    </xdr:from>
    <xdr:to>
      <xdr:col>8</xdr:col>
      <xdr:colOff>0</xdr:colOff>
      <xdr:row>138</xdr:row>
      <xdr:rowOff>0</xdr:rowOff>
    </xdr:to>
    <xdr:graphicFrame macro="">
      <xdr:nvGraphicFramePr>
        <xdr:cNvPr id="4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0</xdr:colOff>
      <xdr:row>107</xdr:row>
      <xdr:rowOff>95250</xdr:rowOff>
    </xdr:from>
    <xdr:to>
      <xdr:col>21</xdr:col>
      <xdr:colOff>0</xdr:colOff>
      <xdr:row>137</xdr:row>
      <xdr:rowOff>457199</xdr:rowOff>
    </xdr:to>
    <xdr:graphicFrame macro="">
      <xdr:nvGraphicFramePr>
        <xdr:cNvPr id="50"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95250</xdr:colOff>
      <xdr:row>174</xdr:row>
      <xdr:rowOff>33750</xdr:rowOff>
    </xdr:from>
    <xdr:ext cx="252000" cy="252000"/>
    <xdr:sp macro="[0]!Adoption" textlink="">
      <xdr:nvSpPr>
        <xdr:cNvPr id="51" name="Down Arrow 50"/>
        <xdr:cNvSpPr>
          <a:spLocks noChangeArrowheads="1"/>
        </xdr:cNvSpPr>
      </xdr:nvSpPr>
      <xdr:spPr bwMode="auto">
        <a:xfrm flipV="1">
          <a:off x="9277350" y="367335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169</xdr:row>
      <xdr:rowOff>76199</xdr:rowOff>
    </xdr:from>
    <xdr:to>
      <xdr:col>8</xdr:col>
      <xdr:colOff>0</xdr:colOff>
      <xdr:row>173</xdr:row>
      <xdr:rowOff>0</xdr:rowOff>
    </xdr:to>
    <xdr:graphicFrame macro="">
      <xdr:nvGraphicFramePr>
        <xdr:cNvPr id="5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0</xdr:colOff>
      <xdr:row>142</xdr:row>
      <xdr:rowOff>95250</xdr:rowOff>
    </xdr:from>
    <xdr:to>
      <xdr:col>21</xdr:col>
      <xdr:colOff>0</xdr:colOff>
      <xdr:row>172</xdr:row>
      <xdr:rowOff>457199</xdr:rowOff>
    </xdr:to>
    <xdr:graphicFrame macro="">
      <xdr:nvGraphicFramePr>
        <xdr:cNvPr id="5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66675</xdr:colOff>
      <xdr:row>3</xdr:row>
      <xdr:rowOff>19050</xdr:rowOff>
    </xdr:from>
    <xdr:to>
      <xdr:col>29</xdr:col>
      <xdr:colOff>314325</xdr:colOff>
      <xdr:row>4</xdr:row>
      <xdr:rowOff>152400</xdr:rowOff>
    </xdr:to>
    <xdr:sp macro="[0]!Frontpage" textlink="">
      <xdr:nvSpPr>
        <xdr:cNvPr id="2" name="Right Arrow 50"/>
        <xdr:cNvSpPr>
          <a:spLocks noChangeArrowheads="1"/>
        </xdr:cNvSpPr>
      </xdr:nvSpPr>
      <xdr:spPr bwMode="auto">
        <a:xfrm flipH="1">
          <a:off x="12277725" y="73342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29</xdr:col>
      <xdr:colOff>85725</xdr:colOff>
      <xdr:row>55</xdr:row>
      <xdr:rowOff>2838450</xdr:rowOff>
    </xdr:from>
    <xdr:to>
      <xdr:col>29</xdr:col>
      <xdr:colOff>333375</xdr:colOff>
      <xdr:row>56</xdr:row>
      <xdr:rowOff>285751</xdr:rowOff>
    </xdr:to>
    <xdr:sp macro="[0]!Home" textlink="">
      <xdr:nvSpPr>
        <xdr:cNvPr id="3" name="Down Arrow 44">
          <a:hlinkClick xmlns:r="http://schemas.openxmlformats.org/officeDocument/2006/relationships" r:id="rId1"/>
        </xdr:cNvPr>
        <xdr:cNvSpPr>
          <a:spLocks noChangeArrowheads="1"/>
        </xdr:cNvSpPr>
      </xdr:nvSpPr>
      <xdr:spPr bwMode="auto">
        <a:xfrm flipV="1">
          <a:off x="12296775" y="16992600"/>
          <a:ext cx="247650" cy="285751"/>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editAs="absolute">
    <xdr:from>
      <xdr:col>20</xdr:col>
      <xdr:colOff>219076</xdr:colOff>
      <xdr:row>0</xdr:row>
      <xdr:rowOff>85724</xdr:rowOff>
    </xdr:from>
    <xdr:to>
      <xdr:col>27</xdr:col>
      <xdr:colOff>45451</xdr:colOff>
      <xdr:row>2</xdr:row>
      <xdr:rowOff>149474</xdr:rowOff>
    </xdr:to>
    <xdr:sp macro="" textlink="">
      <xdr:nvSpPr>
        <xdr:cNvPr id="4" name="AutoShape 32"/>
        <xdr:cNvSpPr>
          <a:spLocks noChangeArrowheads="1"/>
        </xdr:cNvSpPr>
      </xdr:nvSpPr>
      <xdr:spPr bwMode="auto">
        <a:xfrm>
          <a:off x="9944101" y="85724"/>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2</xdr:col>
      <xdr:colOff>2295525</xdr:colOff>
      <xdr:row>5</xdr:row>
      <xdr:rowOff>19049</xdr:rowOff>
    </xdr:from>
    <xdr:to>
      <xdr:col>2</xdr:col>
      <xdr:colOff>2543175</xdr:colOff>
      <xdr:row>5</xdr:row>
      <xdr:rowOff>190498</xdr:rowOff>
    </xdr:to>
    <xdr:sp macro="[0]!Coverage" textlink="">
      <xdr:nvSpPr>
        <xdr:cNvPr id="5" name="Right Arrow 50"/>
        <xdr:cNvSpPr>
          <a:spLocks noChangeArrowheads="1"/>
        </xdr:cNvSpPr>
      </xdr:nvSpPr>
      <xdr:spPr bwMode="auto">
        <a:xfrm rot="10800000" flipH="1">
          <a:off x="3171825" y="1019174"/>
          <a:ext cx="247650" cy="171449"/>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0</xdr:col>
      <xdr:colOff>95251</xdr:colOff>
      <xdr:row>0</xdr:row>
      <xdr:rowOff>66675</xdr:rowOff>
    </xdr:from>
    <xdr:to>
      <xdr:col>1</xdr:col>
      <xdr:colOff>521780</xdr:colOff>
      <xdr:row>2</xdr:row>
      <xdr:rowOff>171450</xdr:rowOff>
    </xdr:to>
    <xdr:pic macro="[0]!Home">
      <xdr:nvPicPr>
        <xdr:cNvPr id="6"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1" y="66675"/>
          <a:ext cx="569404" cy="581025"/>
        </a:xfrm>
        <a:prstGeom prst="rect">
          <a:avLst/>
        </a:prstGeom>
      </xdr:spPr>
    </xdr:pic>
    <xdr:clientData/>
  </xdr:twoCellAnchor>
  <xdr:twoCellAnchor editAs="oneCell">
    <xdr:from>
      <xdr:col>2</xdr:col>
      <xdr:colOff>400050</xdr:colOff>
      <xdr:row>11</xdr:row>
      <xdr:rowOff>352425</xdr:rowOff>
    </xdr:from>
    <xdr:to>
      <xdr:col>2</xdr:col>
      <xdr:colOff>1904812</xdr:colOff>
      <xdr:row>11</xdr:row>
      <xdr:rowOff>657187</xdr:rowOff>
    </xdr:to>
    <xdr:pic>
      <xdr:nvPicPr>
        <xdr:cNvPr id="7" name="Picture 6"/>
        <xdr:cNvPicPr>
          <a:picLocks noChangeAspect="1"/>
        </xdr:cNvPicPr>
      </xdr:nvPicPr>
      <xdr:blipFill>
        <a:blip xmlns:r="http://schemas.openxmlformats.org/officeDocument/2006/relationships" r:embed="rId3"/>
        <a:stretch>
          <a:fillRect/>
        </a:stretch>
      </xdr:blipFill>
      <xdr:spPr>
        <a:xfrm>
          <a:off x="1266825" y="1428750"/>
          <a:ext cx="1504762" cy="304762"/>
        </a:xfrm>
        <a:prstGeom prst="rect">
          <a:avLst/>
        </a:prstGeom>
      </xdr:spPr>
    </xdr:pic>
    <xdr:clientData/>
  </xdr:twoCellAnchor>
  <xdr:oneCellAnchor>
    <xdr:from>
      <xdr:col>2</xdr:col>
      <xdr:colOff>400050</xdr:colOff>
      <xdr:row>36</xdr:row>
      <xdr:rowOff>352425</xdr:rowOff>
    </xdr:from>
    <xdr:ext cx="1504762" cy="304762"/>
    <xdr:pic>
      <xdr:nvPicPr>
        <xdr:cNvPr id="8" name="Picture 7"/>
        <xdr:cNvPicPr>
          <a:picLocks noChangeAspect="1"/>
        </xdr:cNvPicPr>
      </xdr:nvPicPr>
      <xdr:blipFill>
        <a:blip xmlns:r="http://schemas.openxmlformats.org/officeDocument/2006/relationships" r:embed="rId3"/>
        <a:stretch>
          <a:fillRect/>
        </a:stretch>
      </xdr:blipFill>
      <xdr:spPr>
        <a:xfrm>
          <a:off x="1266825" y="1428750"/>
          <a:ext cx="1504762" cy="304762"/>
        </a:xfrm>
        <a:prstGeom prst="rect">
          <a:avLst/>
        </a:prstGeom>
      </xdr:spPr>
    </xdr:pic>
    <xdr:clientData/>
  </xdr:oneCellAnchor>
  <xdr:oneCellAnchor>
    <xdr:from>
      <xdr:col>29</xdr:col>
      <xdr:colOff>85725</xdr:colOff>
      <xdr:row>34</xdr:row>
      <xdr:rowOff>123823</xdr:rowOff>
    </xdr:from>
    <xdr:ext cx="247650" cy="285751"/>
    <xdr:sp macro="[0]!Home" textlink="">
      <xdr:nvSpPr>
        <xdr:cNvPr id="9" name="Down Arrow 44">
          <a:hlinkClick xmlns:r="http://schemas.openxmlformats.org/officeDocument/2006/relationships" r:id="rId1"/>
        </xdr:cNvPr>
        <xdr:cNvSpPr>
          <a:spLocks noChangeArrowheads="1"/>
        </xdr:cNvSpPr>
      </xdr:nvSpPr>
      <xdr:spPr bwMode="auto">
        <a:xfrm flipV="1">
          <a:off x="12296775" y="8677273"/>
          <a:ext cx="247650" cy="285751"/>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29</xdr:col>
      <xdr:colOff>114300</xdr:colOff>
      <xdr:row>5</xdr:row>
      <xdr:rowOff>113325</xdr:rowOff>
    </xdr:from>
    <xdr:to>
      <xdr:col>29</xdr:col>
      <xdr:colOff>361950</xdr:colOff>
      <xdr:row>6</xdr:row>
      <xdr:rowOff>180975</xdr:rowOff>
    </xdr:to>
    <xdr:sp macro="[0]!Coverage" textlink="">
      <xdr:nvSpPr>
        <xdr:cNvPr id="10" name="Right Arrow 50"/>
        <xdr:cNvSpPr>
          <a:spLocks noChangeArrowheads="1"/>
        </xdr:cNvSpPr>
      </xdr:nvSpPr>
      <xdr:spPr bwMode="auto">
        <a:xfrm rot="10800000" flipH="1">
          <a:off x="12325350" y="116107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5</xdr:col>
      <xdr:colOff>209550</xdr:colOff>
      <xdr:row>6</xdr:row>
      <xdr:rowOff>19049</xdr:rowOff>
    </xdr:from>
    <xdr:to>
      <xdr:col>6</xdr:col>
      <xdr:colOff>123825</xdr:colOff>
      <xdr:row>6</xdr:row>
      <xdr:rowOff>190498</xdr:rowOff>
    </xdr:to>
    <xdr:sp macro="[0]!IDACI" textlink="">
      <xdr:nvSpPr>
        <xdr:cNvPr id="11" name="Right Arrow 50"/>
        <xdr:cNvSpPr>
          <a:spLocks noChangeArrowheads="1"/>
        </xdr:cNvSpPr>
      </xdr:nvSpPr>
      <xdr:spPr bwMode="auto">
        <a:xfrm rot="10800000" flipH="1">
          <a:off x="4933950" y="1276349"/>
          <a:ext cx="247650" cy="171449"/>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3</xdr:col>
      <xdr:colOff>314325</xdr:colOff>
      <xdr:row>7</xdr:row>
      <xdr:rowOff>19049</xdr:rowOff>
    </xdr:from>
    <xdr:to>
      <xdr:col>4</xdr:col>
      <xdr:colOff>228600</xdr:colOff>
      <xdr:row>7</xdr:row>
      <xdr:rowOff>190498</xdr:rowOff>
    </xdr:to>
    <xdr:sp macro="[0]!Population" textlink="">
      <xdr:nvSpPr>
        <xdr:cNvPr id="12" name="Right Arrow 50"/>
        <xdr:cNvSpPr>
          <a:spLocks noChangeArrowheads="1"/>
        </xdr:cNvSpPr>
      </xdr:nvSpPr>
      <xdr:spPr bwMode="auto">
        <a:xfrm rot="10800000" flipH="1">
          <a:off x="4371975" y="1438274"/>
          <a:ext cx="247650" cy="171449"/>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47623</xdr:colOff>
      <xdr:row>0</xdr:row>
      <xdr:rowOff>85725</xdr:rowOff>
    </xdr:from>
    <xdr:to>
      <xdr:col>27</xdr:col>
      <xdr:colOff>64498</xdr:colOff>
      <xdr:row>2</xdr:row>
      <xdr:rowOff>149475</xdr:rowOff>
    </xdr:to>
    <xdr:sp macro="" textlink="">
      <xdr:nvSpPr>
        <xdr:cNvPr id="6" name="AutoShape 32"/>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28</xdr:col>
      <xdr:colOff>57150</xdr:colOff>
      <xdr:row>0</xdr:row>
      <xdr:rowOff>193416</xdr:rowOff>
    </xdr:from>
    <xdr:to>
      <xdr:col>28</xdr:col>
      <xdr:colOff>381000</xdr:colOff>
      <xdr:row>2</xdr:row>
      <xdr:rowOff>47625</xdr:rowOff>
    </xdr:to>
    <xdr:pic macro="[0]!Home">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28</xdr:col>
      <xdr:colOff>57150</xdr:colOff>
      <xdr:row>3</xdr:row>
      <xdr:rowOff>9525</xdr:rowOff>
    </xdr:from>
    <xdr:to>
      <xdr:col>28</xdr:col>
      <xdr:colOff>304800</xdr:colOff>
      <xdr:row>4</xdr:row>
      <xdr:rowOff>142875</xdr:rowOff>
    </xdr:to>
    <xdr:sp macro="[0]!Home" textlink="">
      <xdr:nvSpPr>
        <xdr:cNvPr id="5" name="Right Arrow 50"/>
        <xdr:cNvSpPr>
          <a:spLocks noChangeArrowheads="1"/>
        </xdr:cNvSpPr>
      </xdr:nvSpPr>
      <xdr:spPr bwMode="auto">
        <a:xfrm flipH="1">
          <a:off x="9258300" y="723900"/>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28</xdr:col>
      <xdr:colOff>133350</xdr:colOff>
      <xdr:row>5</xdr:row>
      <xdr:rowOff>56175</xdr:rowOff>
    </xdr:from>
    <xdr:to>
      <xdr:col>28</xdr:col>
      <xdr:colOff>381000</xdr:colOff>
      <xdr:row>6</xdr:row>
      <xdr:rowOff>76200</xdr:rowOff>
    </xdr:to>
    <xdr:sp macro="[0]!IDACI" textlink="">
      <xdr:nvSpPr>
        <xdr:cNvPr id="7" name="Right Arrow 50"/>
        <xdr:cNvSpPr>
          <a:spLocks noChangeArrowheads="1"/>
        </xdr:cNvSpPr>
      </xdr:nvSpPr>
      <xdr:spPr bwMode="auto">
        <a:xfrm rot="10800000" flipH="1">
          <a:off x="9334500" y="110392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66675</xdr:colOff>
      <xdr:row>7</xdr:row>
      <xdr:rowOff>1</xdr:rowOff>
    </xdr:from>
    <xdr:to>
      <xdr:col>16</xdr:col>
      <xdr:colOff>0</xdr:colOff>
      <xdr:row>32</xdr:row>
      <xdr:rowOff>0</xdr:rowOff>
    </xdr:to>
    <xdr:graphicFrame macro="">
      <xdr:nvGraphicFramePr>
        <xdr:cNvPr id="863362"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95249</xdr:colOff>
      <xdr:row>0</xdr:row>
      <xdr:rowOff>85725</xdr:rowOff>
    </xdr:from>
    <xdr:to>
      <xdr:col>16</xdr:col>
      <xdr:colOff>64499</xdr:colOff>
      <xdr:row>2</xdr:row>
      <xdr:rowOff>149475</xdr:rowOff>
    </xdr:to>
    <xdr:sp macro="" textlink="">
      <xdr:nvSpPr>
        <xdr:cNvPr id="7" name="AutoShape 32"/>
        <xdr:cNvSpPr>
          <a:spLocks noChangeArrowheads="1"/>
        </xdr:cNvSpPr>
      </xdr:nvSpPr>
      <xdr:spPr bwMode="auto">
        <a:xfrm>
          <a:off x="6953249"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17</xdr:col>
      <xdr:colOff>57150</xdr:colOff>
      <xdr:row>0</xdr:row>
      <xdr:rowOff>193416</xdr:rowOff>
    </xdr:from>
    <xdr:to>
      <xdr:col>17</xdr:col>
      <xdr:colOff>381000</xdr:colOff>
      <xdr:row>2</xdr:row>
      <xdr:rowOff>47625</xdr:rowOff>
    </xdr:to>
    <xdr:pic macro="[0]!Home">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17</xdr:col>
      <xdr:colOff>47625</xdr:colOff>
      <xdr:row>3</xdr:row>
      <xdr:rowOff>9525</xdr:rowOff>
    </xdr:from>
    <xdr:to>
      <xdr:col>17</xdr:col>
      <xdr:colOff>295275</xdr:colOff>
      <xdr:row>4</xdr:row>
      <xdr:rowOff>142875</xdr:rowOff>
    </xdr:to>
    <xdr:sp macro="[0]!Coverage" textlink="">
      <xdr:nvSpPr>
        <xdr:cNvPr id="6" name="Right Arrow 50"/>
        <xdr:cNvSpPr>
          <a:spLocks noChangeArrowheads="1"/>
        </xdr:cNvSpPr>
      </xdr:nvSpPr>
      <xdr:spPr bwMode="auto">
        <a:xfrm flipH="1">
          <a:off x="9239250" y="723900"/>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17</xdr:col>
      <xdr:colOff>123825</xdr:colOff>
      <xdr:row>5</xdr:row>
      <xdr:rowOff>8550</xdr:rowOff>
    </xdr:from>
    <xdr:to>
      <xdr:col>17</xdr:col>
      <xdr:colOff>371475</xdr:colOff>
      <xdr:row>5</xdr:row>
      <xdr:rowOff>285750</xdr:rowOff>
    </xdr:to>
    <xdr:sp macro="[0]!Population" textlink="">
      <xdr:nvSpPr>
        <xdr:cNvPr id="8" name="Right Arrow 50"/>
        <xdr:cNvSpPr>
          <a:spLocks noChangeArrowheads="1"/>
        </xdr:cNvSpPr>
      </xdr:nvSpPr>
      <xdr:spPr bwMode="auto">
        <a:xfrm rot="10800000" flipH="1">
          <a:off x="9315450" y="110392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561974</xdr:colOff>
      <xdr:row>0</xdr:row>
      <xdr:rowOff>85725</xdr:rowOff>
    </xdr:from>
    <xdr:to>
      <xdr:col>15</xdr:col>
      <xdr:colOff>64499</xdr:colOff>
      <xdr:row>2</xdr:row>
      <xdr:rowOff>149475</xdr:rowOff>
    </xdr:to>
    <xdr:sp macro="" textlink="">
      <xdr:nvSpPr>
        <xdr:cNvPr id="9" name="AutoShape 32"/>
        <xdr:cNvSpPr>
          <a:spLocks noChangeArrowheads="1"/>
        </xdr:cNvSpPr>
      </xdr:nvSpPr>
      <xdr:spPr bwMode="auto">
        <a:xfrm>
          <a:off x="6953249"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8</xdr:col>
      <xdr:colOff>0</xdr:colOff>
      <xdr:row>4</xdr:row>
      <xdr:rowOff>133350</xdr:rowOff>
    </xdr:from>
    <xdr:to>
      <xdr:col>15</xdr:col>
      <xdr:colOff>0</xdr:colOff>
      <xdr:row>32</xdr:row>
      <xdr:rowOff>0</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16</xdr:col>
      <xdr:colOff>57150</xdr:colOff>
      <xdr:row>0</xdr:row>
      <xdr:rowOff>193416</xdr:rowOff>
    </xdr:from>
    <xdr:to>
      <xdr:col>16</xdr:col>
      <xdr:colOff>381000</xdr:colOff>
      <xdr:row>2</xdr:row>
      <xdr:rowOff>47625</xdr:rowOff>
    </xdr:to>
    <xdr:pic macro="[0]!Home">
      <xdr:nvPicPr>
        <xdr:cNvPr id="6"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16</xdr:col>
      <xdr:colOff>57150</xdr:colOff>
      <xdr:row>3</xdr:row>
      <xdr:rowOff>0</xdr:rowOff>
    </xdr:from>
    <xdr:to>
      <xdr:col>16</xdr:col>
      <xdr:colOff>304800</xdr:colOff>
      <xdr:row>4</xdr:row>
      <xdr:rowOff>104775</xdr:rowOff>
    </xdr:to>
    <xdr:sp macro="[0]!IDACI" textlink="">
      <xdr:nvSpPr>
        <xdr:cNvPr id="12" name="Right Arrow 50"/>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16</xdr:col>
      <xdr:colOff>133350</xdr:colOff>
      <xdr:row>5</xdr:row>
      <xdr:rowOff>18075</xdr:rowOff>
    </xdr:from>
    <xdr:to>
      <xdr:col>16</xdr:col>
      <xdr:colOff>381000</xdr:colOff>
      <xdr:row>6</xdr:row>
      <xdr:rowOff>123825</xdr:rowOff>
    </xdr:to>
    <xdr:sp macro="[0]!Referrals" textlink="">
      <xdr:nvSpPr>
        <xdr:cNvPr id="13" name="Right Arrow 50"/>
        <xdr:cNvSpPr>
          <a:spLocks noChangeArrowheads="1"/>
        </xdr:cNvSpPr>
      </xdr:nvSpPr>
      <xdr:spPr bwMode="auto">
        <a:xfrm rot="10800000" flipH="1">
          <a:off x="9324975"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347250</xdr:colOff>
      <xdr:row>36</xdr:row>
      <xdr:rowOff>95250</xdr:rowOff>
    </xdr:to>
    <xdr:sp macro="[0]!Referrals" textlink="">
      <xdr:nvSpPr>
        <xdr:cNvPr id="2" name="Down Arrow 44"/>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Referrals" textlink="">
      <xdr:nvSpPr>
        <xdr:cNvPr id="3" name="Down Arrow 2"/>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9" name="Oval 2165"/>
        <xdr:cNvSpPr>
          <a:spLocks noChangeArrowheads="1"/>
        </xdr:cNvSpPr>
      </xdr:nvSpPr>
      <xdr:spPr bwMode="auto">
        <a:xfrm>
          <a:off x="4943475" y="115252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495298</xdr:colOff>
      <xdr:row>0</xdr:row>
      <xdr:rowOff>85725</xdr:rowOff>
    </xdr:from>
    <xdr:to>
      <xdr:col>20</xdr:col>
      <xdr:colOff>64498</xdr:colOff>
      <xdr:row>2</xdr:row>
      <xdr:rowOff>149475</xdr:rowOff>
    </xdr:to>
    <xdr:sp macro="" textlink="">
      <xdr:nvSpPr>
        <xdr:cNvPr id="10" name="AutoShape 32"/>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11"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85725</xdr:rowOff>
        </xdr:from>
        <xdr:to>
          <xdr:col>35</xdr:col>
          <xdr:colOff>47625</xdr:colOff>
          <xdr:row>40</xdr:row>
          <xdr:rowOff>19050</xdr:rowOff>
        </xdr:to>
        <xdr:sp macro="" textlink="">
          <xdr:nvSpPr>
            <xdr:cNvPr id="34817" name="Check Box 1" hidden="1">
              <a:extLst>
                <a:ext uri="{63B3BB69-23CF-44E3-9099-C40C66FF867C}">
                  <a14:compatExt spid="_x0000_s348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161925</xdr:rowOff>
        </xdr:from>
        <xdr:to>
          <xdr:col>35</xdr:col>
          <xdr:colOff>47625</xdr:colOff>
          <xdr:row>41</xdr:row>
          <xdr:rowOff>19050</xdr:rowOff>
        </xdr:to>
        <xdr:sp macro="" textlink="">
          <xdr:nvSpPr>
            <xdr:cNvPr id="34818" name="Check Box 2" hidden="1">
              <a:extLst>
                <a:ext uri="{63B3BB69-23CF-44E3-9099-C40C66FF867C}">
                  <a14:compatExt spid="_x0000_s348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161925</xdr:rowOff>
        </xdr:from>
        <xdr:to>
          <xdr:col>35</xdr:col>
          <xdr:colOff>47625</xdr:colOff>
          <xdr:row>42</xdr:row>
          <xdr:rowOff>19050</xdr:rowOff>
        </xdr:to>
        <xdr:sp macro="" textlink="">
          <xdr:nvSpPr>
            <xdr:cNvPr id="34819" name="Check Box 3" hidden="1">
              <a:extLst>
                <a:ext uri="{63B3BB69-23CF-44E3-9099-C40C66FF867C}">
                  <a14:compatExt spid="_x0000_s348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161925</xdr:rowOff>
        </xdr:from>
        <xdr:to>
          <xdr:col>35</xdr:col>
          <xdr:colOff>47625</xdr:colOff>
          <xdr:row>43</xdr:row>
          <xdr:rowOff>19050</xdr:rowOff>
        </xdr:to>
        <xdr:sp macro="" textlink="">
          <xdr:nvSpPr>
            <xdr:cNvPr id="34820" name="Check Box 4" hidden="1">
              <a:extLst>
                <a:ext uri="{63B3BB69-23CF-44E3-9099-C40C66FF867C}">
                  <a14:compatExt spid="_x0000_s348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161925</xdr:rowOff>
        </xdr:from>
        <xdr:to>
          <xdr:col>35</xdr:col>
          <xdr:colOff>47625</xdr:colOff>
          <xdr:row>44</xdr:row>
          <xdr:rowOff>19050</xdr:rowOff>
        </xdr:to>
        <xdr:sp macro="" textlink="">
          <xdr:nvSpPr>
            <xdr:cNvPr id="34821" name="Check Box 5" hidden="1">
              <a:extLst>
                <a:ext uri="{63B3BB69-23CF-44E3-9099-C40C66FF867C}">
                  <a14:compatExt spid="_x0000_s348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161925</xdr:rowOff>
        </xdr:from>
        <xdr:to>
          <xdr:col>35</xdr:col>
          <xdr:colOff>47625</xdr:colOff>
          <xdr:row>45</xdr:row>
          <xdr:rowOff>19050</xdr:rowOff>
        </xdr:to>
        <xdr:sp macro="" textlink="">
          <xdr:nvSpPr>
            <xdr:cNvPr id="34822" name="Check Box 6" hidden="1">
              <a:extLst>
                <a:ext uri="{63B3BB69-23CF-44E3-9099-C40C66FF867C}">
                  <a14:compatExt spid="_x0000_s348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161925</xdr:rowOff>
        </xdr:from>
        <xdr:to>
          <xdr:col>35</xdr:col>
          <xdr:colOff>47625</xdr:colOff>
          <xdr:row>46</xdr:row>
          <xdr:rowOff>19050</xdr:rowOff>
        </xdr:to>
        <xdr:sp macro="" textlink="">
          <xdr:nvSpPr>
            <xdr:cNvPr id="34823" name="Check Box 7" hidden="1">
              <a:extLst>
                <a:ext uri="{63B3BB69-23CF-44E3-9099-C40C66FF867C}">
                  <a14:compatExt spid="_x0000_s348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161925</xdr:rowOff>
        </xdr:from>
        <xdr:to>
          <xdr:col>35</xdr:col>
          <xdr:colOff>47625</xdr:colOff>
          <xdr:row>47</xdr:row>
          <xdr:rowOff>19050</xdr:rowOff>
        </xdr:to>
        <xdr:sp macro="" textlink="">
          <xdr:nvSpPr>
            <xdr:cNvPr id="34824" name="Check Box 8" hidden="1">
              <a:extLst>
                <a:ext uri="{63B3BB69-23CF-44E3-9099-C40C66FF867C}">
                  <a14:compatExt spid="_x0000_s348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161925</xdr:rowOff>
        </xdr:from>
        <xdr:to>
          <xdr:col>35</xdr:col>
          <xdr:colOff>47625</xdr:colOff>
          <xdr:row>48</xdr:row>
          <xdr:rowOff>19050</xdr:rowOff>
        </xdr:to>
        <xdr:sp macro="" textlink="">
          <xdr:nvSpPr>
            <xdr:cNvPr id="34825" name="Check Box 9" hidden="1">
              <a:extLst>
                <a:ext uri="{63B3BB69-23CF-44E3-9099-C40C66FF867C}">
                  <a14:compatExt spid="_x0000_s348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161925</xdr:rowOff>
        </xdr:from>
        <xdr:to>
          <xdr:col>35</xdr:col>
          <xdr:colOff>47625</xdr:colOff>
          <xdr:row>49</xdr:row>
          <xdr:rowOff>19050</xdr:rowOff>
        </xdr:to>
        <xdr:sp macro="" textlink="">
          <xdr:nvSpPr>
            <xdr:cNvPr id="34826" name="Check Box 10" hidden="1">
              <a:extLst>
                <a:ext uri="{63B3BB69-23CF-44E3-9099-C40C66FF867C}">
                  <a14:compatExt spid="_x0000_s348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161925</xdr:rowOff>
        </xdr:from>
        <xdr:to>
          <xdr:col>35</xdr:col>
          <xdr:colOff>47625</xdr:colOff>
          <xdr:row>50</xdr:row>
          <xdr:rowOff>19050</xdr:rowOff>
        </xdr:to>
        <xdr:sp macro="" textlink="">
          <xdr:nvSpPr>
            <xdr:cNvPr id="34827" name="Check Box 11" hidden="1">
              <a:extLst>
                <a:ext uri="{63B3BB69-23CF-44E3-9099-C40C66FF867C}">
                  <a14:compatExt spid="_x0000_s348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161925</xdr:rowOff>
        </xdr:from>
        <xdr:to>
          <xdr:col>35</xdr:col>
          <xdr:colOff>47625</xdr:colOff>
          <xdr:row>51</xdr:row>
          <xdr:rowOff>19050</xdr:rowOff>
        </xdr:to>
        <xdr:sp macro="" textlink="">
          <xdr:nvSpPr>
            <xdr:cNvPr id="34828" name="Check Box 12" hidden="1">
              <a:extLst>
                <a:ext uri="{63B3BB69-23CF-44E3-9099-C40C66FF867C}">
                  <a14:compatExt spid="_x0000_s348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161925</xdr:rowOff>
        </xdr:from>
        <xdr:to>
          <xdr:col>35</xdr:col>
          <xdr:colOff>47625</xdr:colOff>
          <xdr:row>52</xdr:row>
          <xdr:rowOff>19050</xdr:rowOff>
        </xdr:to>
        <xdr:sp macro="" textlink="">
          <xdr:nvSpPr>
            <xdr:cNvPr id="34829" name="Check Box 13" hidden="1">
              <a:extLst>
                <a:ext uri="{63B3BB69-23CF-44E3-9099-C40C66FF867C}">
                  <a14:compatExt spid="_x0000_s348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161925</xdr:rowOff>
        </xdr:from>
        <xdr:to>
          <xdr:col>35</xdr:col>
          <xdr:colOff>47625</xdr:colOff>
          <xdr:row>53</xdr:row>
          <xdr:rowOff>19050</xdr:rowOff>
        </xdr:to>
        <xdr:sp macro="" textlink="">
          <xdr:nvSpPr>
            <xdr:cNvPr id="34830" name="Check Box 14" hidden="1">
              <a:extLst>
                <a:ext uri="{63B3BB69-23CF-44E3-9099-C40C66FF867C}">
                  <a14:compatExt spid="_x0000_s348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161925</xdr:rowOff>
        </xdr:from>
        <xdr:to>
          <xdr:col>35</xdr:col>
          <xdr:colOff>47625</xdr:colOff>
          <xdr:row>54</xdr:row>
          <xdr:rowOff>19050</xdr:rowOff>
        </xdr:to>
        <xdr:sp macro="" textlink="">
          <xdr:nvSpPr>
            <xdr:cNvPr id="34831" name="Check Box 15" hidden="1">
              <a:extLst>
                <a:ext uri="{63B3BB69-23CF-44E3-9099-C40C66FF867C}">
                  <a14:compatExt spid="_x0000_s348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161925</xdr:rowOff>
        </xdr:from>
        <xdr:to>
          <xdr:col>35</xdr:col>
          <xdr:colOff>47625</xdr:colOff>
          <xdr:row>55</xdr:row>
          <xdr:rowOff>19050</xdr:rowOff>
        </xdr:to>
        <xdr:sp macro="" textlink="">
          <xdr:nvSpPr>
            <xdr:cNvPr id="34832" name="Check Box 16" hidden="1">
              <a:extLst>
                <a:ext uri="{63B3BB69-23CF-44E3-9099-C40C66FF867C}">
                  <a14:compatExt spid="_x0000_s348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161925</xdr:rowOff>
        </xdr:from>
        <xdr:to>
          <xdr:col>35</xdr:col>
          <xdr:colOff>47625</xdr:colOff>
          <xdr:row>58</xdr:row>
          <xdr:rowOff>19050</xdr:rowOff>
        </xdr:to>
        <xdr:sp macro="" textlink="">
          <xdr:nvSpPr>
            <xdr:cNvPr id="34833" name="Check Box 17" hidden="1">
              <a:extLst>
                <a:ext uri="{63B3BB69-23CF-44E3-9099-C40C66FF867C}">
                  <a14:compatExt spid="_x0000_s348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161925</xdr:rowOff>
        </xdr:from>
        <xdr:to>
          <xdr:col>35</xdr:col>
          <xdr:colOff>47625</xdr:colOff>
          <xdr:row>59</xdr:row>
          <xdr:rowOff>19050</xdr:rowOff>
        </xdr:to>
        <xdr:sp macro="" textlink="">
          <xdr:nvSpPr>
            <xdr:cNvPr id="34834" name="Check Box 18" hidden="1">
              <a:extLst>
                <a:ext uri="{63B3BB69-23CF-44E3-9099-C40C66FF867C}">
                  <a14:compatExt spid="_x0000_s348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161925</xdr:rowOff>
        </xdr:from>
        <xdr:to>
          <xdr:col>35</xdr:col>
          <xdr:colOff>47625</xdr:colOff>
          <xdr:row>60</xdr:row>
          <xdr:rowOff>19050</xdr:rowOff>
        </xdr:to>
        <xdr:sp macro="" textlink="">
          <xdr:nvSpPr>
            <xdr:cNvPr id="34835" name="Check Box 19" hidden="1">
              <a:extLst>
                <a:ext uri="{63B3BB69-23CF-44E3-9099-C40C66FF867C}">
                  <a14:compatExt spid="_x0000_s348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161925</xdr:rowOff>
        </xdr:from>
        <xdr:to>
          <xdr:col>35</xdr:col>
          <xdr:colOff>47625</xdr:colOff>
          <xdr:row>61</xdr:row>
          <xdr:rowOff>19050</xdr:rowOff>
        </xdr:to>
        <xdr:sp macro="" textlink="">
          <xdr:nvSpPr>
            <xdr:cNvPr id="34836" name="Check Box 20" hidden="1">
              <a:extLst>
                <a:ext uri="{63B3BB69-23CF-44E3-9099-C40C66FF867C}">
                  <a14:compatExt spid="_x0000_s348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161925</xdr:rowOff>
        </xdr:from>
        <xdr:to>
          <xdr:col>35</xdr:col>
          <xdr:colOff>47625</xdr:colOff>
          <xdr:row>62</xdr:row>
          <xdr:rowOff>19050</xdr:rowOff>
        </xdr:to>
        <xdr:sp macro="" textlink="">
          <xdr:nvSpPr>
            <xdr:cNvPr id="34837" name="Check Box 21" hidden="1">
              <a:extLst>
                <a:ext uri="{63B3BB69-23CF-44E3-9099-C40C66FF867C}">
                  <a14:compatExt spid="_x0000_s34837"/>
                </a:ext>
              </a:extLst>
            </xdr:cNvPr>
            <xdr:cNvSpPr/>
          </xdr:nvSpPr>
          <xdr:spPr>
            <a:xfrm>
              <a:off x="0" y="0"/>
              <a:ext cx="0" cy="0"/>
            </a:xfrm>
            <a:prstGeom prst="rect">
              <a:avLst/>
            </a:prstGeom>
          </xdr:spPr>
        </xdr:sp>
        <xdr:clientData/>
      </xdr:twoCellAnchor>
    </mc:Choice>
    <mc:Fallback/>
  </mc:AlternateContent>
  <xdr:oneCellAnchor>
    <xdr:from>
      <xdr:col>21</xdr:col>
      <xdr:colOff>95250</xdr:colOff>
      <xdr:row>138</xdr:row>
      <xdr:rowOff>33750</xdr:rowOff>
    </xdr:from>
    <xdr:ext cx="252000" cy="252000"/>
    <xdr:sp macro="[0]!Referrals" textlink="">
      <xdr:nvSpPr>
        <xdr:cNvPr id="33" name="Down Arrow 44"/>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38"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54</xdr:row>
          <xdr:rowOff>161925</xdr:rowOff>
        </xdr:from>
        <xdr:to>
          <xdr:col>35</xdr:col>
          <xdr:colOff>47625</xdr:colOff>
          <xdr:row>56</xdr:row>
          <xdr:rowOff>19050</xdr:rowOff>
        </xdr:to>
        <xdr:sp macro="" textlink="">
          <xdr:nvSpPr>
            <xdr:cNvPr id="34838" name="Check Box 22" hidden="1">
              <a:extLst>
                <a:ext uri="{63B3BB69-23CF-44E3-9099-C40C66FF867C}">
                  <a14:compatExt spid="_x0000_s348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161925</xdr:rowOff>
        </xdr:from>
        <xdr:to>
          <xdr:col>35</xdr:col>
          <xdr:colOff>47625</xdr:colOff>
          <xdr:row>57</xdr:row>
          <xdr:rowOff>19050</xdr:rowOff>
        </xdr:to>
        <xdr:sp macro="" textlink="">
          <xdr:nvSpPr>
            <xdr:cNvPr id="34839" name="Check Box 23" hidden="1">
              <a:extLst>
                <a:ext uri="{63B3BB69-23CF-44E3-9099-C40C66FF867C}">
                  <a14:compatExt spid="_x0000_s34839"/>
                </a:ext>
              </a:extLst>
            </xdr:cNvPr>
            <xdr:cNvSpPr/>
          </xdr:nvSpPr>
          <xdr:spPr>
            <a:xfrm>
              <a:off x="0" y="0"/>
              <a:ext cx="0" cy="0"/>
            </a:xfrm>
            <a:prstGeom prst="rect">
              <a:avLst/>
            </a:prstGeom>
          </xdr:spPr>
        </xdr:sp>
        <xdr:clientData/>
      </xdr:twoCellAnchor>
    </mc:Choice>
    <mc:Fallback/>
  </mc:AlternateContent>
  <xdr:twoCellAnchor>
    <xdr:from>
      <xdr:col>8</xdr:col>
      <xdr:colOff>514349</xdr:colOff>
      <xdr:row>106</xdr:row>
      <xdr:rowOff>95250</xdr:rowOff>
    </xdr:from>
    <xdr:to>
      <xdr:col>19</xdr:col>
      <xdr:colOff>514349</xdr:colOff>
      <xdr:row>136</xdr:row>
      <xdr:rowOff>533399</xdr:rowOff>
    </xdr:to>
    <xdr:graphicFrame macro="">
      <xdr:nvGraphicFramePr>
        <xdr:cNvPr id="3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61</xdr:row>
          <xdr:rowOff>161925</xdr:rowOff>
        </xdr:from>
        <xdr:to>
          <xdr:col>35</xdr:col>
          <xdr:colOff>47625</xdr:colOff>
          <xdr:row>63</xdr:row>
          <xdr:rowOff>28575</xdr:rowOff>
        </xdr:to>
        <xdr:sp macro="" textlink="">
          <xdr:nvSpPr>
            <xdr:cNvPr id="34840" name="Check Box 24" hidden="1">
              <a:extLst>
                <a:ext uri="{63B3BB69-23CF-44E3-9099-C40C66FF867C}">
                  <a14:compatExt spid="_x0000_s34840"/>
                </a:ext>
              </a:extLst>
            </xdr:cNvPr>
            <xdr:cNvSpPr/>
          </xdr:nvSpPr>
          <xdr:spPr>
            <a:xfrm>
              <a:off x="0" y="0"/>
              <a:ext cx="0" cy="0"/>
            </a:xfrm>
            <a:prstGeom prst="rect">
              <a:avLst/>
            </a:prstGeom>
          </xdr:spPr>
        </xdr:sp>
        <xdr:clientData/>
      </xdr:twoCellAnchor>
    </mc:Choice>
    <mc:Fallback/>
  </mc:AlternateContent>
  <xdr:oneCellAnchor>
    <xdr:from>
      <xdr:col>21</xdr:col>
      <xdr:colOff>95250</xdr:colOff>
      <xdr:row>103</xdr:row>
      <xdr:rowOff>33750</xdr:rowOff>
    </xdr:from>
    <xdr:ext cx="252000" cy="252000"/>
    <xdr:sp macro="[0]!Referrals" textlink="">
      <xdr:nvSpPr>
        <xdr:cNvPr id="40" name="Down Arrow 44"/>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20</xdr:col>
      <xdr:colOff>0</xdr:colOff>
      <xdr:row>102</xdr:row>
      <xdr:rowOff>0</xdr:rowOff>
    </xdr:to>
    <xdr:graphicFrame macro="">
      <xdr:nvGraphicFramePr>
        <xdr:cNvPr id="44"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45"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42"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43"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76199</xdr:rowOff>
    </xdr:from>
    <xdr:to>
      <xdr:col>17</xdr:col>
      <xdr:colOff>367425</xdr:colOff>
      <xdr:row>63</xdr:row>
      <xdr:rowOff>76199</xdr:rowOff>
    </xdr:to>
    <xdr:sp macro="" textlink="">
      <xdr:nvSpPr>
        <xdr:cNvPr id="46"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21</xdr:col>
      <xdr:colOff>57150</xdr:colOff>
      <xdr:row>0</xdr:row>
      <xdr:rowOff>193416</xdr:rowOff>
    </xdr:from>
    <xdr:to>
      <xdr:col>21</xdr:col>
      <xdr:colOff>381000</xdr:colOff>
      <xdr:row>2</xdr:row>
      <xdr:rowOff>47625</xdr:rowOff>
    </xdr:to>
    <xdr:pic macro="[0]!Home">
      <xdr:nvPicPr>
        <xdr:cNvPr id="50" name="Picture 49"/>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48775" y="193416"/>
          <a:ext cx="32385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Population" textlink="">
      <xdr:nvSpPr>
        <xdr:cNvPr id="51" name="Right Arrow 50"/>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Referral_Source" textlink="">
      <xdr:nvSpPr>
        <xdr:cNvPr id="52" name="Right Arrow 50"/>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18</xdr:col>
      <xdr:colOff>9524</xdr:colOff>
      <xdr:row>0</xdr:row>
      <xdr:rowOff>85725</xdr:rowOff>
    </xdr:from>
    <xdr:to>
      <xdr:col>24</xdr:col>
      <xdr:colOff>64499</xdr:colOff>
      <xdr:row>2</xdr:row>
      <xdr:rowOff>149475</xdr:rowOff>
    </xdr:to>
    <xdr:sp macro="" textlink="">
      <xdr:nvSpPr>
        <xdr:cNvPr id="10" name="AutoShape 32"/>
        <xdr:cNvSpPr>
          <a:spLocks noChangeArrowheads="1"/>
        </xdr:cNvSpPr>
      </xdr:nvSpPr>
      <xdr:spPr bwMode="auto">
        <a:xfrm>
          <a:off x="6953249"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xdr:col>
      <xdr:colOff>0</xdr:colOff>
      <xdr:row>72</xdr:row>
      <xdr:rowOff>1</xdr:rowOff>
    </xdr:from>
    <xdr:to>
      <xdr:col>7</xdr:col>
      <xdr:colOff>76200</xdr:colOff>
      <xdr:row>80</xdr:row>
      <xdr:rowOff>1</xdr:rowOff>
    </xdr:to>
    <xdr:graphicFrame macro="">
      <xdr:nvGraphicFramePr>
        <xdr:cNvPr id="13"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85725</xdr:colOff>
      <xdr:row>72</xdr:row>
      <xdr:rowOff>1</xdr:rowOff>
    </xdr:from>
    <xdr:to>
      <xdr:col>15</xdr:col>
      <xdr:colOff>209550</xdr:colOff>
      <xdr:row>80</xdr:row>
      <xdr:rowOff>1</xdr:rowOff>
    </xdr:to>
    <xdr:graphicFrame macro="">
      <xdr:nvGraphicFramePr>
        <xdr:cNvPr id="24"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219075</xdr:colOff>
      <xdr:row>72</xdr:row>
      <xdr:rowOff>1</xdr:rowOff>
    </xdr:from>
    <xdr:to>
      <xdr:col>24</xdr:col>
      <xdr:colOff>0</xdr:colOff>
      <xdr:row>80</xdr:row>
      <xdr:rowOff>1</xdr:rowOff>
    </xdr:to>
    <xdr:graphicFrame macro="">
      <xdr:nvGraphicFramePr>
        <xdr:cNvPr id="25"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80</xdr:row>
      <xdr:rowOff>0</xdr:rowOff>
    </xdr:from>
    <xdr:to>
      <xdr:col>7</xdr:col>
      <xdr:colOff>76200</xdr:colOff>
      <xdr:row>88</xdr:row>
      <xdr:rowOff>0</xdr:rowOff>
    </xdr:to>
    <xdr:graphicFrame macro="">
      <xdr:nvGraphicFramePr>
        <xdr:cNvPr id="26"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85725</xdr:colOff>
      <xdr:row>80</xdr:row>
      <xdr:rowOff>0</xdr:rowOff>
    </xdr:from>
    <xdr:to>
      <xdr:col>15</xdr:col>
      <xdr:colOff>209550</xdr:colOff>
      <xdr:row>88</xdr:row>
      <xdr:rowOff>0</xdr:rowOff>
    </xdr:to>
    <xdr:graphicFrame macro="">
      <xdr:nvGraphicFramePr>
        <xdr:cNvPr id="27"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219075</xdr:colOff>
      <xdr:row>80</xdr:row>
      <xdr:rowOff>0</xdr:rowOff>
    </xdr:from>
    <xdr:to>
      <xdr:col>24</xdr:col>
      <xdr:colOff>0</xdr:colOff>
      <xdr:row>88</xdr:row>
      <xdr:rowOff>0</xdr:rowOff>
    </xdr:to>
    <xdr:graphicFrame macro="">
      <xdr:nvGraphicFramePr>
        <xdr:cNvPr id="28"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88</xdr:row>
      <xdr:rowOff>0</xdr:rowOff>
    </xdr:from>
    <xdr:to>
      <xdr:col>5</xdr:col>
      <xdr:colOff>47624</xdr:colOff>
      <xdr:row>96</xdr:row>
      <xdr:rowOff>0</xdr:rowOff>
    </xdr:to>
    <xdr:graphicFrame macro="">
      <xdr:nvGraphicFramePr>
        <xdr:cNvPr id="17"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57151</xdr:colOff>
      <xdr:row>88</xdr:row>
      <xdr:rowOff>0</xdr:rowOff>
    </xdr:from>
    <xdr:to>
      <xdr:col>11</xdr:col>
      <xdr:colOff>152400</xdr:colOff>
      <xdr:row>96</xdr:row>
      <xdr:rowOff>0</xdr:rowOff>
    </xdr:to>
    <xdr:graphicFrame macro="">
      <xdr:nvGraphicFramePr>
        <xdr:cNvPr id="18"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161924</xdr:colOff>
      <xdr:row>88</xdr:row>
      <xdr:rowOff>0</xdr:rowOff>
    </xdr:from>
    <xdr:to>
      <xdr:col>17</xdr:col>
      <xdr:colOff>257173</xdr:colOff>
      <xdr:row>96</xdr:row>
      <xdr:rowOff>0</xdr:rowOff>
    </xdr:to>
    <xdr:graphicFrame macro="">
      <xdr:nvGraphicFramePr>
        <xdr:cNvPr id="19"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266700</xdr:colOff>
      <xdr:row>88</xdr:row>
      <xdr:rowOff>0</xdr:rowOff>
    </xdr:from>
    <xdr:to>
      <xdr:col>23</xdr:col>
      <xdr:colOff>342899</xdr:colOff>
      <xdr:row>96</xdr:row>
      <xdr:rowOff>0</xdr:rowOff>
    </xdr:to>
    <xdr:graphicFrame macro="">
      <xdr:nvGraphicFramePr>
        <xdr:cNvPr id="20"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25</xdr:col>
      <xdr:colOff>95250</xdr:colOff>
      <xdr:row>68</xdr:row>
      <xdr:rowOff>33750</xdr:rowOff>
    </xdr:from>
    <xdr:ext cx="252000" cy="252000"/>
    <xdr:sp macro="[0]!Referral_Source" textlink="">
      <xdr:nvSpPr>
        <xdr:cNvPr id="21" name="Down Arrow 44"/>
        <xdr:cNvSpPr>
          <a:spLocks noChangeArrowheads="1"/>
        </xdr:cNvSpPr>
      </xdr:nvSpPr>
      <xdr:spPr bwMode="auto">
        <a:xfrm flipV="1">
          <a:off x="9229725" y="131877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25</xdr:col>
      <xdr:colOff>95250</xdr:colOff>
      <xdr:row>97</xdr:row>
      <xdr:rowOff>5175</xdr:rowOff>
    </xdr:from>
    <xdr:ext cx="252000" cy="252000"/>
    <xdr:sp macro="[0]!Referral_Source" textlink="">
      <xdr:nvSpPr>
        <xdr:cNvPr id="22" name="Down Arrow 44"/>
        <xdr:cNvSpPr>
          <a:spLocks noChangeArrowheads="1"/>
        </xdr:cNvSpPr>
      </xdr:nvSpPr>
      <xdr:spPr bwMode="auto">
        <a:xfrm flipV="1">
          <a:off x="9229725" y="199219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21</xdr:col>
      <xdr:colOff>333375</xdr:colOff>
      <xdr:row>71</xdr:row>
      <xdr:rowOff>47625</xdr:rowOff>
    </xdr:from>
    <xdr:to>
      <xdr:col>24</xdr:col>
      <xdr:colOff>2347</xdr:colOff>
      <xdr:row>71</xdr:row>
      <xdr:rowOff>169556</xdr:rowOff>
    </xdr:to>
    <xdr:pic>
      <xdr:nvPicPr>
        <xdr:cNvPr id="3" name="Picture 2"/>
        <xdr:cNvPicPr>
          <a:picLocks noChangeAspect="1"/>
        </xdr:cNvPicPr>
      </xdr:nvPicPr>
      <xdr:blipFill>
        <a:blip xmlns:r="http://schemas.openxmlformats.org/officeDocument/2006/relationships" r:embed="rId11"/>
        <a:stretch>
          <a:fillRect/>
        </a:stretch>
      </xdr:blipFill>
      <xdr:spPr>
        <a:xfrm>
          <a:off x="8286750" y="13677900"/>
          <a:ext cx="707197" cy="121931"/>
        </a:xfrm>
        <a:prstGeom prst="rect">
          <a:avLst/>
        </a:prstGeom>
        <a:ln>
          <a:solidFill>
            <a:schemeClr val="tx1"/>
          </a:solidFill>
        </a:ln>
      </xdr:spPr>
    </xdr:pic>
    <xdr:clientData/>
  </xdr:twoCellAnchor>
  <xdr:twoCellAnchor editAs="oneCell">
    <xdr:from>
      <xdr:col>25</xdr:col>
      <xdr:colOff>66675</xdr:colOff>
      <xdr:row>0</xdr:row>
      <xdr:rowOff>193416</xdr:rowOff>
    </xdr:from>
    <xdr:to>
      <xdr:col>25</xdr:col>
      <xdr:colOff>371475</xdr:colOff>
      <xdr:row>2</xdr:row>
      <xdr:rowOff>47625</xdr:rowOff>
    </xdr:to>
    <xdr:pic macro="[0]!Home">
      <xdr:nvPicPr>
        <xdr:cNvPr id="23" name="Picture 2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258300" y="193416"/>
          <a:ext cx="304800" cy="330459"/>
        </a:xfrm>
        <a:prstGeom prst="rect">
          <a:avLst/>
        </a:prstGeom>
      </xdr:spPr>
    </xdr:pic>
    <xdr:clientData/>
  </xdr:twoCellAnchor>
  <xdr:twoCellAnchor editAs="oneCell">
    <xdr:from>
      <xdr:col>25</xdr:col>
      <xdr:colOff>57150</xdr:colOff>
      <xdr:row>3</xdr:row>
      <xdr:rowOff>0</xdr:rowOff>
    </xdr:from>
    <xdr:to>
      <xdr:col>25</xdr:col>
      <xdr:colOff>304800</xdr:colOff>
      <xdr:row>4</xdr:row>
      <xdr:rowOff>133350</xdr:rowOff>
    </xdr:to>
    <xdr:sp macro="[0]!Referrals" textlink="">
      <xdr:nvSpPr>
        <xdr:cNvPr id="29" name="Right Arrow 28"/>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absolute">
    <xdr:from>
      <xdr:col>25</xdr:col>
      <xdr:colOff>133350</xdr:colOff>
      <xdr:row>5</xdr:row>
      <xdr:rowOff>27600</xdr:rowOff>
    </xdr:from>
    <xdr:to>
      <xdr:col>25</xdr:col>
      <xdr:colOff>381000</xdr:colOff>
      <xdr:row>38</xdr:row>
      <xdr:rowOff>133350</xdr:rowOff>
    </xdr:to>
    <xdr:sp macro="[0]!Re_referrals" textlink="">
      <xdr:nvSpPr>
        <xdr:cNvPr id="30" name="Right Arrow 50"/>
        <xdr:cNvSpPr>
          <a:spLocks noChangeArrowheads="1"/>
        </xdr:cNvSpPr>
      </xdr:nvSpPr>
      <xdr:spPr bwMode="auto">
        <a:xfrm rot="10800000" flipH="1">
          <a:off x="9324975"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347250</xdr:colOff>
      <xdr:row>36</xdr:row>
      <xdr:rowOff>95250</xdr:rowOff>
    </xdr:to>
    <xdr:sp macro="[0]!Re_referrals" textlink="">
      <xdr:nvSpPr>
        <xdr:cNvPr id="2" name="Down Arrow 44"/>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Re_referrals" textlink="">
      <xdr:nvSpPr>
        <xdr:cNvPr id="3" name="Down Arrow 2"/>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9"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495298</xdr:colOff>
      <xdr:row>0</xdr:row>
      <xdr:rowOff>85725</xdr:rowOff>
    </xdr:from>
    <xdr:to>
      <xdr:col>20</xdr:col>
      <xdr:colOff>64498</xdr:colOff>
      <xdr:row>2</xdr:row>
      <xdr:rowOff>149475</xdr:rowOff>
    </xdr:to>
    <xdr:sp macro="" textlink="">
      <xdr:nvSpPr>
        <xdr:cNvPr id="10" name="AutoShape 32"/>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11"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85725</xdr:rowOff>
        </xdr:from>
        <xdr:to>
          <xdr:col>35</xdr:col>
          <xdr:colOff>47625</xdr:colOff>
          <xdr:row>40</xdr:row>
          <xdr:rowOff>28575</xdr:rowOff>
        </xdr:to>
        <xdr:sp macro="" textlink="">
          <xdr:nvSpPr>
            <xdr:cNvPr id="86017" name="Check Box 1" hidden="1">
              <a:extLst>
                <a:ext uri="{63B3BB69-23CF-44E3-9099-C40C66FF867C}">
                  <a14:compatExt spid="_x0000_s860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171450</xdr:rowOff>
        </xdr:from>
        <xdr:to>
          <xdr:col>35</xdr:col>
          <xdr:colOff>47625</xdr:colOff>
          <xdr:row>41</xdr:row>
          <xdr:rowOff>28575</xdr:rowOff>
        </xdr:to>
        <xdr:sp macro="" textlink="">
          <xdr:nvSpPr>
            <xdr:cNvPr id="86018" name="Check Box 2" hidden="1">
              <a:extLst>
                <a:ext uri="{63B3BB69-23CF-44E3-9099-C40C66FF867C}">
                  <a14:compatExt spid="_x0000_s860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171450</xdr:rowOff>
        </xdr:from>
        <xdr:to>
          <xdr:col>35</xdr:col>
          <xdr:colOff>47625</xdr:colOff>
          <xdr:row>42</xdr:row>
          <xdr:rowOff>28575</xdr:rowOff>
        </xdr:to>
        <xdr:sp macro="" textlink="">
          <xdr:nvSpPr>
            <xdr:cNvPr id="86019" name="Check Box 3" hidden="1">
              <a:extLst>
                <a:ext uri="{63B3BB69-23CF-44E3-9099-C40C66FF867C}">
                  <a14:compatExt spid="_x0000_s860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171450</xdr:rowOff>
        </xdr:from>
        <xdr:to>
          <xdr:col>35</xdr:col>
          <xdr:colOff>47625</xdr:colOff>
          <xdr:row>43</xdr:row>
          <xdr:rowOff>28575</xdr:rowOff>
        </xdr:to>
        <xdr:sp macro="" textlink="">
          <xdr:nvSpPr>
            <xdr:cNvPr id="86020" name="Check Box 4" hidden="1">
              <a:extLst>
                <a:ext uri="{63B3BB69-23CF-44E3-9099-C40C66FF867C}">
                  <a14:compatExt spid="_x0000_s860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171450</xdr:rowOff>
        </xdr:from>
        <xdr:to>
          <xdr:col>35</xdr:col>
          <xdr:colOff>47625</xdr:colOff>
          <xdr:row>44</xdr:row>
          <xdr:rowOff>28575</xdr:rowOff>
        </xdr:to>
        <xdr:sp macro="" textlink="">
          <xdr:nvSpPr>
            <xdr:cNvPr id="86021" name="Check Box 5" hidden="1">
              <a:extLst>
                <a:ext uri="{63B3BB69-23CF-44E3-9099-C40C66FF867C}">
                  <a14:compatExt spid="_x0000_s860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171450</xdr:rowOff>
        </xdr:from>
        <xdr:to>
          <xdr:col>35</xdr:col>
          <xdr:colOff>47625</xdr:colOff>
          <xdr:row>45</xdr:row>
          <xdr:rowOff>28575</xdr:rowOff>
        </xdr:to>
        <xdr:sp macro="" textlink="">
          <xdr:nvSpPr>
            <xdr:cNvPr id="86022" name="Check Box 6" hidden="1">
              <a:extLst>
                <a:ext uri="{63B3BB69-23CF-44E3-9099-C40C66FF867C}">
                  <a14:compatExt spid="_x0000_s860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171450</xdr:rowOff>
        </xdr:from>
        <xdr:to>
          <xdr:col>35</xdr:col>
          <xdr:colOff>47625</xdr:colOff>
          <xdr:row>46</xdr:row>
          <xdr:rowOff>28575</xdr:rowOff>
        </xdr:to>
        <xdr:sp macro="" textlink="">
          <xdr:nvSpPr>
            <xdr:cNvPr id="86023" name="Check Box 7" hidden="1">
              <a:extLst>
                <a:ext uri="{63B3BB69-23CF-44E3-9099-C40C66FF867C}">
                  <a14:compatExt spid="_x0000_s860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171450</xdr:rowOff>
        </xdr:from>
        <xdr:to>
          <xdr:col>35</xdr:col>
          <xdr:colOff>47625</xdr:colOff>
          <xdr:row>47</xdr:row>
          <xdr:rowOff>28575</xdr:rowOff>
        </xdr:to>
        <xdr:sp macro="" textlink="">
          <xdr:nvSpPr>
            <xdr:cNvPr id="86024" name="Check Box 8" hidden="1">
              <a:extLst>
                <a:ext uri="{63B3BB69-23CF-44E3-9099-C40C66FF867C}">
                  <a14:compatExt spid="_x0000_s860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171450</xdr:rowOff>
        </xdr:from>
        <xdr:to>
          <xdr:col>35</xdr:col>
          <xdr:colOff>47625</xdr:colOff>
          <xdr:row>48</xdr:row>
          <xdr:rowOff>28575</xdr:rowOff>
        </xdr:to>
        <xdr:sp macro="" textlink="">
          <xdr:nvSpPr>
            <xdr:cNvPr id="86025" name="Check Box 9" hidden="1">
              <a:extLst>
                <a:ext uri="{63B3BB69-23CF-44E3-9099-C40C66FF867C}">
                  <a14:compatExt spid="_x0000_s86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171450</xdr:rowOff>
        </xdr:from>
        <xdr:to>
          <xdr:col>35</xdr:col>
          <xdr:colOff>47625</xdr:colOff>
          <xdr:row>49</xdr:row>
          <xdr:rowOff>28575</xdr:rowOff>
        </xdr:to>
        <xdr:sp macro="" textlink="">
          <xdr:nvSpPr>
            <xdr:cNvPr id="86026" name="Check Box 10" hidden="1">
              <a:extLst>
                <a:ext uri="{63B3BB69-23CF-44E3-9099-C40C66FF867C}">
                  <a14:compatExt spid="_x0000_s86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171450</xdr:rowOff>
        </xdr:from>
        <xdr:to>
          <xdr:col>35</xdr:col>
          <xdr:colOff>47625</xdr:colOff>
          <xdr:row>50</xdr:row>
          <xdr:rowOff>28575</xdr:rowOff>
        </xdr:to>
        <xdr:sp macro="" textlink="">
          <xdr:nvSpPr>
            <xdr:cNvPr id="86027" name="Check Box 11" hidden="1">
              <a:extLst>
                <a:ext uri="{63B3BB69-23CF-44E3-9099-C40C66FF867C}">
                  <a14:compatExt spid="_x0000_s86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171450</xdr:rowOff>
        </xdr:from>
        <xdr:to>
          <xdr:col>35</xdr:col>
          <xdr:colOff>47625</xdr:colOff>
          <xdr:row>51</xdr:row>
          <xdr:rowOff>28575</xdr:rowOff>
        </xdr:to>
        <xdr:sp macro="" textlink="">
          <xdr:nvSpPr>
            <xdr:cNvPr id="86028" name="Check Box 12" hidden="1">
              <a:extLst>
                <a:ext uri="{63B3BB69-23CF-44E3-9099-C40C66FF867C}">
                  <a14:compatExt spid="_x0000_s86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171450</xdr:rowOff>
        </xdr:from>
        <xdr:to>
          <xdr:col>35</xdr:col>
          <xdr:colOff>47625</xdr:colOff>
          <xdr:row>52</xdr:row>
          <xdr:rowOff>28575</xdr:rowOff>
        </xdr:to>
        <xdr:sp macro="" textlink="">
          <xdr:nvSpPr>
            <xdr:cNvPr id="86029" name="Check Box 13" hidden="1">
              <a:extLst>
                <a:ext uri="{63B3BB69-23CF-44E3-9099-C40C66FF867C}">
                  <a14:compatExt spid="_x0000_s86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171450</xdr:rowOff>
        </xdr:from>
        <xdr:to>
          <xdr:col>35</xdr:col>
          <xdr:colOff>47625</xdr:colOff>
          <xdr:row>53</xdr:row>
          <xdr:rowOff>28575</xdr:rowOff>
        </xdr:to>
        <xdr:sp macro="" textlink="">
          <xdr:nvSpPr>
            <xdr:cNvPr id="86030" name="Check Box 14" hidden="1">
              <a:extLst>
                <a:ext uri="{63B3BB69-23CF-44E3-9099-C40C66FF867C}">
                  <a14:compatExt spid="_x0000_s86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171450</xdr:rowOff>
        </xdr:from>
        <xdr:to>
          <xdr:col>35</xdr:col>
          <xdr:colOff>47625</xdr:colOff>
          <xdr:row>54</xdr:row>
          <xdr:rowOff>28575</xdr:rowOff>
        </xdr:to>
        <xdr:sp macro="" textlink="">
          <xdr:nvSpPr>
            <xdr:cNvPr id="86031" name="Check Box 15" hidden="1">
              <a:extLst>
                <a:ext uri="{63B3BB69-23CF-44E3-9099-C40C66FF867C}">
                  <a14:compatExt spid="_x0000_s86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171450</xdr:rowOff>
        </xdr:from>
        <xdr:to>
          <xdr:col>35</xdr:col>
          <xdr:colOff>47625</xdr:colOff>
          <xdr:row>55</xdr:row>
          <xdr:rowOff>28575</xdr:rowOff>
        </xdr:to>
        <xdr:sp macro="" textlink="">
          <xdr:nvSpPr>
            <xdr:cNvPr id="86032" name="Check Box 16" hidden="1">
              <a:extLst>
                <a:ext uri="{63B3BB69-23CF-44E3-9099-C40C66FF867C}">
                  <a14:compatExt spid="_x0000_s86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171450</xdr:rowOff>
        </xdr:from>
        <xdr:to>
          <xdr:col>35</xdr:col>
          <xdr:colOff>47625</xdr:colOff>
          <xdr:row>58</xdr:row>
          <xdr:rowOff>28575</xdr:rowOff>
        </xdr:to>
        <xdr:sp macro="" textlink="">
          <xdr:nvSpPr>
            <xdr:cNvPr id="86033" name="Check Box 17" hidden="1">
              <a:extLst>
                <a:ext uri="{63B3BB69-23CF-44E3-9099-C40C66FF867C}">
                  <a14:compatExt spid="_x0000_s86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171450</xdr:rowOff>
        </xdr:from>
        <xdr:to>
          <xdr:col>35</xdr:col>
          <xdr:colOff>47625</xdr:colOff>
          <xdr:row>59</xdr:row>
          <xdr:rowOff>28575</xdr:rowOff>
        </xdr:to>
        <xdr:sp macro="" textlink="">
          <xdr:nvSpPr>
            <xdr:cNvPr id="86034" name="Check Box 18" hidden="1">
              <a:extLst>
                <a:ext uri="{63B3BB69-23CF-44E3-9099-C40C66FF867C}">
                  <a14:compatExt spid="_x0000_s86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171450</xdr:rowOff>
        </xdr:from>
        <xdr:to>
          <xdr:col>35</xdr:col>
          <xdr:colOff>47625</xdr:colOff>
          <xdr:row>60</xdr:row>
          <xdr:rowOff>28575</xdr:rowOff>
        </xdr:to>
        <xdr:sp macro="" textlink="">
          <xdr:nvSpPr>
            <xdr:cNvPr id="86035" name="Check Box 19" hidden="1">
              <a:extLst>
                <a:ext uri="{63B3BB69-23CF-44E3-9099-C40C66FF867C}">
                  <a14:compatExt spid="_x0000_s86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171450</xdr:rowOff>
        </xdr:from>
        <xdr:to>
          <xdr:col>35</xdr:col>
          <xdr:colOff>47625</xdr:colOff>
          <xdr:row>61</xdr:row>
          <xdr:rowOff>28575</xdr:rowOff>
        </xdr:to>
        <xdr:sp macro="" textlink="">
          <xdr:nvSpPr>
            <xdr:cNvPr id="86036" name="Check Box 20" hidden="1">
              <a:extLst>
                <a:ext uri="{63B3BB69-23CF-44E3-9099-C40C66FF867C}">
                  <a14:compatExt spid="_x0000_s86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171450</xdr:rowOff>
        </xdr:from>
        <xdr:to>
          <xdr:col>35</xdr:col>
          <xdr:colOff>47625</xdr:colOff>
          <xdr:row>62</xdr:row>
          <xdr:rowOff>28575</xdr:rowOff>
        </xdr:to>
        <xdr:sp macro="" textlink="">
          <xdr:nvSpPr>
            <xdr:cNvPr id="86037" name="Check Box 21" hidden="1">
              <a:extLst>
                <a:ext uri="{63B3BB69-23CF-44E3-9099-C40C66FF867C}">
                  <a14:compatExt spid="_x0000_s86037"/>
                </a:ext>
              </a:extLst>
            </xdr:cNvPr>
            <xdr:cNvSpPr/>
          </xdr:nvSpPr>
          <xdr:spPr>
            <a:xfrm>
              <a:off x="0" y="0"/>
              <a:ext cx="0" cy="0"/>
            </a:xfrm>
            <a:prstGeom prst="rect">
              <a:avLst/>
            </a:prstGeom>
          </xdr:spPr>
        </xdr:sp>
        <xdr:clientData/>
      </xdr:twoCellAnchor>
    </mc:Choice>
    <mc:Fallback/>
  </mc:AlternateContent>
  <xdr:oneCellAnchor>
    <xdr:from>
      <xdr:col>21</xdr:col>
      <xdr:colOff>95250</xdr:colOff>
      <xdr:row>138</xdr:row>
      <xdr:rowOff>33750</xdr:rowOff>
    </xdr:from>
    <xdr:ext cx="252000" cy="252000"/>
    <xdr:sp macro="[0]!Re_referrals" textlink="">
      <xdr:nvSpPr>
        <xdr:cNvPr id="33" name="Down Arrow 44"/>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3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54</xdr:row>
          <xdr:rowOff>171450</xdr:rowOff>
        </xdr:from>
        <xdr:to>
          <xdr:col>35</xdr:col>
          <xdr:colOff>47625</xdr:colOff>
          <xdr:row>56</xdr:row>
          <xdr:rowOff>28575</xdr:rowOff>
        </xdr:to>
        <xdr:sp macro="" textlink="">
          <xdr:nvSpPr>
            <xdr:cNvPr id="86038" name="Check Box 22" hidden="1">
              <a:extLst>
                <a:ext uri="{63B3BB69-23CF-44E3-9099-C40C66FF867C}">
                  <a14:compatExt spid="_x0000_s86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171450</xdr:rowOff>
        </xdr:from>
        <xdr:to>
          <xdr:col>35</xdr:col>
          <xdr:colOff>47625</xdr:colOff>
          <xdr:row>57</xdr:row>
          <xdr:rowOff>28575</xdr:rowOff>
        </xdr:to>
        <xdr:sp macro="" textlink="">
          <xdr:nvSpPr>
            <xdr:cNvPr id="86039" name="Check Box 23" hidden="1">
              <a:extLst>
                <a:ext uri="{63B3BB69-23CF-44E3-9099-C40C66FF867C}">
                  <a14:compatExt spid="_x0000_s86039"/>
                </a:ext>
              </a:extLst>
            </xdr:cNvPr>
            <xdr:cNvSpPr/>
          </xdr:nvSpPr>
          <xdr:spPr>
            <a:xfrm>
              <a:off x="0" y="0"/>
              <a:ext cx="0" cy="0"/>
            </a:xfrm>
            <a:prstGeom prst="rect">
              <a:avLst/>
            </a:prstGeom>
          </xdr:spPr>
        </xdr:sp>
        <xdr:clientData/>
      </xdr:twoCellAnchor>
    </mc:Choice>
    <mc:Fallback/>
  </mc:AlternateContent>
  <xdr:twoCellAnchor>
    <xdr:from>
      <xdr:col>8</xdr:col>
      <xdr:colOff>514349</xdr:colOff>
      <xdr:row>106</xdr:row>
      <xdr:rowOff>95250</xdr:rowOff>
    </xdr:from>
    <xdr:to>
      <xdr:col>19</xdr:col>
      <xdr:colOff>514349</xdr:colOff>
      <xdr:row>136</xdr:row>
      <xdr:rowOff>533399</xdr:rowOff>
    </xdr:to>
    <xdr:graphicFrame macro="">
      <xdr:nvGraphicFramePr>
        <xdr:cNvPr id="37"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61</xdr:row>
          <xdr:rowOff>171450</xdr:rowOff>
        </xdr:from>
        <xdr:to>
          <xdr:col>35</xdr:col>
          <xdr:colOff>47625</xdr:colOff>
          <xdr:row>63</xdr:row>
          <xdr:rowOff>28575</xdr:rowOff>
        </xdr:to>
        <xdr:sp macro="" textlink="">
          <xdr:nvSpPr>
            <xdr:cNvPr id="86040" name="Check Box 24" hidden="1">
              <a:extLst>
                <a:ext uri="{63B3BB69-23CF-44E3-9099-C40C66FF867C}">
                  <a14:compatExt spid="_x0000_s86040"/>
                </a:ext>
              </a:extLst>
            </xdr:cNvPr>
            <xdr:cNvSpPr/>
          </xdr:nvSpPr>
          <xdr:spPr>
            <a:xfrm>
              <a:off x="0" y="0"/>
              <a:ext cx="0" cy="0"/>
            </a:xfrm>
            <a:prstGeom prst="rect">
              <a:avLst/>
            </a:prstGeom>
          </xdr:spPr>
        </xdr:sp>
        <xdr:clientData/>
      </xdr:twoCellAnchor>
    </mc:Choice>
    <mc:Fallback/>
  </mc:AlternateContent>
  <xdr:oneCellAnchor>
    <xdr:from>
      <xdr:col>21</xdr:col>
      <xdr:colOff>95250</xdr:colOff>
      <xdr:row>103</xdr:row>
      <xdr:rowOff>33750</xdr:rowOff>
    </xdr:from>
    <xdr:ext cx="252000" cy="252000"/>
    <xdr:sp macro="[0]!Re_referrals" textlink="">
      <xdr:nvSpPr>
        <xdr:cNvPr id="39" name="Down Arrow 44"/>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20</xdr:col>
      <xdr:colOff>0</xdr:colOff>
      <xdr:row>102</xdr:row>
      <xdr:rowOff>0</xdr:rowOff>
    </xdr:to>
    <xdr:graphicFrame macro="">
      <xdr:nvGraphicFramePr>
        <xdr:cNvPr id="40"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41"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42"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43"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76199</xdr:rowOff>
    </xdr:from>
    <xdr:to>
      <xdr:col>17</xdr:col>
      <xdr:colOff>367425</xdr:colOff>
      <xdr:row>63</xdr:row>
      <xdr:rowOff>76199</xdr:rowOff>
    </xdr:to>
    <xdr:sp macro="" textlink="">
      <xdr:nvSpPr>
        <xdr:cNvPr id="44"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21</xdr:col>
      <xdr:colOff>66675</xdr:colOff>
      <xdr:row>0</xdr:row>
      <xdr:rowOff>193416</xdr:rowOff>
    </xdr:from>
    <xdr:to>
      <xdr:col>21</xdr:col>
      <xdr:colOff>371475</xdr:colOff>
      <xdr:row>2</xdr:row>
      <xdr:rowOff>47625</xdr:rowOff>
    </xdr:to>
    <xdr:pic macro="[0]!Home">
      <xdr:nvPicPr>
        <xdr:cNvPr id="45" name="Picture 44"/>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Referral_Source" textlink="">
      <xdr:nvSpPr>
        <xdr:cNvPr id="46" name="Right Arrow 45"/>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Assessments" textlink="">
      <xdr:nvSpPr>
        <xdr:cNvPr id="47" name="Right Arrow 50"/>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21</xdr:col>
      <xdr:colOff>66675</xdr:colOff>
      <xdr:row>0</xdr:row>
      <xdr:rowOff>193416</xdr:rowOff>
    </xdr:from>
    <xdr:to>
      <xdr:col>21</xdr:col>
      <xdr:colOff>371475</xdr:colOff>
      <xdr:row>2</xdr:row>
      <xdr:rowOff>47625</xdr:rowOff>
    </xdr:to>
    <xdr:pic macro="[0]!Home">
      <xdr:nvPicPr>
        <xdr:cNvPr id="73" name="Picture 7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38</xdr:row>
      <xdr:rowOff>0</xdr:rowOff>
    </xdr:from>
    <xdr:to>
      <xdr:col>11</xdr:col>
      <xdr:colOff>0</xdr:colOff>
      <xdr:row>66</xdr:row>
      <xdr:rowOff>533399</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7"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8" name="Oval 2164"/>
        <xdr:cNvSpPr>
          <a:spLocks noChangeArrowheads="1"/>
        </xdr:cNvSpPr>
      </xdr:nvSpPr>
      <xdr:spPr bwMode="auto">
        <a:xfrm>
          <a:off x="66770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11</xdr:col>
      <xdr:colOff>219075</xdr:colOff>
      <xdr:row>63</xdr:row>
      <xdr:rowOff>38100</xdr:rowOff>
    </xdr:from>
    <xdr:to>
      <xdr:col>11</xdr:col>
      <xdr:colOff>295275</xdr:colOff>
      <xdr:row>63</xdr:row>
      <xdr:rowOff>114300</xdr:rowOff>
    </xdr:to>
    <xdr:sp macro="" textlink="">
      <xdr:nvSpPr>
        <xdr:cNvPr id="9"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495298</xdr:colOff>
      <xdr:row>0</xdr:row>
      <xdr:rowOff>85725</xdr:rowOff>
    </xdr:from>
    <xdr:to>
      <xdr:col>20</xdr:col>
      <xdr:colOff>64498</xdr:colOff>
      <xdr:row>2</xdr:row>
      <xdr:rowOff>149475</xdr:rowOff>
    </xdr:to>
    <xdr:sp macro="" textlink="">
      <xdr:nvSpPr>
        <xdr:cNvPr id="10" name="AutoShape 32"/>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11"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76200</xdr:rowOff>
        </xdr:from>
        <xdr:to>
          <xdr:col>36</xdr:col>
          <xdr:colOff>47625</xdr:colOff>
          <xdr:row>40</xdr:row>
          <xdr:rowOff>19050</xdr:rowOff>
        </xdr:to>
        <xdr:sp macro="" textlink="">
          <xdr:nvSpPr>
            <xdr:cNvPr id="87041" name="Check Box 1" hidden="1">
              <a:extLst>
                <a:ext uri="{63B3BB69-23CF-44E3-9099-C40C66FF867C}">
                  <a14:compatExt spid="_x0000_s87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161925</xdr:rowOff>
        </xdr:from>
        <xdr:to>
          <xdr:col>36</xdr:col>
          <xdr:colOff>47625</xdr:colOff>
          <xdr:row>41</xdr:row>
          <xdr:rowOff>19050</xdr:rowOff>
        </xdr:to>
        <xdr:sp macro="" textlink="">
          <xdr:nvSpPr>
            <xdr:cNvPr id="87042" name="Check Box 2" hidden="1">
              <a:extLst>
                <a:ext uri="{63B3BB69-23CF-44E3-9099-C40C66FF867C}">
                  <a14:compatExt spid="_x0000_s87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161925</xdr:rowOff>
        </xdr:from>
        <xdr:to>
          <xdr:col>36</xdr:col>
          <xdr:colOff>47625</xdr:colOff>
          <xdr:row>42</xdr:row>
          <xdr:rowOff>19050</xdr:rowOff>
        </xdr:to>
        <xdr:sp macro="" textlink="">
          <xdr:nvSpPr>
            <xdr:cNvPr id="87043" name="Check Box 3" hidden="1">
              <a:extLst>
                <a:ext uri="{63B3BB69-23CF-44E3-9099-C40C66FF867C}">
                  <a14:compatExt spid="_x0000_s870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161925</xdr:rowOff>
        </xdr:from>
        <xdr:to>
          <xdr:col>36</xdr:col>
          <xdr:colOff>47625</xdr:colOff>
          <xdr:row>43</xdr:row>
          <xdr:rowOff>19050</xdr:rowOff>
        </xdr:to>
        <xdr:sp macro="" textlink="">
          <xdr:nvSpPr>
            <xdr:cNvPr id="87044" name="Check Box 4" hidden="1">
              <a:extLst>
                <a:ext uri="{63B3BB69-23CF-44E3-9099-C40C66FF867C}">
                  <a14:compatExt spid="_x0000_s870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161925</xdr:rowOff>
        </xdr:from>
        <xdr:to>
          <xdr:col>36</xdr:col>
          <xdr:colOff>47625</xdr:colOff>
          <xdr:row>44</xdr:row>
          <xdr:rowOff>19050</xdr:rowOff>
        </xdr:to>
        <xdr:sp macro="" textlink="">
          <xdr:nvSpPr>
            <xdr:cNvPr id="87045" name="Check Box 5" hidden="1">
              <a:extLst>
                <a:ext uri="{63B3BB69-23CF-44E3-9099-C40C66FF867C}">
                  <a14:compatExt spid="_x0000_s87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161925</xdr:rowOff>
        </xdr:from>
        <xdr:to>
          <xdr:col>36</xdr:col>
          <xdr:colOff>47625</xdr:colOff>
          <xdr:row>45</xdr:row>
          <xdr:rowOff>19050</xdr:rowOff>
        </xdr:to>
        <xdr:sp macro="" textlink="">
          <xdr:nvSpPr>
            <xdr:cNvPr id="87046" name="Check Box 6" hidden="1">
              <a:extLst>
                <a:ext uri="{63B3BB69-23CF-44E3-9099-C40C66FF867C}">
                  <a14:compatExt spid="_x0000_s87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161925</xdr:rowOff>
        </xdr:from>
        <xdr:to>
          <xdr:col>36</xdr:col>
          <xdr:colOff>47625</xdr:colOff>
          <xdr:row>46</xdr:row>
          <xdr:rowOff>19050</xdr:rowOff>
        </xdr:to>
        <xdr:sp macro="" textlink="">
          <xdr:nvSpPr>
            <xdr:cNvPr id="87047" name="Check Box 7" hidden="1">
              <a:extLst>
                <a:ext uri="{63B3BB69-23CF-44E3-9099-C40C66FF867C}">
                  <a14:compatExt spid="_x0000_s87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161925</xdr:rowOff>
        </xdr:from>
        <xdr:to>
          <xdr:col>36</xdr:col>
          <xdr:colOff>47625</xdr:colOff>
          <xdr:row>47</xdr:row>
          <xdr:rowOff>19050</xdr:rowOff>
        </xdr:to>
        <xdr:sp macro="" textlink="">
          <xdr:nvSpPr>
            <xdr:cNvPr id="87048" name="Check Box 8" hidden="1">
              <a:extLst>
                <a:ext uri="{63B3BB69-23CF-44E3-9099-C40C66FF867C}">
                  <a14:compatExt spid="_x0000_s87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161925</xdr:rowOff>
        </xdr:from>
        <xdr:to>
          <xdr:col>36</xdr:col>
          <xdr:colOff>47625</xdr:colOff>
          <xdr:row>48</xdr:row>
          <xdr:rowOff>19050</xdr:rowOff>
        </xdr:to>
        <xdr:sp macro="" textlink="">
          <xdr:nvSpPr>
            <xdr:cNvPr id="87049" name="Check Box 9" hidden="1">
              <a:extLst>
                <a:ext uri="{63B3BB69-23CF-44E3-9099-C40C66FF867C}">
                  <a14:compatExt spid="_x0000_s87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161925</xdr:rowOff>
        </xdr:from>
        <xdr:to>
          <xdr:col>36</xdr:col>
          <xdr:colOff>47625</xdr:colOff>
          <xdr:row>49</xdr:row>
          <xdr:rowOff>19050</xdr:rowOff>
        </xdr:to>
        <xdr:sp macro="" textlink="">
          <xdr:nvSpPr>
            <xdr:cNvPr id="87050" name="Check Box 10" hidden="1">
              <a:extLst>
                <a:ext uri="{63B3BB69-23CF-44E3-9099-C40C66FF867C}">
                  <a14:compatExt spid="_x0000_s87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161925</xdr:rowOff>
        </xdr:from>
        <xdr:to>
          <xdr:col>36</xdr:col>
          <xdr:colOff>47625</xdr:colOff>
          <xdr:row>50</xdr:row>
          <xdr:rowOff>19050</xdr:rowOff>
        </xdr:to>
        <xdr:sp macro="" textlink="">
          <xdr:nvSpPr>
            <xdr:cNvPr id="87051" name="Check Box 11" hidden="1">
              <a:extLst>
                <a:ext uri="{63B3BB69-23CF-44E3-9099-C40C66FF867C}">
                  <a14:compatExt spid="_x0000_s87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161925</xdr:rowOff>
        </xdr:from>
        <xdr:to>
          <xdr:col>36</xdr:col>
          <xdr:colOff>47625</xdr:colOff>
          <xdr:row>51</xdr:row>
          <xdr:rowOff>19050</xdr:rowOff>
        </xdr:to>
        <xdr:sp macro="" textlink="">
          <xdr:nvSpPr>
            <xdr:cNvPr id="87052" name="Check Box 12" hidden="1">
              <a:extLst>
                <a:ext uri="{63B3BB69-23CF-44E3-9099-C40C66FF867C}">
                  <a14:compatExt spid="_x0000_s87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161925</xdr:rowOff>
        </xdr:from>
        <xdr:to>
          <xdr:col>36</xdr:col>
          <xdr:colOff>47625</xdr:colOff>
          <xdr:row>52</xdr:row>
          <xdr:rowOff>19050</xdr:rowOff>
        </xdr:to>
        <xdr:sp macro="" textlink="">
          <xdr:nvSpPr>
            <xdr:cNvPr id="87053" name="Check Box 13" hidden="1">
              <a:extLst>
                <a:ext uri="{63B3BB69-23CF-44E3-9099-C40C66FF867C}">
                  <a14:compatExt spid="_x0000_s87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161925</xdr:rowOff>
        </xdr:from>
        <xdr:to>
          <xdr:col>36</xdr:col>
          <xdr:colOff>47625</xdr:colOff>
          <xdr:row>53</xdr:row>
          <xdr:rowOff>19050</xdr:rowOff>
        </xdr:to>
        <xdr:sp macro="" textlink="">
          <xdr:nvSpPr>
            <xdr:cNvPr id="87054" name="Check Box 14" hidden="1">
              <a:extLst>
                <a:ext uri="{63B3BB69-23CF-44E3-9099-C40C66FF867C}">
                  <a14:compatExt spid="_x0000_s87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161925</xdr:rowOff>
        </xdr:from>
        <xdr:to>
          <xdr:col>36</xdr:col>
          <xdr:colOff>47625</xdr:colOff>
          <xdr:row>54</xdr:row>
          <xdr:rowOff>19050</xdr:rowOff>
        </xdr:to>
        <xdr:sp macro="" textlink="">
          <xdr:nvSpPr>
            <xdr:cNvPr id="87055" name="Check Box 15" hidden="1">
              <a:extLst>
                <a:ext uri="{63B3BB69-23CF-44E3-9099-C40C66FF867C}">
                  <a14:compatExt spid="_x0000_s87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161925</xdr:rowOff>
        </xdr:from>
        <xdr:to>
          <xdr:col>36</xdr:col>
          <xdr:colOff>47625</xdr:colOff>
          <xdr:row>55</xdr:row>
          <xdr:rowOff>19050</xdr:rowOff>
        </xdr:to>
        <xdr:sp macro="" textlink="">
          <xdr:nvSpPr>
            <xdr:cNvPr id="87056" name="Check Box 16" hidden="1">
              <a:extLst>
                <a:ext uri="{63B3BB69-23CF-44E3-9099-C40C66FF867C}">
                  <a14:compatExt spid="_x0000_s87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161925</xdr:rowOff>
        </xdr:from>
        <xdr:to>
          <xdr:col>36</xdr:col>
          <xdr:colOff>47625</xdr:colOff>
          <xdr:row>58</xdr:row>
          <xdr:rowOff>19050</xdr:rowOff>
        </xdr:to>
        <xdr:sp macro="" textlink="">
          <xdr:nvSpPr>
            <xdr:cNvPr id="87057" name="Check Box 17" hidden="1">
              <a:extLst>
                <a:ext uri="{63B3BB69-23CF-44E3-9099-C40C66FF867C}">
                  <a14:compatExt spid="_x0000_s87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161925</xdr:rowOff>
        </xdr:from>
        <xdr:to>
          <xdr:col>36</xdr:col>
          <xdr:colOff>47625</xdr:colOff>
          <xdr:row>59</xdr:row>
          <xdr:rowOff>19050</xdr:rowOff>
        </xdr:to>
        <xdr:sp macro="" textlink="">
          <xdr:nvSpPr>
            <xdr:cNvPr id="87058" name="Check Box 18" hidden="1">
              <a:extLst>
                <a:ext uri="{63B3BB69-23CF-44E3-9099-C40C66FF867C}">
                  <a14:compatExt spid="_x0000_s87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161925</xdr:rowOff>
        </xdr:from>
        <xdr:to>
          <xdr:col>36</xdr:col>
          <xdr:colOff>47625</xdr:colOff>
          <xdr:row>60</xdr:row>
          <xdr:rowOff>19050</xdr:rowOff>
        </xdr:to>
        <xdr:sp macro="" textlink="">
          <xdr:nvSpPr>
            <xdr:cNvPr id="87059" name="Check Box 19" hidden="1">
              <a:extLst>
                <a:ext uri="{63B3BB69-23CF-44E3-9099-C40C66FF867C}">
                  <a14:compatExt spid="_x0000_s87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161925</xdr:rowOff>
        </xdr:from>
        <xdr:to>
          <xdr:col>36</xdr:col>
          <xdr:colOff>47625</xdr:colOff>
          <xdr:row>61</xdr:row>
          <xdr:rowOff>19050</xdr:rowOff>
        </xdr:to>
        <xdr:sp macro="" textlink="">
          <xdr:nvSpPr>
            <xdr:cNvPr id="87060" name="Check Box 20" hidden="1">
              <a:extLst>
                <a:ext uri="{63B3BB69-23CF-44E3-9099-C40C66FF867C}">
                  <a14:compatExt spid="_x0000_s87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161925</xdr:rowOff>
        </xdr:from>
        <xdr:to>
          <xdr:col>36</xdr:col>
          <xdr:colOff>47625</xdr:colOff>
          <xdr:row>62</xdr:row>
          <xdr:rowOff>19050</xdr:rowOff>
        </xdr:to>
        <xdr:sp macro="" textlink="">
          <xdr:nvSpPr>
            <xdr:cNvPr id="87061" name="Check Box 21" hidden="1">
              <a:extLst>
                <a:ext uri="{63B3BB69-23CF-44E3-9099-C40C66FF867C}">
                  <a14:compatExt spid="_x0000_s87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54</xdr:row>
          <xdr:rowOff>161925</xdr:rowOff>
        </xdr:from>
        <xdr:to>
          <xdr:col>36</xdr:col>
          <xdr:colOff>47625</xdr:colOff>
          <xdr:row>56</xdr:row>
          <xdr:rowOff>19050</xdr:rowOff>
        </xdr:to>
        <xdr:sp macro="" textlink="">
          <xdr:nvSpPr>
            <xdr:cNvPr id="87062" name="Check Box 22" hidden="1">
              <a:extLst>
                <a:ext uri="{63B3BB69-23CF-44E3-9099-C40C66FF867C}">
                  <a14:compatExt spid="_x0000_s87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161925</xdr:rowOff>
        </xdr:from>
        <xdr:to>
          <xdr:col>36</xdr:col>
          <xdr:colOff>47625</xdr:colOff>
          <xdr:row>57</xdr:row>
          <xdr:rowOff>19050</xdr:rowOff>
        </xdr:to>
        <xdr:sp macro="" textlink="">
          <xdr:nvSpPr>
            <xdr:cNvPr id="87063" name="Check Box 23" hidden="1">
              <a:extLst>
                <a:ext uri="{63B3BB69-23CF-44E3-9099-C40C66FF867C}">
                  <a14:compatExt spid="_x0000_s87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61</xdr:row>
          <xdr:rowOff>161925</xdr:rowOff>
        </xdr:from>
        <xdr:to>
          <xdr:col>36</xdr:col>
          <xdr:colOff>47625</xdr:colOff>
          <xdr:row>63</xdr:row>
          <xdr:rowOff>19050</xdr:rowOff>
        </xdr:to>
        <xdr:sp macro="" textlink="">
          <xdr:nvSpPr>
            <xdr:cNvPr id="87064" name="Check Box 24" hidden="1">
              <a:extLst>
                <a:ext uri="{63B3BB69-23CF-44E3-9099-C40C66FF867C}">
                  <a14:compatExt spid="_x0000_s87064"/>
                </a:ext>
              </a:extLst>
            </xdr:cNvPr>
            <xdr:cNvSpPr/>
          </xdr:nvSpPr>
          <xdr:spPr>
            <a:xfrm>
              <a:off x="0" y="0"/>
              <a:ext cx="0" cy="0"/>
            </a:xfrm>
            <a:prstGeom prst="rect">
              <a:avLst/>
            </a:prstGeom>
          </xdr:spPr>
        </xdr:sp>
        <xdr:clientData/>
      </xdr:twoCellAnchor>
    </mc:Choice>
    <mc:Fallback/>
  </mc:AlternateContent>
  <xdr:twoCellAnchor>
    <xdr:from>
      <xdr:col>16</xdr:col>
      <xdr:colOff>66675</xdr:colOff>
      <xdr:row>63</xdr:row>
      <xdr:rowOff>76199</xdr:rowOff>
    </xdr:from>
    <xdr:to>
      <xdr:col>17</xdr:col>
      <xdr:colOff>367425</xdr:colOff>
      <xdr:row>63</xdr:row>
      <xdr:rowOff>76199</xdr:rowOff>
    </xdr:to>
    <xdr:sp macro="" textlink="">
      <xdr:nvSpPr>
        <xdr:cNvPr id="48"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106</xdr:row>
      <xdr:rowOff>0</xdr:rowOff>
    </xdr:from>
    <xdr:to>
      <xdr:col>20</xdr:col>
      <xdr:colOff>0</xdr:colOff>
      <xdr:row>137</xdr:row>
      <xdr:rowOff>0</xdr:rowOff>
    </xdr:to>
    <xdr:graphicFrame macro="">
      <xdr:nvGraphicFramePr>
        <xdr:cNvPr id="58"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126000</xdr:colOff>
      <xdr:row>71</xdr:row>
      <xdr:rowOff>0</xdr:rowOff>
    </xdr:from>
    <xdr:to>
      <xdr:col>20</xdr:col>
      <xdr:colOff>0</xdr:colOff>
      <xdr:row>102</xdr:row>
      <xdr:rowOff>0</xdr:rowOff>
    </xdr:to>
    <xdr:graphicFrame macro="">
      <xdr:nvGraphicFramePr>
        <xdr:cNvPr id="5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6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134</xdr:row>
      <xdr:rowOff>0</xdr:rowOff>
    </xdr:from>
    <xdr:to>
      <xdr:col>8</xdr:col>
      <xdr:colOff>0</xdr:colOff>
      <xdr:row>137</xdr:row>
      <xdr:rowOff>0</xdr:rowOff>
    </xdr:to>
    <xdr:graphicFrame macro="">
      <xdr:nvGraphicFramePr>
        <xdr:cNvPr id="6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0</xdr:colOff>
      <xdr:row>141</xdr:row>
      <xdr:rowOff>104774</xdr:rowOff>
    </xdr:from>
    <xdr:to>
      <xdr:col>20</xdr:col>
      <xdr:colOff>0</xdr:colOff>
      <xdr:row>171</xdr:row>
      <xdr:rowOff>476249</xdr:rowOff>
    </xdr:to>
    <xdr:graphicFrame macro="">
      <xdr:nvGraphicFramePr>
        <xdr:cNvPr id="5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21</xdr:col>
      <xdr:colOff>95250</xdr:colOff>
      <xdr:row>173</xdr:row>
      <xdr:rowOff>47625</xdr:rowOff>
    </xdr:from>
    <xdr:ext cx="252000" cy="252000"/>
    <xdr:sp macro="[0]!Assessments" textlink="">
      <xdr:nvSpPr>
        <xdr:cNvPr id="67" name="Down Arrow 44"/>
        <xdr:cNvSpPr>
          <a:spLocks noChangeArrowheads="1"/>
        </xdr:cNvSpPr>
      </xdr:nvSpPr>
      <xdr:spPr bwMode="auto">
        <a:xfrm flipV="1">
          <a:off x="9277350" y="334327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21</xdr:col>
      <xdr:colOff>95250</xdr:colOff>
      <xdr:row>138</xdr:row>
      <xdr:rowOff>47625</xdr:rowOff>
    </xdr:from>
    <xdr:ext cx="252000" cy="252000"/>
    <xdr:sp macro="[0]!Assessments" textlink="">
      <xdr:nvSpPr>
        <xdr:cNvPr id="68" name="Down Arrow 44"/>
        <xdr:cNvSpPr>
          <a:spLocks noChangeArrowheads="1"/>
        </xdr:cNvSpPr>
      </xdr:nvSpPr>
      <xdr:spPr bwMode="auto">
        <a:xfrm flipV="1">
          <a:off x="9277350" y="266890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21</xdr:col>
      <xdr:colOff>95250</xdr:colOff>
      <xdr:row>103</xdr:row>
      <xdr:rowOff>47625</xdr:rowOff>
    </xdr:from>
    <xdr:ext cx="252000" cy="252000"/>
    <xdr:sp macro="[0]!Assessments" textlink="">
      <xdr:nvSpPr>
        <xdr:cNvPr id="70" name="Down Arrow 44"/>
        <xdr:cNvSpPr>
          <a:spLocks noChangeArrowheads="1"/>
        </xdr:cNvSpPr>
      </xdr:nvSpPr>
      <xdr:spPr bwMode="auto">
        <a:xfrm flipV="1">
          <a:off x="9277350" y="199453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21</xdr:col>
      <xdr:colOff>95250</xdr:colOff>
      <xdr:row>68</xdr:row>
      <xdr:rowOff>47625</xdr:rowOff>
    </xdr:from>
    <xdr:ext cx="252000" cy="252000"/>
    <xdr:sp macro="[0]!Assessments" textlink="">
      <xdr:nvSpPr>
        <xdr:cNvPr id="71" name="Down Arrow 44"/>
        <xdr:cNvSpPr>
          <a:spLocks noChangeArrowheads="1"/>
        </xdr:cNvSpPr>
      </xdr:nvSpPr>
      <xdr:spPr bwMode="auto">
        <a:xfrm flipV="1">
          <a:off x="9277350" y="132016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21</xdr:col>
      <xdr:colOff>95250</xdr:colOff>
      <xdr:row>35</xdr:row>
      <xdr:rowOff>38100</xdr:rowOff>
    </xdr:from>
    <xdr:ext cx="252000" cy="252000"/>
    <xdr:sp macro="[0]!Assessments" textlink="">
      <xdr:nvSpPr>
        <xdr:cNvPr id="72" name="Down Arrow 44"/>
        <xdr:cNvSpPr>
          <a:spLocks noChangeArrowheads="1"/>
        </xdr:cNvSpPr>
      </xdr:nvSpPr>
      <xdr:spPr bwMode="auto">
        <a:xfrm flipV="1">
          <a:off x="9277350" y="64484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21</xdr:col>
      <xdr:colOff>57150</xdr:colOff>
      <xdr:row>3</xdr:row>
      <xdr:rowOff>0</xdr:rowOff>
    </xdr:from>
    <xdr:to>
      <xdr:col>21</xdr:col>
      <xdr:colOff>304800</xdr:colOff>
      <xdr:row>4</xdr:row>
      <xdr:rowOff>133350</xdr:rowOff>
    </xdr:to>
    <xdr:sp macro="[0]!Re_referrals" textlink="">
      <xdr:nvSpPr>
        <xdr:cNvPr id="52" name="Right Arrow 51"/>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CiN" textlink="">
      <xdr:nvSpPr>
        <xdr:cNvPr id="53" name="Right Arrow 50"/>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85100"/>
        </a:solidFill>
        <a:ln w="19050">
          <a:solidFill>
            <a:srgbClr val="C85100"/>
          </a:solidFill>
          <a:round/>
          <a:headEnd/>
          <a:tailEnd/>
        </a:ln>
      </a:spPr>
      <a:bodyPr vertOverflow="clip" wrap="square" lIns="27432" tIns="22860" rIns="27432" bIns="0" anchor="ctr" upright="1"/>
      <a:lstStyle>
        <a:defPPr algn="ctr" rtl="0">
          <a:defRPr sz="1200" b="1" i="0" u="none" strike="noStrike" baseline="0">
            <a:solidFill>
              <a:srgbClr val="FFFFFF"/>
            </a:solidFill>
            <a:latin typeface="Arial"/>
            <a:cs typeface="Arial"/>
          </a:defRPr>
        </a:defPPr>
      </a:lstStyle>
    </a:sp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6.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 Type="http://schemas.openxmlformats.org/officeDocument/2006/relationships/vmlDrawing" Target="../drawings/vmlDrawing2.v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2" Type="http://schemas.openxmlformats.org/officeDocument/2006/relationships/drawing" Target="../drawings/drawing8.xml"/><Relationship Id="rId16" Type="http://schemas.openxmlformats.org/officeDocument/2006/relationships/ctrlProp" Target="../ctrlProps/ctrlProp37.xml"/><Relationship Id="rId20" Type="http://schemas.openxmlformats.org/officeDocument/2006/relationships/ctrlProp" Target="../ctrlProps/ctrlProp41.xml"/><Relationship Id="rId1" Type="http://schemas.openxmlformats.org/officeDocument/2006/relationships/printerSettings" Target="../printerSettings/printerSettings14.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18" Type="http://schemas.openxmlformats.org/officeDocument/2006/relationships/ctrlProp" Target="../ctrlProps/ctrlProp63.xml"/><Relationship Id="rId26" Type="http://schemas.openxmlformats.org/officeDocument/2006/relationships/ctrlProp" Target="../ctrlProps/ctrlProp71.xml"/><Relationship Id="rId3" Type="http://schemas.openxmlformats.org/officeDocument/2006/relationships/vmlDrawing" Target="../drawings/vmlDrawing3.vml"/><Relationship Id="rId21" Type="http://schemas.openxmlformats.org/officeDocument/2006/relationships/ctrlProp" Target="../ctrlProps/ctrlProp66.x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5" Type="http://schemas.openxmlformats.org/officeDocument/2006/relationships/ctrlProp" Target="../ctrlProps/ctrlProp70.xml"/><Relationship Id="rId2" Type="http://schemas.openxmlformats.org/officeDocument/2006/relationships/drawing" Target="../drawings/drawing9.xml"/><Relationship Id="rId16" Type="http://schemas.openxmlformats.org/officeDocument/2006/relationships/ctrlProp" Target="../ctrlProps/ctrlProp61.xml"/><Relationship Id="rId20" Type="http://schemas.openxmlformats.org/officeDocument/2006/relationships/ctrlProp" Target="../ctrlProps/ctrlProp65.xml"/><Relationship Id="rId1" Type="http://schemas.openxmlformats.org/officeDocument/2006/relationships/printerSettings" Target="../printerSettings/printerSettings15.bin"/><Relationship Id="rId6" Type="http://schemas.openxmlformats.org/officeDocument/2006/relationships/ctrlProp" Target="../ctrlProps/ctrlProp51.xml"/><Relationship Id="rId11" Type="http://schemas.openxmlformats.org/officeDocument/2006/relationships/ctrlProp" Target="../ctrlProps/ctrlProp56.xml"/><Relationship Id="rId24" Type="http://schemas.openxmlformats.org/officeDocument/2006/relationships/ctrlProp" Target="../ctrlProps/ctrlProp69.xml"/><Relationship Id="rId5" Type="http://schemas.openxmlformats.org/officeDocument/2006/relationships/ctrlProp" Target="../ctrlProps/ctrlProp50.xml"/><Relationship Id="rId15" Type="http://schemas.openxmlformats.org/officeDocument/2006/relationships/ctrlProp" Target="../ctrlProps/ctrlProp60.xml"/><Relationship Id="rId23" Type="http://schemas.openxmlformats.org/officeDocument/2006/relationships/ctrlProp" Target="../ctrlProps/ctrlProp68.xml"/><Relationship Id="rId10" Type="http://schemas.openxmlformats.org/officeDocument/2006/relationships/ctrlProp" Target="../ctrlProps/ctrlProp55.xml"/><Relationship Id="rId19" Type="http://schemas.openxmlformats.org/officeDocument/2006/relationships/ctrlProp" Target="../ctrlProps/ctrlProp64.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 Id="rId22" Type="http://schemas.openxmlformats.org/officeDocument/2006/relationships/ctrlProp" Target="../ctrlProps/ctrlProp67.xml"/><Relationship Id="rId27" Type="http://schemas.openxmlformats.org/officeDocument/2006/relationships/ctrlProp" Target="../ctrlProps/ctrlProp72.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77.xml"/><Relationship Id="rId13" Type="http://schemas.openxmlformats.org/officeDocument/2006/relationships/ctrlProp" Target="../ctrlProps/ctrlProp82.xml"/><Relationship Id="rId18" Type="http://schemas.openxmlformats.org/officeDocument/2006/relationships/ctrlProp" Target="../ctrlProps/ctrlProp87.xml"/><Relationship Id="rId26" Type="http://schemas.openxmlformats.org/officeDocument/2006/relationships/ctrlProp" Target="../ctrlProps/ctrlProp95.xml"/><Relationship Id="rId3" Type="http://schemas.openxmlformats.org/officeDocument/2006/relationships/vmlDrawing" Target="../drawings/vmlDrawing4.vml"/><Relationship Id="rId21" Type="http://schemas.openxmlformats.org/officeDocument/2006/relationships/ctrlProp" Target="../ctrlProps/ctrlProp90.xml"/><Relationship Id="rId7" Type="http://schemas.openxmlformats.org/officeDocument/2006/relationships/ctrlProp" Target="../ctrlProps/ctrlProp76.xml"/><Relationship Id="rId12" Type="http://schemas.openxmlformats.org/officeDocument/2006/relationships/ctrlProp" Target="../ctrlProps/ctrlProp81.xml"/><Relationship Id="rId17" Type="http://schemas.openxmlformats.org/officeDocument/2006/relationships/ctrlProp" Target="../ctrlProps/ctrlProp86.xml"/><Relationship Id="rId25" Type="http://schemas.openxmlformats.org/officeDocument/2006/relationships/ctrlProp" Target="../ctrlProps/ctrlProp94.xml"/><Relationship Id="rId2" Type="http://schemas.openxmlformats.org/officeDocument/2006/relationships/drawing" Target="../drawings/drawing10.xml"/><Relationship Id="rId16" Type="http://schemas.openxmlformats.org/officeDocument/2006/relationships/ctrlProp" Target="../ctrlProps/ctrlProp85.xml"/><Relationship Id="rId20" Type="http://schemas.openxmlformats.org/officeDocument/2006/relationships/ctrlProp" Target="../ctrlProps/ctrlProp89.xml"/><Relationship Id="rId1" Type="http://schemas.openxmlformats.org/officeDocument/2006/relationships/printerSettings" Target="../printerSettings/printerSettings16.bin"/><Relationship Id="rId6" Type="http://schemas.openxmlformats.org/officeDocument/2006/relationships/ctrlProp" Target="../ctrlProps/ctrlProp75.xml"/><Relationship Id="rId11" Type="http://schemas.openxmlformats.org/officeDocument/2006/relationships/ctrlProp" Target="../ctrlProps/ctrlProp80.xml"/><Relationship Id="rId24" Type="http://schemas.openxmlformats.org/officeDocument/2006/relationships/ctrlProp" Target="../ctrlProps/ctrlProp93.xml"/><Relationship Id="rId5" Type="http://schemas.openxmlformats.org/officeDocument/2006/relationships/ctrlProp" Target="../ctrlProps/ctrlProp74.xml"/><Relationship Id="rId15" Type="http://schemas.openxmlformats.org/officeDocument/2006/relationships/ctrlProp" Target="../ctrlProps/ctrlProp84.xml"/><Relationship Id="rId23" Type="http://schemas.openxmlformats.org/officeDocument/2006/relationships/ctrlProp" Target="../ctrlProps/ctrlProp92.xml"/><Relationship Id="rId10" Type="http://schemas.openxmlformats.org/officeDocument/2006/relationships/ctrlProp" Target="../ctrlProps/ctrlProp79.xml"/><Relationship Id="rId19" Type="http://schemas.openxmlformats.org/officeDocument/2006/relationships/ctrlProp" Target="../ctrlProps/ctrlProp88.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 Id="rId22" Type="http://schemas.openxmlformats.org/officeDocument/2006/relationships/ctrlProp" Target="../ctrlProps/ctrlProp91.xml"/><Relationship Id="rId27" Type="http://schemas.openxmlformats.org/officeDocument/2006/relationships/ctrlProp" Target="../ctrlProps/ctrlProp96.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101.xml"/><Relationship Id="rId13" Type="http://schemas.openxmlformats.org/officeDocument/2006/relationships/ctrlProp" Target="../ctrlProps/ctrlProp106.xml"/><Relationship Id="rId18" Type="http://schemas.openxmlformats.org/officeDocument/2006/relationships/ctrlProp" Target="../ctrlProps/ctrlProp111.xml"/><Relationship Id="rId26" Type="http://schemas.openxmlformats.org/officeDocument/2006/relationships/ctrlProp" Target="../ctrlProps/ctrlProp119.xml"/><Relationship Id="rId3" Type="http://schemas.openxmlformats.org/officeDocument/2006/relationships/vmlDrawing" Target="../drawings/vmlDrawing5.vml"/><Relationship Id="rId21" Type="http://schemas.openxmlformats.org/officeDocument/2006/relationships/ctrlProp" Target="../ctrlProps/ctrlProp114.xml"/><Relationship Id="rId7" Type="http://schemas.openxmlformats.org/officeDocument/2006/relationships/ctrlProp" Target="../ctrlProps/ctrlProp100.xml"/><Relationship Id="rId12" Type="http://schemas.openxmlformats.org/officeDocument/2006/relationships/ctrlProp" Target="../ctrlProps/ctrlProp105.xml"/><Relationship Id="rId17" Type="http://schemas.openxmlformats.org/officeDocument/2006/relationships/ctrlProp" Target="../ctrlProps/ctrlProp110.xml"/><Relationship Id="rId25" Type="http://schemas.openxmlformats.org/officeDocument/2006/relationships/ctrlProp" Target="../ctrlProps/ctrlProp118.xml"/><Relationship Id="rId2" Type="http://schemas.openxmlformats.org/officeDocument/2006/relationships/drawing" Target="../drawings/drawing11.xml"/><Relationship Id="rId16" Type="http://schemas.openxmlformats.org/officeDocument/2006/relationships/ctrlProp" Target="../ctrlProps/ctrlProp109.xml"/><Relationship Id="rId20" Type="http://schemas.openxmlformats.org/officeDocument/2006/relationships/ctrlProp" Target="../ctrlProps/ctrlProp113.xml"/><Relationship Id="rId1" Type="http://schemas.openxmlformats.org/officeDocument/2006/relationships/printerSettings" Target="../printerSettings/printerSettings17.bin"/><Relationship Id="rId6" Type="http://schemas.openxmlformats.org/officeDocument/2006/relationships/ctrlProp" Target="../ctrlProps/ctrlProp99.xml"/><Relationship Id="rId11" Type="http://schemas.openxmlformats.org/officeDocument/2006/relationships/ctrlProp" Target="../ctrlProps/ctrlProp104.xml"/><Relationship Id="rId24" Type="http://schemas.openxmlformats.org/officeDocument/2006/relationships/ctrlProp" Target="../ctrlProps/ctrlProp117.xml"/><Relationship Id="rId5" Type="http://schemas.openxmlformats.org/officeDocument/2006/relationships/ctrlProp" Target="../ctrlProps/ctrlProp98.xml"/><Relationship Id="rId15" Type="http://schemas.openxmlformats.org/officeDocument/2006/relationships/ctrlProp" Target="../ctrlProps/ctrlProp108.xml"/><Relationship Id="rId23" Type="http://schemas.openxmlformats.org/officeDocument/2006/relationships/ctrlProp" Target="../ctrlProps/ctrlProp116.xml"/><Relationship Id="rId10" Type="http://schemas.openxmlformats.org/officeDocument/2006/relationships/ctrlProp" Target="../ctrlProps/ctrlProp103.xml"/><Relationship Id="rId19" Type="http://schemas.openxmlformats.org/officeDocument/2006/relationships/ctrlProp" Target="../ctrlProps/ctrlProp112.xml"/><Relationship Id="rId4" Type="http://schemas.openxmlformats.org/officeDocument/2006/relationships/ctrlProp" Target="../ctrlProps/ctrlProp97.xml"/><Relationship Id="rId9" Type="http://schemas.openxmlformats.org/officeDocument/2006/relationships/ctrlProp" Target="../ctrlProps/ctrlProp102.xml"/><Relationship Id="rId14" Type="http://schemas.openxmlformats.org/officeDocument/2006/relationships/ctrlProp" Target="../ctrlProps/ctrlProp107.xml"/><Relationship Id="rId22" Type="http://schemas.openxmlformats.org/officeDocument/2006/relationships/ctrlProp" Target="../ctrlProps/ctrlProp115.xml"/><Relationship Id="rId27" Type="http://schemas.openxmlformats.org/officeDocument/2006/relationships/ctrlProp" Target="../ctrlProps/ctrlProp120.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6.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2" Type="http://schemas.openxmlformats.org/officeDocument/2006/relationships/drawing" Target="../drawings/drawing12.xml"/><Relationship Id="rId16" Type="http://schemas.openxmlformats.org/officeDocument/2006/relationships/ctrlProp" Target="../ctrlProps/ctrlProp133.xml"/><Relationship Id="rId20" Type="http://schemas.openxmlformats.org/officeDocument/2006/relationships/ctrlProp" Target="../ctrlProps/ctrlProp137.xml"/><Relationship Id="rId1" Type="http://schemas.openxmlformats.org/officeDocument/2006/relationships/printerSettings" Target="../printerSettings/printerSettings18.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10" Type="http://schemas.openxmlformats.org/officeDocument/2006/relationships/ctrlProp" Target="../ctrlProps/ctrlProp127.xml"/><Relationship Id="rId19" Type="http://schemas.openxmlformats.org/officeDocument/2006/relationships/ctrlProp" Target="../ctrlProps/ctrlProp136.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49.xml"/><Relationship Id="rId13" Type="http://schemas.openxmlformats.org/officeDocument/2006/relationships/ctrlProp" Target="../ctrlProps/ctrlProp154.xml"/><Relationship Id="rId18" Type="http://schemas.openxmlformats.org/officeDocument/2006/relationships/ctrlProp" Target="../ctrlProps/ctrlProp159.xml"/><Relationship Id="rId26" Type="http://schemas.openxmlformats.org/officeDocument/2006/relationships/ctrlProp" Target="../ctrlProps/ctrlProp167.xml"/><Relationship Id="rId3" Type="http://schemas.openxmlformats.org/officeDocument/2006/relationships/vmlDrawing" Target="../drawings/vmlDrawing7.vml"/><Relationship Id="rId21" Type="http://schemas.openxmlformats.org/officeDocument/2006/relationships/ctrlProp" Target="../ctrlProps/ctrlProp162.xml"/><Relationship Id="rId7" Type="http://schemas.openxmlformats.org/officeDocument/2006/relationships/ctrlProp" Target="../ctrlProps/ctrlProp148.xml"/><Relationship Id="rId12" Type="http://schemas.openxmlformats.org/officeDocument/2006/relationships/ctrlProp" Target="../ctrlProps/ctrlProp153.xml"/><Relationship Id="rId17" Type="http://schemas.openxmlformats.org/officeDocument/2006/relationships/ctrlProp" Target="../ctrlProps/ctrlProp158.xml"/><Relationship Id="rId25" Type="http://schemas.openxmlformats.org/officeDocument/2006/relationships/ctrlProp" Target="../ctrlProps/ctrlProp166.xml"/><Relationship Id="rId2" Type="http://schemas.openxmlformats.org/officeDocument/2006/relationships/drawing" Target="../drawings/drawing13.xml"/><Relationship Id="rId16" Type="http://schemas.openxmlformats.org/officeDocument/2006/relationships/ctrlProp" Target="../ctrlProps/ctrlProp157.xml"/><Relationship Id="rId20" Type="http://schemas.openxmlformats.org/officeDocument/2006/relationships/ctrlProp" Target="../ctrlProps/ctrlProp161.xml"/><Relationship Id="rId1" Type="http://schemas.openxmlformats.org/officeDocument/2006/relationships/printerSettings" Target="../printerSettings/printerSettings19.bin"/><Relationship Id="rId6" Type="http://schemas.openxmlformats.org/officeDocument/2006/relationships/ctrlProp" Target="../ctrlProps/ctrlProp147.xml"/><Relationship Id="rId11" Type="http://schemas.openxmlformats.org/officeDocument/2006/relationships/ctrlProp" Target="../ctrlProps/ctrlProp152.xml"/><Relationship Id="rId24" Type="http://schemas.openxmlformats.org/officeDocument/2006/relationships/ctrlProp" Target="../ctrlProps/ctrlProp165.xml"/><Relationship Id="rId5" Type="http://schemas.openxmlformats.org/officeDocument/2006/relationships/ctrlProp" Target="../ctrlProps/ctrlProp146.xml"/><Relationship Id="rId15" Type="http://schemas.openxmlformats.org/officeDocument/2006/relationships/ctrlProp" Target="../ctrlProps/ctrlProp156.xml"/><Relationship Id="rId23" Type="http://schemas.openxmlformats.org/officeDocument/2006/relationships/ctrlProp" Target="../ctrlProps/ctrlProp164.xml"/><Relationship Id="rId10" Type="http://schemas.openxmlformats.org/officeDocument/2006/relationships/ctrlProp" Target="../ctrlProps/ctrlProp151.xml"/><Relationship Id="rId19" Type="http://schemas.openxmlformats.org/officeDocument/2006/relationships/ctrlProp" Target="../ctrlProps/ctrlProp160.xml"/><Relationship Id="rId4" Type="http://schemas.openxmlformats.org/officeDocument/2006/relationships/ctrlProp" Target="../ctrlProps/ctrlProp145.xml"/><Relationship Id="rId9" Type="http://schemas.openxmlformats.org/officeDocument/2006/relationships/ctrlProp" Target="../ctrlProps/ctrlProp150.xml"/><Relationship Id="rId14" Type="http://schemas.openxmlformats.org/officeDocument/2006/relationships/ctrlProp" Target="../ctrlProps/ctrlProp155.xml"/><Relationship Id="rId22" Type="http://schemas.openxmlformats.org/officeDocument/2006/relationships/ctrlProp" Target="../ctrlProps/ctrlProp163.xml"/><Relationship Id="rId27" Type="http://schemas.openxmlformats.org/officeDocument/2006/relationships/ctrlProp" Target="../ctrlProps/ctrlProp16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73.xml"/><Relationship Id="rId13" Type="http://schemas.openxmlformats.org/officeDocument/2006/relationships/ctrlProp" Target="../ctrlProps/ctrlProp178.xml"/><Relationship Id="rId18" Type="http://schemas.openxmlformats.org/officeDocument/2006/relationships/ctrlProp" Target="../ctrlProps/ctrlProp183.xml"/><Relationship Id="rId26" Type="http://schemas.openxmlformats.org/officeDocument/2006/relationships/ctrlProp" Target="../ctrlProps/ctrlProp191.xml"/><Relationship Id="rId3" Type="http://schemas.openxmlformats.org/officeDocument/2006/relationships/vmlDrawing" Target="../drawings/vmlDrawing8.vml"/><Relationship Id="rId21" Type="http://schemas.openxmlformats.org/officeDocument/2006/relationships/ctrlProp" Target="../ctrlProps/ctrlProp186.xml"/><Relationship Id="rId7" Type="http://schemas.openxmlformats.org/officeDocument/2006/relationships/ctrlProp" Target="../ctrlProps/ctrlProp172.xml"/><Relationship Id="rId12" Type="http://schemas.openxmlformats.org/officeDocument/2006/relationships/ctrlProp" Target="../ctrlProps/ctrlProp177.xml"/><Relationship Id="rId17" Type="http://schemas.openxmlformats.org/officeDocument/2006/relationships/ctrlProp" Target="../ctrlProps/ctrlProp182.xml"/><Relationship Id="rId25" Type="http://schemas.openxmlformats.org/officeDocument/2006/relationships/ctrlProp" Target="../ctrlProps/ctrlProp190.xml"/><Relationship Id="rId2" Type="http://schemas.openxmlformats.org/officeDocument/2006/relationships/drawing" Target="../drawings/drawing14.xml"/><Relationship Id="rId16" Type="http://schemas.openxmlformats.org/officeDocument/2006/relationships/ctrlProp" Target="../ctrlProps/ctrlProp181.xml"/><Relationship Id="rId20" Type="http://schemas.openxmlformats.org/officeDocument/2006/relationships/ctrlProp" Target="../ctrlProps/ctrlProp185.xml"/><Relationship Id="rId1" Type="http://schemas.openxmlformats.org/officeDocument/2006/relationships/printerSettings" Target="../printerSettings/printerSettings20.bin"/><Relationship Id="rId6" Type="http://schemas.openxmlformats.org/officeDocument/2006/relationships/ctrlProp" Target="../ctrlProps/ctrlProp171.xml"/><Relationship Id="rId11" Type="http://schemas.openxmlformats.org/officeDocument/2006/relationships/ctrlProp" Target="../ctrlProps/ctrlProp176.xml"/><Relationship Id="rId24" Type="http://schemas.openxmlformats.org/officeDocument/2006/relationships/ctrlProp" Target="../ctrlProps/ctrlProp189.xml"/><Relationship Id="rId5" Type="http://schemas.openxmlformats.org/officeDocument/2006/relationships/ctrlProp" Target="../ctrlProps/ctrlProp170.xml"/><Relationship Id="rId15" Type="http://schemas.openxmlformats.org/officeDocument/2006/relationships/ctrlProp" Target="../ctrlProps/ctrlProp180.xml"/><Relationship Id="rId23" Type="http://schemas.openxmlformats.org/officeDocument/2006/relationships/ctrlProp" Target="../ctrlProps/ctrlProp188.xml"/><Relationship Id="rId10" Type="http://schemas.openxmlformats.org/officeDocument/2006/relationships/ctrlProp" Target="../ctrlProps/ctrlProp175.xml"/><Relationship Id="rId19" Type="http://schemas.openxmlformats.org/officeDocument/2006/relationships/ctrlProp" Target="../ctrlProps/ctrlProp184.xml"/><Relationship Id="rId4" Type="http://schemas.openxmlformats.org/officeDocument/2006/relationships/ctrlProp" Target="../ctrlProps/ctrlProp169.xml"/><Relationship Id="rId9" Type="http://schemas.openxmlformats.org/officeDocument/2006/relationships/ctrlProp" Target="../ctrlProps/ctrlProp174.xml"/><Relationship Id="rId14" Type="http://schemas.openxmlformats.org/officeDocument/2006/relationships/ctrlProp" Target="../ctrlProps/ctrlProp179.xml"/><Relationship Id="rId22" Type="http://schemas.openxmlformats.org/officeDocument/2006/relationships/ctrlProp" Target="../ctrlProps/ctrlProp187.xml"/><Relationship Id="rId27" Type="http://schemas.openxmlformats.org/officeDocument/2006/relationships/ctrlProp" Target="../ctrlProps/ctrlProp192.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197.xml"/><Relationship Id="rId13" Type="http://schemas.openxmlformats.org/officeDocument/2006/relationships/ctrlProp" Target="../ctrlProps/ctrlProp202.xml"/><Relationship Id="rId18" Type="http://schemas.openxmlformats.org/officeDocument/2006/relationships/ctrlProp" Target="../ctrlProps/ctrlProp207.xml"/><Relationship Id="rId26" Type="http://schemas.openxmlformats.org/officeDocument/2006/relationships/ctrlProp" Target="../ctrlProps/ctrlProp215.xml"/><Relationship Id="rId3" Type="http://schemas.openxmlformats.org/officeDocument/2006/relationships/vmlDrawing" Target="../drawings/vmlDrawing9.vml"/><Relationship Id="rId21" Type="http://schemas.openxmlformats.org/officeDocument/2006/relationships/ctrlProp" Target="../ctrlProps/ctrlProp210.xml"/><Relationship Id="rId7" Type="http://schemas.openxmlformats.org/officeDocument/2006/relationships/ctrlProp" Target="../ctrlProps/ctrlProp196.xml"/><Relationship Id="rId12" Type="http://schemas.openxmlformats.org/officeDocument/2006/relationships/ctrlProp" Target="../ctrlProps/ctrlProp201.xml"/><Relationship Id="rId17" Type="http://schemas.openxmlformats.org/officeDocument/2006/relationships/ctrlProp" Target="../ctrlProps/ctrlProp206.xml"/><Relationship Id="rId25" Type="http://schemas.openxmlformats.org/officeDocument/2006/relationships/ctrlProp" Target="../ctrlProps/ctrlProp214.xml"/><Relationship Id="rId2" Type="http://schemas.openxmlformats.org/officeDocument/2006/relationships/drawing" Target="../drawings/drawing15.xml"/><Relationship Id="rId16" Type="http://schemas.openxmlformats.org/officeDocument/2006/relationships/ctrlProp" Target="../ctrlProps/ctrlProp205.xml"/><Relationship Id="rId20" Type="http://schemas.openxmlformats.org/officeDocument/2006/relationships/ctrlProp" Target="../ctrlProps/ctrlProp209.xml"/><Relationship Id="rId1" Type="http://schemas.openxmlformats.org/officeDocument/2006/relationships/printerSettings" Target="../printerSettings/printerSettings21.bin"/><Relationship Id="rId6" Type="http://schemas.openxmlformats.org/officeDocument/2006/relationships/ctrlProp" Target="../ctrlProps/ctrlProp195.xml"/><Relationship Id="rId11" Type="http://schemas.openxmlformats.org/officeDocument/2006/relationships/ctrlProp" Target="../ctrlProps/ctrlProp200.xml"/><Relationship Id="rId24" Type="http://schemas.openxmlformats.org/officeDocument/2006/relationships/ctrlProp" Target="../ctrlProps/ctrlProp213.xml"/><Relationship Id="rId5" Type="http://schemas.openxmlformats.org/officeDocument/2006/relationships/ctrlProp" Target="../ctrlProps/ctrlProp194.xml"/><Relationship Id="rId15" Type="http://schemas.openxmlformats.org/officeDocument/2006/relationships/ctrlProp" Target="../ctrlProps/ctrlProp204.xml"/><Relationship Id="rId23" Type="http://schemas.openxmlformats.org/officeDocument/2006/relationships/ctrlProp" Target="../ctrlProps/ctrlProp212.xml"/><Relationship Id="rId10" Type="http://schemas.openxmlformats.org/officeDocument/2006/relationships/ctrlProp" Target="../ctrlProps/ctrlProp199.xml"/><Relationship Id="rId19" Type="http://schemas.openxmlformats.org/officeDocument/2006/relationships/ctrlProp" Target="../ctrlProps/ctrlProp208.xml"/><Relationship Id="rId4" Type="http://schemas.openxmlformats.org/officeDocument/2006/relationships/ctrlProp" Target="../ctrlProps/ctrlProp193.xml"/><Relationship Id="rId9" Type="http://schemas.openxmlformats.org/officeDocument/2006/relationships/ctrlProp" Target="../ctrlProps/ctrlProp198.xml"/><Relationship Id="rId14" Type="http://schemas.openxmlformats.org/officeDocument/2006/relationships/ctrlProp" Target="../ctrlProps/ctrlProp203.xml"/><Relationship Id="rId22" Type="http://schemas.openxmlformats.org/officeDocument/2006/relationships/ctrlProp" Target="../ctrlProps/ctrlProp211.xml"/><Relationship Id="rId27" Type="http://schemas.openxmlformats.org/officeDocument/2006/relationships/ctrlProp" Target="../ctrlProps/ctrlProp216.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221.xml"/><Relationship Id="rId13" Type="http://schemas.openxmlformats.org/officeDocument/2006/relationships/ctrlProp" Target="../ctrlProps/ctrlProp226.xml"/><Relationship Id="rId18" Type="http://schemas.openxmlformats.org/officeDocument/2006/relationships/ctrlProp" Target="../ctrlProps/ctrlProp231.xml"/><Relationship Id="rId26" Type="http://schemas.openxmlformats.org/officeDocument/2006/relationships/ctrlProp" Target="../ctrlProps/ctrlProp239.xml"/><Relationship Id="rId3" Type="http://schemas.openxmlformats.org/officeDocument/2006/relationships/vmlDrawing" Target="../drawings/vmlDrawing10.vml"/><Relationship Id="rId21" Type="http://schemas.openxmlformats.org/officeDocument/2006/relationships/ctrlProp" Target="../ctrlProps/ctrlProp234.xml"/><Relationship Id="rId7" Type="http://schemas.openxmlformats.org/officeDocument/2006/relationships/ctrlProp" Target="../ctrlProps/ctrlProp220.xml"/><Relationship Id="rId12" Type="http://schemas.openxmlformats.org/officeDocument/2006/relationships/ctrlProp" Target="../ctrlProps/ctrlProp225.xml"/><Relationship Id="rId17" Type="http://schemas.openxmlformats.org/officeDocument/2006/relationships/ctrlProp" Target="../ctrlProps/ctrlProp230.xml"/><Relationship Id="rId25" Type="http://schemas.openxmlformats.org/officeDocument/2006/relationships/ctrlProp" Target="../ctrlProps/ctrlProp238.xml"/><Relationship Id="rId2" Type="http://schemas.openxmlformats.org/officeDocument/2006/relationships/drawing" Target="../drawings/drawing16.xml"/><Relationship Id="rId16" Type="http://schemas.openxmlformats.org/officeDocument/2006/relationships/ctrlProp" Target="../ctrlProps/ctrlProp229.xml"/><Relationship Id="rId20" Type="http://schemas.openxmlformats.org/officeDocument/2006/relationships/ctrlProp" Target="../ctrlProps/ctrlProp233.xml"/><Relationship Id="rId1" Type="http://schemas.openxmlformats.org/officeDocument/2006/relationships/printerSettings" Target="../printerSettings/printerSettings22.bin"/><Relationship Id="rId6" Type="http://schemas.openxmlformats.org/officeDocument/2006/relationships/ctrlProp" Target="../ctrlProps/ctrlProp219.xml"/><Relationship Id="rId11" Type="http://schemas.openxmlformats.org/officeDocument/2006/relationships/ctrlProp" Target="../ctrlProps/ctrlProp224.xml"/><Relationship Id="rId24" Type="http://schemas.openxmlformats.org/officeDocument/2006/relationships/ctrlProp" Target="../ctrlProps/ctrlProp237.xml"/><Relationship Id="rId5" Type="http://schemas.openxmlformats.org/officeDocument/2006/relationships/ctrlProp" Target="../ctrlProps/ctrlProp218.xml"/><Relationship Id="rId15" Type="http://schemas.openxmlformats.org/officeDocument/2006/relationships/ctrlProp" Target="../ctrlProps/ctrlProp228.xml"/><Relationship Id="rId23" Type="http://schemas.openxmlformats.org/officeDocument/2006/relationships/ctrlProp" Target="../ctrlProps/ctrlProp236.xml"/><Relationship Id="rId10" Type="http://schemas.openxmlformats.org/officeDocument/2006/relationships/ctrlProp" Target="../ctrlProps/ctrlProp223.xml"/><Relationship Id="rId19" Type="http://schemas.openxmlformats.org/officeDocument/2006/relationships/ctrlProp" Target="../ctrlProps/ctrlProp232.xml"/><Relationship Id="rId4" Type="http://schemas.openxmlformats.org/officeDocument/2006/relationships/ctrlProp" Target="../ctrlProps/ctrlProp217.xml"/><Relationship Id="rId9" Type="http://schemas.openxmlformats.org/officeDocument/2006/relationships/ctrlProp" Target="../ctrlProps/ctrlProp222.xml"/><Relationship Id="rId14" Type="http://schemas.openxmlformats.org/officeDocument/2006/relationships/ctrlProp" Target="../ctrlProps/ctrlProp227.xml"/><Relationship Id="rId22" Type="http://schemas.openxmlformats.org/officeDocument/2006/relationships/ctrlProp" Target="../ctrlProps/ctrlProp235.xml"/><Relationship Id="rId27" Type="http://schemas.openxmlformats.org/officeDocument/2006/relationships/ctrlProp" Target="../ctrlProps/ctrlProp24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7.bin"/><Relationship Id="rId1" Type="http://schemas.openxmlformats.org/officeDocument/2006/relationships/hyperlink" Target="mailto:CSBenchmarking@eastsussex.gcsx.gov.uk"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tint="-4.9989318521683403E-2"/>
  </sheetPr>
  <dimension ref="B2:Z26"/>
  <sheetViews>
    <sheetView workbookViewId="0">
      <selection activeCell="W29" sqref="W29"/>
    </sheetView>
  </sheetViews>
  <sheetFormatPr defaultColWidth="9.140625" defaultRowHeight="12.75" x14ac:dyDescent="0.2"/>
  <cols>
    <col min="1" max="1" width="2.28515625" style="515" customWidth="1"/>
    <col min="2" max="2" width="23.5703125" style="515" customWidth="1"/>
    <col min="3" max="3" width="10.7109375" style="515" bestFit="1" customWidth="1"/>
    <col min="4" max="26" width="3" style="515" bestFit="1" customWidth="1"/>
    <col min="27" max="16384" width="9.140625" style="515"/>
  </cols>
  <sheetData>
    <row r="2" spans="2:26" x14ac:dyDescent="0.2">
      <c r="C2" s="516" t="s">
        <v>213</v>
      </c>
      <c r="D2" s="925" t="s">
        <v>214</v>
      </c>
      <c r="E2" s="926"/>
      <c r="F2" s="926"/>
      <c r="G2" s="926"/>
      <c r="H2" s="926"/>
      <c r="I2" s="926"/>
      <c r="J2" s="926"/>
      <c r="K2" s="926"/>
      <c r="L2" s="926"/>
      <c r="M2" s="926"/>
      <c r="N2" s="926"/>
      <c r="O2" s="926"/>
      <c r="P2" s="926"/>
      <c r="Q2" s="926"/>
      <c r="R2" s="926"/>
      <c r="S2" s="926"/>
      <c r="T2" s="926"/>
      <c r="U2" s="926"/>
      <c r="V2" s="926"/>
      <c r="W2" s="926"/>
      <c r="X2" s="926"/>
      <c r="Y2" s="927"/>
    </row>
    <row r="3" spans="2:26" ht="89.25" x14ac:dyDescent="0.2">
      <c r="B3" s="517" t="s">
        <v>75</v>
      </c>
      <c r="C3" s="518" t="str">
        <f>Home!$D$10</f>
        <v>(none)</v>
      </c>
      <c r="D3" s="519" t="s">
        <v>0</v>
      </c>
      <c r="E3" s="520" t="s">
        <v>32</v>
      </c>
      <c r="F3" s="520" t="s">
        <v>9</v>
      </c>
      <c r="G3" s="520" t="s">
        <v>4</v>
      </c>
      <c r="H3" s="520" t="s">
        <v>6</v>
      </c>
      <c r="I3" s="520" t="s">
        <v>1</v>
      </c>
      <c r="J3" s="520" t="s">
        <v>10</v>
      </c>
      <c r="K3" s="520" t="s">
        <v>2</v>
      </c>
      <c r="L3" s="520" t="s">
        <v>11</v>
      </c>
      <c r="M3" s="520" t="s">
        <v>12</v>
      </c>
      <c r="N3" s="520" t="s">
        <v>13</v>
      </c>
      <c r="O3" s="520" t="s">
        <v>3</v>
      </c>
      <c r="P3" s="520" t="s">
        <v>14</v>
      </c>
      <c r="Q3" s="520" t="s">
        <v>93</v>
      </c>
      <c r="R3" s="520" t="s">
        <v>15</v>
      </c>
      <c r="S3" s="520" t="s">
        <v>7</v>
      </c>
      <c r="T3" s="520" t="s">
        <v>116</v>
      </c>
      <c r="U3" s="520" t="s">
        <v>117</v>
      </c>
      <c r="V3" s="520" t="s">
        <v>16</v>
      </c>
      <c r="W3" s="520" t="s">
        <v>5</v>
      </c>
      <c r="X3" s="520" t="s">
        <v>31</v>
      </c>
      <c r="Y3" s="521" t="s">
        <v>17</v>
      </c>
    </row>
    <row r="4" spans="2:26" x14ac:dyDescent="0.2">
      <c r="B4" s="522" t="s">
        <v>0</v>
      </c>
      <c r="C4" s="522">
        <f>IF($C$3="(none)",0,IF(HLOOKUP($C$3,$D$3:$Y$25,Z4,FALSE)=0,0,"*"))</f>
        <v>0</v>
      </c>
      <c r="D4" s="523"/>
      <c r="E4" s="523"/>
      <c r="F4" s="524" t="s">
        <v>33</v>
      </c>
      <c r="G4" s="523"/>
      <c r="H4" s="523"/>
      <c r="I4" s="523"/>
      <c r="J4" s="523"/>
      <c r="K4" s="523"/>
      <c r="L4" s="523"/>
      <c r="M4" s="524" t="s">
        <v>33</v>
      </c>
      <c r="N4" s="523"/>
      <c r="O4" s="523"/>
      <c r="P4" s="523"/>
      <c r="Q4" s="523"/>
      <c r="R4" s="523"/>
      <c r="S4" s="524" t="s">
        <v>33</v>
      </c>
      <c r="T4" s="523"/>
      <c r="U4" s="523"/>
      <c r="V4" s="524" t="s">
        <v>33</v>
      </c>
      <c r="W4" s="523"/>
      <c r="X4" s="524" t="s">
        <v>33</v>
      </c>
      <c r="Y4" s="524" t="s">
        <v>33</v>
      </c>
      <c r="Z4" s="515">
        <v>2</v>
      </c>
    </row>
    <row r="5" spans="2:26" x14ac:dyDescent="0.2">
      <c r="B5" s="522" t="s">
        <v>32</v>
      </c>
      <c r="C5" s="522">
        <f t="shared" ref="C5:C25" si="0">IF($C$3="(none)",0,IF(HLOOKUP($C$3,$D$3:$Y$25,Z5,FALSE)=0,0,"*"))</f>
        <v>0</v>
      </c>
      <c r="D5" s="523"/>
      <c r="E5" s="523"/>
      <c r="F5" s="523"/>
      <c r="G5" s="523"/>
      <c r="H5" s="523"/>
      <c r="I5" s="523"/>
      <c r="J5" s="523"/>
      <c r="K5" s="523"/>
      <c r="L5" s="523"/>
      <c r="M5" s="523"/>
      <c r="N5" s="523"/>
      <c r="O5" s="524" t="s">
        <v>33</v>
      </c>
      <c r="P5" s="523"/>
      <c r="Q5" s="523"/>
      <c r="R5" s="523"/>
      <c r="S5" s="523"/>
      <c r="T5" s="523"/>
      <c r="U5" s="523"/>
      <c r="V5" s="523"/>
      <c r="W5" s="523"/>
      <c r="X5" s="523"/>
      <c r="Y5" s="523"/>
      <c r="Z5" s="515">
        <v>3</v>
      </c>
    </row>
    <row r="6" spans="2:26" x14ac:dyDescent="0.2">
      <c r="B6" s="522" t="s">
        <v>9</v>
      </c>
      <c r="C6" s="522">
        <f t="shared" si="0"/>
        <v>0</v>
      </c>
      <c r="D6" s="524" t="s">
        <v>33</v>
      </c>
      <c r="E6" s="525"/>
      <c r="F6" s="525"/>
      <c r="G6" s="525"/>
      <c r="H6" s="525"/>
      <c r="I6" s="525"/>
      <c r="J6" s="525"/>
      <c r="K6" s="525"/>
      <c r="L6" s="525"/>
      <c r="M6" s="524" t="s">
        <v>33</v>
      </c>
      <c r="N6" s="525"/>
      <c r="O6" s="525"/>
      <c r="P6" s="525"/>
      <c r="Q6" s="525"/>
      <c r="R6" s="525"/>
      <c r="S6" s="524" t="s">
        <v>33</v>
      </c>
      <c r="T6" s="525"/>
      <c r="U6" s="523"/>
      <c r="V6" s="524" t="s">
        <v>33</v>
      </c>
      <c r="W6" s="525"/>
      <c r="X6" s="524" t="s">
        <v>33</v>
      </c>
      <c r="Y6" s="524" t="s">
        <v>33</v>
      </c>
      <c r="Z6" s="515">
        <v>4</v>
      </c>
    </row>
    <row r="7" spans="2:26" x14ac:dyDescent="0.2">
      <c r="B7" s="522" t="s">
        <v>4</v>
      </c>
      <c r="C7" s="522">
        <f t="shared" si="0"/>
        <v>0</v>
      </c>
      <c r="D7" s="525"/>
      <c r="E7" s="525"/>
      <c r="F7" s="525"/>
      <c r="G7" s="525"/>
      <c r="H7" s="525"/>
      <c r="I7" s="524" t="s">
        <v>33</v>
      </c>
      <c r="J7" s="524" t="s">
        <v>33</v>
      </c>
      <c r="K7" s="525"/>
      <c r="L7" s="525"/>
      <c r="M7" s="525"/>
      <c r="N7" s="525"/>
      <c r="O7" s="525"/>
      <c r="P7" s="525"/>
      <c r="Q7" s="524" t="s">
        <v>33</v>
      </c>
      <c r="R7" s="525"/>
      <c r="S7" s="525"/>
      <c r="T7" s="525"/>
      <c r="U7" s="523"/>
      <c r="V7" s="525"/>
      <c r="W7" s="524" t="s">
        <v>33</v>
      </c>
      <c r="X7" s="525"/>
      <c r="Y7" s="525"/>
      <c r="Z7" s="515">
        <v>5</v>
      </c>
    </row>
    <row r="8" spans="2:26" x14ac:dyDescent="0.2">
      <c r="B8" s="522" t="s">
        <v>6</v>
      </c>
      <c r="C8" s="522">
        <f t="shared" si="0"/>
        <v>0</v>
      </c>
      <c r="D8" s="524" t="s">
        <v>33</v>
      </c>
      <c r="E8" s="525"/>
      <c r="F8" s="524" t="s">
        <v>33</v>
      </c>
      <c r="G8" s="525"/>
      <c r="H8" s="525"/>
      <c r="I8" s="525"/>
      <c r="J8" s="525"/>
      <c r="K8" s="525"/>
      <c r="L8" s="525"/>
      <c r="M8" s="524" t="s">
        <v>33</v>
      </c>
      <c r="N8" s="525"/>
      <c r="O8" s="525"/>
      <c r="P8" s="525"/>
      <c r="Q8" s="525"/>
      <c r="R8" s="525"/>
      <c r="S8" s="524" t="s">
        <v>33</v>
      </c>
      <c r="T8" s="525"/>
      <c r="U8" s="523"/>
      <c r="V8" s="524" t="s">
        <v>33</v>
      </c>
      <c r="W8" s="524" t="s">
        <v>33</v>
      </c>
      <c r="X8" s="524" t="s">
        <v>33</v>
      </c>
      <c r="Y8" s="524" t="s">
        <v>33</v>
      </c>
      <c r="Z8" s="515">
        <v>6</v>
      </c>
    </row>
    <row r="9" spans="2:26" x14ac:dyDescent="0.2">
      <c r="B9" s="522" t="s">
        <v>1</v>
      </c>
      <c r="C9" s="522">
        <f t="shared" si="0"/>
        <v>0</v>
      </c>
      <c r="D9" s="525"/>
      <c r="E9" s="525"/>
      <c r="F9" s="525"/>
      <c r="G9" s="525"/>
      <c r="H9" s="525"/>
      <c r="I9" s="525"/>
      <c r="J9" s="525"/>
      <c r="K9" s="525"/>
      <c r="L9" s="525"/>
      <c r="M9" s="525"/>
      <c r="N9" s="525"/>
      <c r="O9" s="525"/>
      <c r="P9" s="525"/>
      <c r="Q9" s="525"/>
      <c r="R9" s="524" t="s">
        <v>33</v>
      </c>
      <c r="S9" s="525"/>
      <c r="T9" s="525"/>
      <c r="U9" s="524" t="s">
        <v>33</v>
      </c>
      <c r="V9" s="525"/>
      <c r="W9" s="525"/>
      <c r="X9" s="525"/>
      <c r="Y9" s="525"/>
      <c r="Z9" s="515">
        <v>7</v>
      </c>
    </row>
    <row r="10" spans="2:26" x14ac:dyDescent="0.2">
      <c r="B10" s="522" t="s">
        <v>10</v>
      </c>
      <c r="C10" s="522">
        <f t="shared" si="0"/>
        <v>0</v>
      </c>
      <c r="D10" s="525"/>
      <c r="E10" s="525"/>
      <c r="F10" s="525"/>
      <c r="G10" s="524" t="s">
        <v>33</v>
      </c>
      <c r="H10" s="525"/>
      <c r="I10" s="525"/>
      <c r="J10" s="525"/>
      <c r="K10" s="524" t="s">
        <v>33</v>
      </c>
      <c r="L10" s="524" t="s">
        <v>33</v>
      </c>
      <c r="M10" s="525"/>
      <c r="N10" s="525"/>
      <c r="O10" s="525"/>
      <c r="P10" s="525"/>
      <c r="Q10" s="525"/>
      <c r="R10" s="525"/>
      <c r="S10" s="525"/>
      <c r="T10" s="524" t="s">
        <v>33</v>
      </c>
      <c r="U10" s="523"/>
      <c r="V10" s="525"/>
      <c r="W10" s="525"/>
      <c r="X10" s="525"/>
      <c r="Y10" s="525"/>
      <c r="Z10" s="515">
        <v>8</v>
      </c>
    </row>
    <row r="11" spans="2:26" x14ac:dyDescent="0.2">
      <c r="B11" s="522" t="s">
        <v>2</v>
      </c>
      <c r="C11" s="522">
        <f t="shared" si="0"/>
        <v>0</v>
      </c>
      <c r="D11" s="525"/>
      <c r="E11" s="525"/>
      <c r="F11" s="525"/>
      <c r="G11" s="525"/>
      <c r="H11" s="525"/>
      <c r="I11" s="525"/>
      <c r="J11" s="525"/>
      <c r="K11" s="525"/>
      <c r="L11" s="525"/>
      <c r="M11" s="525"/>
      <c r="N11" s="525"/>
      <c r="O11" s="525"/>
      <c r="P11" s="525"/>
      <c r="Q11" s="525"/>
      <c r="R11" s="525"/>
      <c r="S11" s="525"/>
      <c r="T11" s="524" t="s">
        <v>33</v>
      </c>
      <c r="U11" s="523"/>
      <c r="V11" s="525"/>
      <c r="W11" s="525"/>
      <c r="X11" s="525"/>
      <c r="Y11" s="525"/>
      <c r="Z11" s="515">
        <v>9</v>
      </c>
    </row>
    <row r="12" spans="2:26" x14ac:dyDescent="0.2">
      <c r="B12" s="522" t="s">
        <v>11</v>
      </c>
      <c r="C12" s="522">
        <f t="shared" si="0"/>
        <v>0</v>
      </c>
      <c r="D12" s="525"/>
      <c r="E12" s="525"/>
      <c r="F12" s="525"/>
      <c r="G12" s="525"/>
      <c r="H12" s="525"/>
      <c r="I12" s="525"/>
      <c r="J12" s="525"/>
      <c r="K12" s="525"/>
      <c r="L12" s="525"/>
      <c r="M12" s="525"/>
      <c r="N12" s="525"/>
      <c r="O12" s="524" t="s">
        <v>33</v>
      </c>
      <c r="P12" s="525"/>
      <c r="Q12" s="525"/>
      <c r="R12" s="525"/>
      <c r="S12" s="525"/>
      <c r="T12" s="525"/>
      <c r="U12" s="523"/>
      <c r="V12" s="525"/>
      <c r="W12" s="525"/>
      <c r="X12" s="525"/>
      <c r="Y12" s="525"/>
      <c r="Z12" s="515">
        <v>10</v>
      </c>
    </row>
    <row r="13" spans="2:26" x14ac:dyDescent="0.2">
      <c r="B13" s="522" t="s">
        <v>12</v>
      </c>
      <c r="C13" s="522">
        <f t="shared" si="0"/>
        <v>0</v>
      </c>
      <c r="D13" s="525"/>
      <c r="E13" s="525"/>
      <c r="F13" s="524" t="s">
        <v>33</v>
      </c>
      <c r="G13" s="525"/>
      <c r="H13" s="525"/>
      <c r="I13" s="525"/>
      <c r="J13" s="525"/>
      <c r="K13" s="525"/>
      <c r="L13" s="525"/>
      <c r="M13" s="525"/>
      <c r="N13" s="525"/>
      <c r="O13" s="525"/>
      <c r="P13" s="525"/>
      <c r="Q13" s="525"/>
      <c r="R13" s="525"/>
      <c r="S13" s="524" t="s">
        <v>33</v>
      </c>
      <c r="T13" s="525"/>
      <c r="U13" s="523"/>
      <c r="V13" s="524" t="s">
        <v>33</v>
      </c>
      <c r="W13" s="525"/>
      <c r="X13" s="524" t="s">
        <v>33</v>
      </c>
      <c r="Y13" s="524" t="s">
        <v>33</v>
      </c>
      <c r="Z13" s="515">
        <v>11</v>
      </c>
    </row>
    <row r="14" spans="2:26" x14ac:dyDescent="0.2">
      <c r="B14" s="522" t="s">
        <v>13</v>
      </c>
      <c r="C14" s="522">
        <f t="shared" si="0"/>
        <v>0</v>
      </c>
      <c r="D14" s="525"/>
      <c r="E14" s="524" t="s">
        <v>33</v>
      </c>
      <c r="F14" s="525"/>
      <c r="G14" s="525"/>
      <c r="H14" s="525"/>
      <c r="I14" s="525"/>
      <c r="J14" s="525"/>
      <c r="K14" s="525"/>
      <c r="L14" s="525"/>
      <c r="M14" s="525"/>
      <c r="N14" s="525"/>
      <c r="O14" s="525"/>
      <c r="P14" s="525"/>
      <c r="Q14" s="525"/>
      <c r="R14" s="525"/>
      <c r="S14" s="525"/>
      <c r="T14" s="525"/>
      <c r="U14" s="523"/>
      <c r="V14" s="525"/>
      <c r="W14" s="525"/>
      <c r="X14" s="525"/>
      <c r="Y14" s="525"/>
      <c r="Z14" s="515">
        <v>12</v>
      </c>
    </row>
    <row r="15" spans="2:26" x14ac:dyDescent="0.2">
      <c r="B15" s="522" t="s">
        <v>3</v>
      </c>
      <c r="C15" s="522">
        <f t="shared" si="0"/>
        <v>0</v>
      </c>
      <c r="D15" s="525"/>
      <c r="E15" s="524" t="s">
        <v>33</v>
      </c>
      <c r="F15" s="525"/>
      <c r="G15" s="525"/>
      <c r="H15" s="525"/>
      <c r="I15" s="525"/>
      <c r="J15" s="525"/>
      <c r="K15" s="525"/>
      <c r="L15" s="525"/>
      <c r="M15" s="525"/>
      <c r="N15" s="525"/>
      <c r="O15" s="525"/>
      <c r="P15" s="525"/>
      <c r="Q15" s="525"/>
      <c r="R15" s="525"/>
      <c r="S15" s="525"/>
      <c r="T15" s="525"/>
      <c r="U15" s="523"/>
      <c r="V15" s="525"/>
      <c r="W15" s="525"/>
      <c r="X15" s="525"/>
      <c r="Y15" s="525"/>
      <c r="Z15" s="515">
        <v>13</v>
      </c>
    </row>
    <row r="16" spans="2:26" x14ac:dyDescent="0.2">
      <c r="B16" s="522" t="s">
        <v>14</v>
      </c>
      <c r="C16" s="522">
        <f t="shared" si="0"/>
        <v>0</v>
      </c>
      <c r="D16" s="525"/>
      <c r="E16" s="525"/>
      <c r="F16" s="525"/>
      <c r="G16" s="525"/>
      <c r="H16" s="525"/>
      <c r="I16" s="525"/>
      <c r="J16" s="525"/>
      <c r="K16" s="525"/>
      <c r="L16" s="525"/>
      <c r="M16" s="525"/>
      <c r="N16" s="525"/>
      <c r="O16" s="525"/>
      <c r="P16" s="525"/>
      <c r="Q16" s="525"/>
      <c r="R16" s="525"/>
      <c r="S16" s="525"/>
      <c r="T16" s="525"/>
      <c r="U16" s="523"/>
      <c r="V16" s="525"/>
      <c r="W16" s="525"/>
      <c r="X16" s="525"/>
      <c r="Y16" s="525"/>
      <c r="Z16" s="515">
        <v>14</v>
      </c>
    </row>
    <row r="17" spans="2:26" x14ac:dyDescent="0.2">
      <c r="B17" s="522" t="s">
        <v>93</v>
      </c>
      <c r="C17" s="522">
        <f t="shared" si="0"/>
        <v>0</v>
      </c>
      <c r="D17" s="525"/>
      <c r="E17" s="525"/>
      <c r="F17" s="525"/>
      <c r="G17" s="525"/>
      <c r="H17" s="525"/>
      <c r="I17" s="525"/>
      <c r="J17" s="525"/>
      <c r="K17" s="525"/>
      <c r="L17" s="525"/>
      <c r="M17" s="525"/>
      <c r="N17" s="525"/>
      <c r="O17" s="525"/>
      <c r="P17" s="525"/>
      <c r="Q17" s="525"/>
      <c r="R17" s="525"/>
      <c r="S17" s="525"/>
      <c r="T17" s="525"/>
      <c r="U17" s="523"/>
      <c r="V17" s="525"/>
      <c r="W17" s="525"/>
      <c r="X17" s="525"/>
      <c r="Y17" s="525"/>
      <c r="Z17" s="515">
        <v>15</v>
      </c>
    </row>
    <row r="18" spans="2:26" x14ac:dyDescent="0.2">
      <c r="B18" s="522" t="s">
        <v>15</v>
      </c>
      <c r="C18" s="522">
        <f t="shared" si="0"/>
        <v>0</v>
      </c>
      <c r="D18" s="525"/>
      <c r="E18" s="524" t="s">
        <v>33</v>
      </c>
      <c r="F18" s="525"/>
      <c r="G18" s="525"/>
      <c r="H18" s="525"/>
      <c r="I18" s="525"/>
      <c r="J18" s="525"/>
      <c r="K18" s="525"/>
      <c r="L18" s="525"/>
      <c r="M18" s="525"/>
      <c r="N18" s="524" t="s">
        <v>33</v>
      </c>
      <c r="O18" s="525"/>
      <c r="P18" s="525"/>
      <c r="Q18" s="525"/>
      <c r="R18" s="524" t="s">
        <v>33</v>
      </c>
      <c r="S18" s="525"/>
      <c r="T18" s="525"/>
      <c r="U18" s="523"/>
      <c r="V18" s="525"/>
      <c r="W18" s="525"/>
      <c r="X18" s="525"/>
      <c r="Y18" s="525"/>
      <c r="Z18" s="515">
        <v>16</v>
      </c>
    </row>
    <row r="19" spans="2:26" x14ac:dyDescent="0.2">
      <c r="B19" s="522" t="s">
        <v>7</v>
      </c>
      <c r="C19" s="522">
        <f t="shared" si="0"/>
        <v>0</v>
      </c>
      <c r="D19" s="524" t="s">
        <v>33</v>
      </c>
      <c r="E19" s="525"/>
      <c r="F19" s="524" t="s">
        <v>33</v>
      </c>
      <c r="G19" s="525"/>
      <c r="H19" s="525"/>
      <c r="I19" s="525"/>
      <c r="J19" s="525"/>
      <c r="K19" s="525"/>
      <c r="L19" s="525"/>
      <c r="M19" s="524" t="s">
        <v>33</v>
      </c>
      <c r="N19" s="525"/>
      <c r="O19" s="525"/>
      <c r="P19" s="525"/>
      <c r="Q19" s="525"/>
      <c r="R19" s="525"/>
      <c r="S19" s="525"/>
      <c r="T19" s="525"/>
      <c r="U19" s="523"/>
      <c r="V19" s="524" t="s">
        <v>33</v>
      </c>
      <c r="W19" s="525"/>
      <c r="X19" s="524" t="s">
        <v>33</v>
      </c>
      <c r="Y19" s="524" t="s">
        <v>33</v>
      </c>
      <c r="Z19" s="515">
        <v>17</v>
      </c>
    </row>
    <row r="20" spans="2:26" x14ac:dyDescent="0.2">
      <c r="B20" s="522" t="s">
        <v>116</v>
      </c>
      <c r="C20" s="522">
        <f t="shared" si="0"/>
        <v>0</v>
      </c>
      <c r="D20" s="526"/>
      <c r="E20" s="527"/>
      <c r="F20" s="526"/>
      <c r="G20" s="527"/>
      <c r="H20" s="527"/>
      <c r="I20" s="527"/>
      <c r="J20" s="524" t="s">
        <v>33</v>
      </c>
      <c r="K20" s="524" t="s">
        <v>33</v>
      </c>
      <c r="L20" s="524" t="s">
        <v>33</v>
      </c>
      <c r="M20" s="526"/>
      <c r="N20" s="527"/>
      <c r="O20" s="527"/>
      <c r="P20" s="527"/>
      <c r="Q20" s="527"/>
      <c r="R20" s="527"/>
      <c r="S20" s="527"/>
      <c r="T20" s="527"/>
      <c r="U20" s="528"/>
      <c r="V20" s="526"/>
      <c r="W20" s="527"/>
      <c r="X20" s="526"/>
      <c r="Y20" s="526"/>
      <c r="Z20" s="515">
        <v>18</v>
      </c>
    </row>
    <row r="21" spans="2:26" x14ac:dyDescent="0.2">
      <c r="B21" s="522" t="s">
        <v>117</v>
      </c>
      <c r="C21" s="522">
        <f t="shared" si="0"/>
        <v>0</v>
      </c>
      <c r="D21" s="526"/>
      <c r="E21" s="527"/>
      <c r="F21" s="526"/>
      <c r="G21" s="527"/>
      <c r="H21" s="527"/>
      <c r="I21" s="524" t="s">
        <v>33</v>
      </c>
      <c r="J21" s="527"/>
      <c r="K21" s="527"/>
      <c r="L21" s="527"/>
      <c r="M21" s="526"/>
      <c r="N21" s="527"/>
      <c r="O21" s="527"/>
      <c r="P21" s="527"/>
      <c r="Q21" s="527"/>
      <c r="R21" s="527"/>
      <c r="S21" s="527"/>
      <c r="T21" s="527"/>
      <c r="U21" s="528"/>
      <c r="V21" s="526"/>
      <c r="W21" s="527"/>
      <c r="X21" s="526"/>
      <c r="Y21" s="526"/>
      <c r="Z21" s="515">
        <v>19</v>
      </c>
    </row>
    <row r="22" spans="2:26" x14ac:dyDescent="0.2">
      <c r="B22" s="522" t="s">
        <v>16</v>
      </c>
      <c r="C22" s="522">
        <f t="shared" si="0"/>
        <v>0</v>
      </c>
      <c r="D22" s="525"/>
      <c r="E22" s="525"/>
      <c r="F22" s="524" t="s">
        <v>33</v>
      </c>
      <c r="G22" s="525"/>
      <c r="H22" s="524" t="s">
        <v>33</v>
      </c>
      <c r="I22" s="525"/>
      <c r="J22" s="525"/>
      <c r="K22" s="525"/>
      <c r="L22" s="525"/>
      <c r="M22" s="524" t="s">
        <v>33</v>
      </c>
      <c r="N22" s="525"/>
      <c r="O22" s="525"/>
      <c r="P22" s="525"/>
      <c r="Q22" s="525"/>
      <c r="R22" s="525"/>
      <c r="S22" s="524" t="s">
        <v>33</v>
      </c>
      <c r="T22" s="525"/>
      <c r="U22" s="523"/>
      <c r="V22" s="525"/>
      <c r="W22" s="525"/>
      <c r="X22" s="524" t="s">
        <v>33</v>
      </c>
      <c r="Y22" s="524" t="s">
        <v>33</v>
      </c>
      <c r="Z22" s="515">
        <v>20</v>
      </c>
    </row>
    <row r="23" spans="2:26" x14ac:dyDescent="0.2">
      <c r="B23" s="522" t="s">
        <v>5</v>
      </c>
      <c r="C23" s="522">
        <f t="shared" si="0"/>
        <v>0</v>
      </c>
      <c r="D23" s="525"/>
      <c r="E23" s="525"/>
      <c r="F23" s="525"/>
      <c r="G23" s="524" t="s">
        <v>33</v>
      </c>
      <c r="H23" s="524" t="s">
        <v>33</v>
      </c>
      <c r="I23" s="525"/>
      <c r="J23" s="524" t="s">
        <v>33</v>
      </c>
      <c r="K23" s="525"/>
      <c r="L23" s="525"/>
      <c r="M23" s="525"/>
      <c r="N23" s="525"/>
      <c r="O23" s="525"/>
      <c r="P23" s="525"/>
      <c r="Q23" s="525"/>
      <c r="R23" s="525"/>
      <c r="S23" s="525"/>
      <c r="T23" s="525"/>
      <c r="U23" s="525"/>
      <c r="V23" s="525"/>
      <c r="W23" s="525"/>
      <c r="X23" s="525"/>
      <c r="Y23" s="525"/>
      <c r="Z23" s="515">
        <v>21</v>
      </c>
    </row>
    <row r="24" spans="2:26" x14ac:dyDescent="0.2">
      <c r="B24" s="522" t="s">
        <v>31</v>
      </c>
      <c r="C24" s="522">
        <f t="shared" si="0"/>
        <v>0</v>
      </c>
      <c r="D24" s="524" t="s">
        <v>33</v>
      </c>
      <c r="E24" s="529"/>
      <c r="F24" s="524" t="s">
        <v>33</v>
      </c>
      <c r="G24" s="529"/>
      <c r="H24" s="529"/>
      <c r="I24" s="529"/>
      <c r="J24" s="529"/>
      <c r="K24" s="529"/>
      <c r="L24" s="529"/>
      <c r="M24" s="529"/>
      <c r="N24" s="529"/>
      <c r="O24" s="529"/>
      <c r="P24" s="529"/>
      <c r="Q24" s="525"/>
      <c r="R24" s="529"/>
      <c r="S24" s="524" t="s">
        <v>33</v>
      </c>
      <c r="T24" s="525"/>
      <c r="U24" s="525"/>
      <c r="V24" s="530"/>
      <c r="W24" s="529"/>
      <c r="X24" s="529"/>
      <c r="Y24" s="524" t="s">
        <v>33</v>
      </c>
      <c r="Z24" s="515">
        <v>22</v>
      </c>
    </row>
    <row r="25" spans="2:26" x14ac:dyDescent="0.2">
      <c r="B25" s="522" t="s">
        <v>17</v>
      </c>
      <c r="C25" s="522">
        <f t="shared" si="0"/>
        <v>0</v>
      </c>
      <c r="D25" s="531"/>
      <c r="E25" s="529"/>
      <c r="F25" s="524" t="s">
        <v>33</v>
      </c>
      <c r="G25" s="529"/>
      <c r="H25" s="529"/>
      <c r="I25" s="529"/>
      <c r="J25" s="529"/>
      <c r="K25" s="529"/>
      <c r="L25" s="529"/>
      <c r="M25" s="529"/>
      <c r="N25" s="529"/>
      <c r="O25" s="530"/>
      <c r="P25" s="530"/>
      <c r="Q25" s="529"/>
      <c r="R25" s="530"/>
      <c r="S25" s="524" t="s">
        <v>33</v>
      </c>
      <c r="T25" s="529"/>
      <c r="U25" s="529"/>
      <c r="V25" s="530"/>
      <c r="W25" s="530"/>
      <c r="X25" s="524" t="s">
        <v>33</v>
      </c>
      <c r="Y25" s="530"/>
      <c r="Z25" s="515">
        <v>23</v>
      </c>
    </row>
    <row r="26" spans="2:26" x14ac:dyDescent="0.2">
      <c r="B26" s="532"/>
      <c r="C26" s="532"/>
    </row>
  </sheetData>
  <mergeCells count="1">
    <mergeCell ref="D2:Y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K401"/>
  <sheetViews>
    <sheetView showRowColHeaders="0" workbookViewId="0"/>
  </sheetViews>
  <sheetFormatPr defaultColWidth="9.140625" defaultRowHeight="11.25" customHeight="1" x14ac:dyDescent="0.2"/>
  <cols>
    <col min="1" max="1" width="2.140625" style="80" customWidth="1"/>
    <col min="2" max="2" width="17" style="80" bestFit="1" customWidth="1"/>
    <col min="3" max="3" width="11.7109375" style="80" customWidth="1"/>
    <col min="4" max="5" width="12.42578125" style="80" customWidth="1"/>
    <col min="6" max="6" width="1.42578125" style="80" customWidth="1"/>
    <col min="7" max="7" width="10.140625" style="80" customWidth="1"/>
    <col min="8" max="8" width="6.7109375" style="80" customWidth="1"/>
    <col min="9" max="9" width="8.28515625" style="80" customWidth="1"/>
    <col min="10" max="10" width="4" style="80" customWidth="1"/>
    <col min="11" max="15" width="8.28515625" style="80" customWidth="1"/>
    <col min="16" max="16" width="8" style="80" customWidth="1"/>
    <col min="17" max="17" width="2.140625" style="80" customWidth="1"/>
    <col min="18" max="18" width="6.42578125" style="80" customWidth="1"/>
    <col min="19" max="19" width="12.140625" style="80" hidden="1" customWidth="1"/>
    <col min="20" max="20" width="15.42578125" style="80" hidden="1" customWidth="1"/>
    <col min="21" max="21" width="20.28515625" style="80" hidden="1" customWidth="1"/>
    <col min="22" max="22" width="4.42578125" style="80" hidden="1" customWidth="1"/>
    <col min="23" max="23" width="13.7109375" style="80" hidden="1" customWidth="1"/>
    <col min="24" max="24" width="4.42578125" style="80" customWidth="1"/>
    <col min="25" max="25" width="9.140625" style="80"/>
    <col min="26" max="26" width="12.140625" style="81" customWidth="1"/>
    <col min="27" max="27" width="9.140625" style="81"/>
    <col min="28" max="28" width="12.140625" style="81" customWidth="1"/>
    <col min="29" max="31" width="9.140625" style="80"/>
    <col min="32" max="32" width="9.140625" style="80" customWidth="1"/>
    <col min="33" max="34" width="9.140625" style="80"/>
    <col min="35" max="37" width="9.140625" style="210"/>
    <col min="38" max="16384" width="9.140625" style="80"/>
  </cols>
  <sheetData>
    <row r="1" spans="1:37" ht="18.75" customHeight="1" x14ac:dyDescent="0.2">
      <c r="A1" s="129"/>
      <c r="B1" s="130"/>
      <c r="C1" s="130"/>
      <c r="D1" s="130"/>
      <c r="E1" s="130"/>
      <c r="F1" s="130"/>
      <c r="G1" s="130"/>
      <c r="H1" s="130"/>
      <c r="I1" s="131"/>
      <c r="J1" s="130"/>
      <c r="K1" s="130"/>
      <c r="L1" s="130"/>
      <c r="M1" s="130"/>
      <c r="N1" s="130"/>
      <c r="O1" s="130"/>
      <c r="P1" s="130"/>
      <c r="Q1" s="132"/>
      <c r="R1" s="306"/>
      <c r="S1" s="210"/>
      <c r="T1" s="210"/>
      <c r="U1" s="210"/>
      <c r="V1" s="87"/>
      <c r="W1" s="87"/>
      <c r="X1" s="206"/>
      <c r="Y1" s="206"/>
      <c r="Z1" s="206"/>
      <c r="AA1" s="206"/>
      <c r="AB1" s="206"/>
      <c r="AC1" s="206"/>
      <c r="AD1" s="206"/>
      <c r="AE1" s="206"/>
      <c r="AF1" s="206"/>
      <c r="AG1" s="206"/>
      <c r="AH1" s="206"/>
    </row>
    <row r="2" spans="1:37" ht="18.75" customHeight="1" x14ac:dyDescent="0.2">
      <c r="A2" s="135"/>
      <c r="B2" s="145" t="s">
        <v>78</v>
      </c>
      <c r="C2" s="9"/>
      <c r="D2" s="9"/>
      <c r="E2" s="9"/>
      <c r="F2" s="9"/>
      <c r="G2" s="9"/>
      <c r="H2" s="9"/>
      <c r="I2" s="13"/>
      <c r="J2" s="9"/>
      <c r="K2" s="9"/>
      <c r="L2" s="9"/>
      <c r="M2" s="9"/>
      <c r="N2" s="9"/>
      <c r="O2" s="9"/>
      <c r="P2" s="9"/>
      <c r="Q2" s="134"/>
      <c r="R2" s="179"/>
      <c r="S2" s="210"/>
      <c r="T2" s="210"/>
      <c r="U2" s="210"/>
      <c r="V2" s="87"/>
      <c r="W2" s="87"/>
      <c r="X2" s="88"/>
      <c r="Y2" s="88"/>
      <c r="Z2" s="88"/>
      <c r="AA2" s="88"/>
      <c r="AB2" s="88"/>
      <c r="AC2" s="88"/>
      <c r="AD2" s="88"/>
      <c r="AE2" s="88"/>
      <c r="AF2" s="88"/>
      <c r="AG2" s="88"/>
      <c r="AH2" s="88"/>
    </row>
    <row r="3" spans="1:37" ht="18.75" customHeight="1" x14ac:dyDescent="0.2">
      <c r="A3" s="135"/>
      <c r="B3" s="9"/>
      <c r="C3" s="9"/>
      <c r="D3" s="9"/>
      <c r="E3" s="9"/>
      <c r="F3" s="9"/>
      <c r="G3" s="9"/>
      <c r="H3" s="9"/>
      <c r="I3" s="13"/>
      <c r="J3" s="9"/>
      <c r="K3" s="9"/>
      <c r="L3" s="9"/>
      <c r="M3" s="9"/>
      <c r="N3" s="9"/>
      <c r="O3" s="9"/>
      <c r="P3" s="9"/>
      <c r="Q3" s="134"/>
      <c r="R3" s="179"/>
      <c r="S3" s="210"/>
      <c r="T3" s="210"/>
      <c r="U3" s="210"/>
      <c r="V3" s="87"/>
      <c r="W3" s="87"/>
      <c r="X3" s="88"/>
      <c r="Y3" s="88"/>
      <c r="Z3" s="88"/>
      <c r="AA3" s="88"/>
      <c r="AB3" s="88"/>
      <c r="AC3" s="88"/>
      <c r="AD3" s="88"/>
      <c r="AE3" s="88"/>
      <c r="AF3" s="88"/>
      <c r="AG3" s="88"/>
      <c r="AH3" s="88"/>
    </row>
    <row r="4" spans="1:37" ht="11.25" customHeight="1" x14ac:dyDescent="0.2">
      <c r="A4" s="129"/>
      <c r="B4" s="130"/>
      <c r="C4" s="130"/>
      <c r="D4" s="130"/>
      <c r="E4" s="130"/>
      <c r="F4" s="130"/>
      <c r="G4" s="130"/>
      <c r="H4" s="130"/>
      <c r="I4" s="130"/>
      <c r="J4" s="130"/>
      <c r="K4" s="130"/>
      <c r="L4" s="130"/>
      <c r="M4" s="130"/>
      <c r="N4" s="130"/>
      <c r="O4" s="130"/>
      <c r="P4" s="130"/>
      <c r="Q4" s="252"/>
      <c r="R4" s="175"/>
      <c r="X4" s="81"/>
      <c r="Y4" s="81"/>
      <c r="AA4" s="80"/>
      <c r="AB4" s="80"/>
    </row>
    <row r="5" spans="1:37" s="82" customFormat="1" ht="18.75" customHeight="1" x14ac:dyDescent="0.2">
      <c r="A5" s="136"/>
      <c r="B5" s="60" t="s">
        <v>98</v>
      </c>
      <c r="C5" s="257"/>
      <c r="D5" s="257"/>
      <c r="E5" s="257"/>
      <c r="F5" s="257"/>
      <c r="G5" s="257"/>
      <c r="H5" s="257"/>
      <c r="I5" s="257"/>
      <c r="J5" s="257"/>
      <c r="K5" s="257"/>
      <c r="L5" s="257"/>
      <c r="M5" s="257"/>
      <c r="N5" s="63"/>
      <c r="O5" s="63"/>
      <c r="P5" s="15"/>
      <c r="Q5" s="253"/>
      <c r="R5" s="176"/>
      <c r="S5" s="90" t="e">
        <f>VLOOKUP(T5,$S$9:$T$30,2,FALSE)</f>
        <v>#N/A</v>
      </c>
      <c r="T5" s="83" t="str">
        <f>Home!$D$10</f>
        <v>(none)</v>
      </c>
      <c r="U5" s="277" t="str">
        <f>"Selected LA- "&amp;T5</f>
        <v>Selected LA- (none)</v>
      </c>
      <c r="V5" s="210"/>
      <c r="X5" s="85"/>
      <c r="Y5" s="275"/>
      <c r="Z5" s="85"/>
      <c r="AI5" s="215"/>
      <c r="AJ5" s="215"/>
      <c r="AK5" s="215"/>
    </row>
    <row r="6" spans="1:37" ht="49.5" customHeight="1" x14ac:dyDescent="0.2">
      <c r="A6" s="135"/>
      <c r="B6" s="993" t="s">
        <v>839</v>
      </c>
      <c r="C6" s="1005"/>
      <c r="D6" s="1005"/>
      <c r="E6" s="1005"/>
      <c r="F6" s="1005"/>
      <c r="G6" s="1005"/>
      <c r="H6" s="1005"/>
      <c r="I6" s="1005"/>
      <c r="J6" s="1005"/>
      <c r="K6" s="1005"/>
      <c r="L6" s="1005"/>
      <c r="M6" s="1005"/>
      <c r="N6" s="1005"/>
      <c r="O6" s="1005"/>
      <c r="P6" s="9"/>
      <c r="Q6" s="273"/>
      <c r="R6" s="175"/>
      <c r="U6" s="82"/>
      <c r="V6" s="215"/>
      <c r="W6" s="82"/>
      <c r="X6" s="82"/>
      <c r="Y6" s="210"/>
    </row>
    <row r="7" spans="1:37" ht="7.5" customHeight="1" x14ac:dyDescent="0.2">
      <c r="A7" s="309"/>
      <c r="B7" s="1012"/>
      <c r="C7" s="1012"/>
      <c r="D7" s="1012"/>
      <c r="E7" s="1012"/>
      <c r="F7" s="1012"/>
      <c r="G7" s="1012"/>
      <c r="H7" s="1012"/>
      <c r="I7" s="1012"/>
      <c r="J7" s="1012"/>
      <c r="K7" s="1012"/>
      <c r="L7" s="1012"/>
      <c r="M7" s="1012"/>
      <c r="N7" s="1012"/>
      <c r="O7" s="1012"/>
      <c r="P7" s="1012"/>
      <c r="Q7" s="273"/>
      <c r="R7" s="175"/>
      <c r="U7" s="82"/>
      <c r="V7" s="215"/>
      <c r="W7" s="82"/>
      <c r="X7" s="82"/>
      <c r="Y7" s="210"/>
    </row>
    <row r="8" spans="1:37" ht="37.5" customHeight="1" x14ac:dyDescent="0.2">
      <c r="A8" s="135"/>
      <c r="B8" s="514" t="s">
        <v>215</v>
      </c>
      <c r="C8" s="74" t="s">
        <v>95</v>
      </c>
      <c r="D8" s="75" t="s">
        <v>96</v>
      </c>
      <c r="E8" s="76" t="s">
        <v>99</v>
      </c>
      <c r="F8" s="39"/>
      <c r="G8" s="39"/>
      <c r="H8" s="39"/>
      <c r="I8" s="39"/>
      <c r="J8" s="39"/>
      <c r="K8" s="258"/>
      <c r="L8" s="38"/>
      <c r="M8" s="38"/>
      <c r="N8" s="38"/>
      <c r="O8" s="9"/>
      <c r="P8" s="9"/>
      <c r="Q8" s="273"/>
      <c r="R8" s="175"/>
      <c r="V8" s="210"/>
      <c r="Y8" s="210"/>
    </row>
    <row r="9" spans="1:37" ht="12.75" customHeight="1" x14ac:dyDescent="0.2">
      <c r="A9" s="533">
        <f>VLOOKUP(B9,Sheet1!$B$4:$C$25,2,FALSE)</f>
        <v>0</v>
      </c>
      <c r="B9" s="112" t="s">
        <v>0</v>
      </c>
      <c r="C9" s="77">
        <v>11</v>
      </c>
      <c r="D9" s="78">
        <v>23799</v>
      </c>
      <c r="E9" s="79">
        <f>D9*(C9/100)</f>
        <v>2617.89</v>
      </c>
      <c r="F9" s="258"/>
      <c r="G9" s="258"/>
      <c r="H9" s="40"/>
      <c r="I9" s="15"/>
      <c r="J9" s="15"/>
      <c r="K9" s="15"/>
      <c r="L9" s="37"/>
      <c r="M9" s="38"/>
      <c r="N9" s="37"/>
      <c r="O9" s="9"/>
      <c r="P9" s="9"/>
      <c r="Q9" s="273"/>
      <c r="R9" s="175"/>
      <c r="S9" s="91" t="str">
        <f>B9</f>
        <v>Bracknell Forest</v>
      </c>
      <c r="T9" s="86">
        <v>1</v>
      </c>
      <c r="U9" s="278" t="str">
        <f>IF(B9=$T$5,C9," ")</f>
        <v xml:space="preserve"> </v>
      </c>
      <c r="V9" s="210"/>
      <c r="X9" s="81"/>
      <c r="Y9" s="276"/>
      <c r="AA9" s="80"/>
      <c r="AB9" s="80"/>
    </row>
    <row r="10" spans="1:37" ht="12.75" customHeight="1" x14ac:dyDescent="0.2">
      <c r="A10" s="533">
        <f>VLOOKUP(B10,Sheet1!$B$4:$C$25,2,FALSE)</f>
        <v>0</v>
      </c>
      <c r="B10" s="829" t="s">
        <v>32</v>
      </c>
      <c r="C10" s="77">
        <v>18.3</v>
      </c>
      <c r="D10" s="78">
        <v>44814</v>
      </c>
      <c r="E10" s="79">
        <f t="shared" ref="E10:E30" si="0">D10*(C10/100)</f>
        <v>8200.9619999999995</v>
      </c>
      <c r="F10" s="258"/>
      <c r="G10" s="258"/>
      <c r="H10" s="40"/>
      <c r="I10" s="41"/>
      <c r="J10" s="15"/>
      <c r="K10" s="9"/>
      <c r="L10" s="9"/>
      <c r="M10" s="9"/>
      <c r="N10" s="9"/>
      <c r="O10" s="9"/>
      <c r="P10" s="9"/>
      <c r="Q10" s="273"/>
      <c r="R10" s="175"/>
      <c r="S10" s="91" t="str">
        <f t="shared" ref="S10:S30" si="1">B10</f>
        <v>Brighton &amp; Hove</v>
      </c>
      <c r="T10" s="86">
        <v>2</v>
      </c>
      <c r="U10" s="278" t="str">
        <f t="shared" ref="U10:U30" si="2">IF(B10=$T$5,C10," ")</f>
        <v xml:space="preserve"> </v>
      </c>
      <c r="V10" s="210"/>
      <c r="X10" s="81"/>
      <c r="Y10" s="276"/>
      <c r="AA10" s="80"/>
      <c r="AB10" s="80"/>
    </row>
    <row r="11" spans="1:37" ht="12.75" customHeight="1" x14ac:dyDescent="0.2">
      <c r="A11" s="533">
        <f>VLOOKUP(B11,Sheet1!$B$4:$C$25,2,FALSE)</f>
        <v>0</v>
      </c>
      <c r="B11" s="829" t="s">
        <v>9</v>
      </c>
      <c r="C11" s="77">
        <v>9.8000000000000007</v>
      </c>
      <c r="D11" s="78">
        <v>103548</v>
      </c>
      <c r="E11" s="79">
        <f t="shared" si="0"/>
        <v>10147.704</v>
      </c>
      <c r="F11" s="258"/>
      <c r="G11" s="40"/>
      <c r="H11" s="40"/>
      <c r="I11" s="15"/>
      <c r="J11" s="15"/>
      <c r="K11" s="9"/>
      <c r="L11" s="37"/>
      <c r="M11" s="38"/>
      <c r="N11" s="37"/>
      <c r="O11" s="9"/>
      <c r="P11" s="9"/>
      <c r="Q11" s="273"/>
      <c r="R11" s="175"/>
      <c r="S11" s="91" t="str">
        <f t="shared" si="1"/>
        <v>Buckinghamshire</v>
      </c>
      <c r="T11" s="86">
        <v>3</v>
      </c>
      <c r="U11" s="278" t="str">
        <f t="shared" si="2"/>
        <v xml:space="preserve"> </v>
      </c>
      <c r="V11" s="210"/>
      <c r="X11" s="81"/>
      <c r="Y11" s="276"/>
      <c r="AA11" s="80"/>
      <c r="AB11" s="80"/>
    </row>
    <row r="12" spans="1:37" ht="12.75" customHeight="1" x14ac:dyDescent="0.2">
      <c r="A12" s="533">
        <f>VLOOKUP(B12,Sheet1!$B$4:$C$25,2,FALSE)</f>
        <v>0</v>
      </c>
      <c r="B12" s="829" t="s">
        <v>4</v>
      </c>
      <c r="C12" s="77">
        <v>17.399999999999999</v>
      </c>
      <c r="D12" s="78">
        <v>91918</v>
      </c>
      <c r="E12" s="79">
        <f t="shared" si="0"/>
        <v>15993.731999999998</v>
      </c>
      <c r="F12" s="258"/>
      <c r="G12" s="258"/>
      <c r="H12" s="258"/>
      <c r="I12" s="15"/>
      <c r="J12" s="15"/>
      <c r="K12" s="9"/>
      <c r="L12" s="37"/>
      <c r="M12" s="38"/>
      <c r="N12" s="37"/>
      <c r="O12" s="9"/>
      <c r="P12" s="9"/>
      <c r="Q12" s="273"/>
      <c r="R12" s="175"/>
      <c r="S12" s="91" t="str">
        <f t="shared" si="1"/>
        <v>East Sussex</v>
      </c>
      <c r="T12" s="86">
        <v>4</v>
      </c>
      <c r="U12" s="278" t="str">
        <f t="shared" si="2"/>
        <v xml:space="preserve"> </v>
      </c>
      <c r="V12" s="210"/>
      <c r="X12" s="81"/>
      <c r="Y12" s="276"/>
      <c r="AA12" s="80"/>
      <c r="AB12" s="80"/>
    </row>
    <row r="13" spans="1:37" ht="12.75" customHeight="1" x14ac:dyDescent="0.2">
      <c r="A13" s="533">
        <f>VLOOKUP(B13,Sheet1!$B$4:$C$25,2,FALSE)</f>
        <v>0</v>
      </c>
      <c r="B13" s="829" t="s">
        <v>6</v>
      </c>
      <c r="C13" s="77">
        <v>11.799999999999999</v>
      </c>
      <c r="D13" s="78">
        <v>247800</v>
      </c>
      <c r="E13" s="79">
        <f t="shared" si="0"/>
        <v>29240.399999999998</v>
      </c>
      <c r="F13" s="258"/>
      <c r="G13" s="258"/>
      <c r="H13" s="258"/>
      <c r="I13" s="15"/>
      <c r="J13" s="15"/>
      <c r="K13" s="9"/>
      <c r="L13" s="37"/>
      <c r="M13" s="38"/>
      <c r="N13" s="37"/>
      <c r="O13" s="9"/>
      <c r="P13" s="9"/>
      <c r="Q13" s="273"/>
      <c r="R13" s="175"/>
      <c r="S13" s="91" t="str">
        <f t="shared" si="1"/>
        <v>Hampshire</v>
      </c>
      <c r="T13" s="86">
        <v>5</v>
      </c>
      <c r="U13" s="278" t="str">
        <f t="shared" si="2"/>
        <v xml:space="preserve"> </v>
      </c>
      <c r="V13" s="210"/>
      <c r="X13" s="81"/>
      <c r="Y13" s="276"/>
      <c r="AA13" s="80"/>
      <c r="AB13" s="80"/>
    </row>
    <row r="14" spans="1:37" ht="12.75" customHeight="1" x14ac:dyDescent="0.2">
      <c r="A14" s="533">
        <f>VLOOKUP(B14,Sheet1!$B$4:$C$25,2,FALSE)</f>
        <v>0</v>
      </c>
      <c r="B14" s="829" t="s">
        <v>1</v>
      </c>
      <c r="C14" s="77">
        <v>20.399999999999999</v>
      </c>
      <c r="D14" s="78">
        <v>22502</v>
      </c>
      <c r="E14" s="79">
        <f t="shared" si="0"/>
        <v>4590.4079999999994</v>
      </c>
      <c r="F14" s="258"/>
      <c r="G14" s="258"/>
      <c r="H14" s="258"/>
      <c r="I14" s="15"/>
      <c r="J14" s="15"/>
      <c r="K14" s="9"/>
      <c r="L14" s="37"/>
      <c r="M14" s="38"/>
      <c r="N14" s="37"/>
      <c r="O14" s="9"/>
      <c r="P14" s="9"/>
      <c r="Q14" s="273"/>
      <c r="R14" s="175"/>
      <c r="S14" s="91" t="str">
        <f t="shared" si="1"/>
        <v>Isle of Wight</v>
      </c>
      <c r="T14" s="86">
        <v>6</v>
      </c>
      <c r="U14" s="278" t="str">
        <f t="shared" si="2"/>
        <v xml:space="preserve"> </v>
      </c>
      <c r="V14" s="210"/>
      <c r="X14" s="81"/>
      <c r="Y14" s="276"/>
      <c r="AA14" s="80"/>
      <c r="AB14" s="80"/>
    </row>
    <row r="15" spans="1:37" ht="12.75" customHeight="1" x14ac:dyDescent="0.2">
      <c r="A15" s="533">
        <f>VLOOKUP(B15,Sheet1!$B$4:$C$25,2,FALSE)</f>
        <v>0</v>
      </c>
      <c r="B15" s="829" t="s">
        <v>10</v>
      </c>
      <c r="C15" s="77">
        <v>17.8</v>
      </c>
      <c r="D15" s="78">
        <v>286168</v>
      </c>
      <c r="E15" s="79">
        <f t="shared" si="0"/>
        <v>50937.904000000002</v>
      </c>
      <c r="F15" s="40"/>
      <c r="G15" s="40"/>
      <c r="H15" s="258"/>
      <c r="I15" s="15"/>
      <c r="J15" s="15"/>
      <c r="K15" s="9"/>
      <c r="L15" s="37"/>
      <c r="M15" s="38"/>
      <c r="N15" s="37"/>
      <c r="O15" s="9"/>
      <c r="P15" s="9"/>
      <c r="Q15" s="273"/>
      <c r="R15" s="175"/>
      <c r="S15" s="91" t="str">
        <f t="shared" si="1"/>
        <v>Kent</v>
      </c>
      <c r="T15" s="86">
        <v>7</v>
      </c>
      <c r="U15" s="278" t="str">
        <f t="shared" si="2"/>
        <v xml:space="preserve"> </v>
      </c>
      <c r="V15" s="210"/>
      <c r="X15" s="81"/>
      <c r="Y15" s="276"/>
      <c r="AA15" s="80"/>
      <c r="AB15" s="80"/>
    </row>
    <row r="16" spans="1:37" ht="12.75" customHeight="1" x14ac:dyDescent="0.2">
      <c r="A16" s="533">
        <f>VLOOKUP(B16,Sheet1!$B$4:$C$25,2,FALSE)</f>
        <v>0</v>
      </c>
      <c r="B16" s="829" t="s">
        <v>2</v>
      </c>
      <c r="C16" s="77">
        <v>22</v>
      </c>
      <c r="D16" s="78">
        <v>54280</v>
      </c>
      <c r="E16" s="79">
        <f t="shared" si="0"/>
        <v>11941.6</v>
      </c>
      <c r="F16" s="258"/>
      <c r="G16" s="258"/>
      <c r="H16" s="258"/>
      <c r="I16" s="15"/>
      <c r="J16" s="15"/>
      <c r="K16" s="9"/>
      <c r="L16" s="37"/>
      <c r="M16" s="38"/>
      <c r="N16" s="37"/>
      <c r="O16" s="9"/>
      <c r="P16" s="9"/>
      <c r="Q16" s="273"/>
      <c r="R16" s="175"/>
      <c r="S16" s="91" t="str">
        <f t="shared" si="1"/>
        <v>Medway</v>
      </c>
      <c r="T16" s="86">
        <v>8</v>
      </c>
      <c r="U16" s="278" t="str">
        <f t="shared" si="2"/>
        <v xml:space="preserve"> </v>
      </c>
      <c r="V16" s="210"/>
      <c r="X16" s="81"/>
      <c r="Y16" s="276"/>
      <c r="AA16" s="80"/>
      <c r="AB16" s="80"/>
    </row>
    <row r="17" spans="1:28" ht="12.75" customHeight="1" x14ac:dyDescent="0.2">
      <c r="A17" s="533">
        <f>VLOOKUP(B17,Sheet1!$B$4:$C$25,2,FALSE)</f>
        <v>0</v>
      </c>
      <c r="B17" s="829" t="s">
        <v>11</v>
      </c>
      <c r="C17" s="77">
        <v>19.7</v>
      </c>
      <c r="D17" s="78">
        <v>56637</v>
      </c>
      <c r="E17" s="79">
        <f t="shared" si="0"/>
        <v>11157.489</v>
      </c>
      <c r="F17" s="258"/>
      <c r="G17" s="258"/>
      <c r="H17" s="258"/>
      <c r="I17" s="15"/>
      <c r="J17" s="15"/>
      <c r="K17" s="9"/>
      <c r="L17" s="37"/>
      <c r="M17" s="38"/>
      <c r="N17" s="37"/>
      <c r="O17" s="9"/>
      <c r="P17" s="9"/>
      <c r="Q17" s="273"/>
      <c r="R17" s="175"/>
      <c r="S17" s="91" t="str">
        <f t="shared" si="1"/>
        <v>Milton Keynes</v>
      </c>
      <c r="T17" s="86">
        <v>9</v>
      </c>
      <c r="U17" s="278" t="str">
        <f t="shared" si="2"/>
        <v xml:space="preserve"> </v>
      </c>
      <c r="V17" s="210"/>
      <c r="X17" s="81"/>
      <c r="Y17" s="276"/>
      <c r="AA17" s="80"/>
      <c r="AB17" s="80"/>
    </row>
    <row r="18" spans="1:28" ht="12.75" customHeight="1" x14ac:dyDescent="0.2">
      <c r="A18" s="533">
        <f>VLOOKUP(B18,Sheet1!$B$4:$C$25,2,FALSE)</f>
        <v>0</v>
      </c>
      <c r="B18" s="829" t="s">
        <v>12</v>
      </c>
      <c r="C18" s="77">
        <v>11.799999999999999</v>
      </c>
      <c r="D18" s="78">
        <v>123975</v>
      </c>
      <c r="E18" s="79">
        <f t="shared" si="0"/>
        <v>14629.05</v>
      </c>
      <c r="F18" s="258"/>
      <c r="G18" s="258"/>
      <c r="H18" s="258"/>
      <c r="I18" s="15"/>
      <c r="J18" s="15"/>
      <c r="K18" s="9"/>
      <c r="L18" s="37"/>
      <c r="M18" s="38"/>
      <c r="N18" s="37"/>
      <c r="O18" s="9"/>
      <c r="P18" s="9"/>
      <c r="Q18" s="273"/>
      <c r="R18" s="175"/>
      <c r="S18" s="91" t="str">
        <f t="shared" si="1"/>
        <v>Oxfordshire</v>
      </c>
      <c r="T18" s="86">
        <v>10</v>
      </c>
      <c r="U18" s="278" t="str">
        <f t="shared" si="2"/>
        <v xml:space="preserve"> </v>
      </c>
      <c r="V18" s="210"/>
      <c r="X18" s="81"/>
      <c r="Y18" s="276"/>
      <c r="AA18" s="80"/>
      <c r="AB18" s="80"/>
    </row>
    <row r="19" spans="1:28" ht="12.75" customHeight="1" x14ac:dyDescent="0.2">
      <c r="A19" s="533">
        <f>VLOOKUP(B19,Sheet1!$B$4:$C$25,2,FALSE)</f>
        <v>0</v>
      </c>
      <c r="B19" s="829" t="s">
        <v>13</v>
      </c>
      <c r="C19" s="77">
        <v>23.799999999999997</v>
      </c>
      <c r="D19" s="78">
        <v>37912</v>
      </c>
      <c r="E19" s="79">
        <f t="shared" si="0"/>
        <v>9023.0559999999987</v>
      </c>
      <c r="F19" s="258"/>
      <c r="G19" s="258"/>
      <c r="H19" s="258"/>
      <c r="I19" s="15"/>
      <c r="J19" s="15"/>
      <c r="K19" s="9"/>
      <c r="L19" s="37"/>
      <c r="M19" s="38"/>
      <c r="N19" s="37"/>
      <c r="O19" s="9"/>
      <c r="P19" s="9"/>
      <c r="Q19" s="273"/>
      <c r="R19" s="175"/>
      <c r="S19" s="91" t="str">
        <f t="shared" si="1"/>
        <v>Portsmouth</v>
      </c>
      <c r="T19" s="86">
        <v>11</v>
      </c>
      <c r="U19" s="278" t="str">
        <f t="shared" si="2"/>
        <v xml:space="preserve"> </v>
      </c>
      <c r="V19" s="210"/>
      <c r="X19" s="81"/>
      <c r="Y19" s="276"/>
      <c r="AA19" s="80"/>
      <c r="AB19" s="80"/>
    </row>
    <row r="20" spans="1:28" ht="12.75" customHeight="1" x14ac:dyDescent="0.2">
      <c r="A20" s="533">
        <f>VLOOKUP(B20,Sheet1!$B$4:$C$25,2,FALSE)</f>
        <v>0</v>
      </c>
      <c r="B20" s="829" t="s">
        <v>3</v>
      </c>
      <c r="C20" s="77">
        <v>19.8</v>
      </c>
      <c r="D20" s="78">
        <v>30916</v>
      </c>
      <c r="E20" s="79">
        <f t="shared" si="0"/>
        <v>6121.3680000000004</v>
      </c>
      <c r="F20" s="258"/>
      <c r="G20" s="40"/>
      <c r="H20" s="258"/>
      <c r="I20" s="40"/>
      <c r="J20" s="40"/>
      <c r="K20" s="9"/>
      <c r="L20" s="37"/>
      <c r="M20" s="38"/>
      <c r="N20" s="37"/>
      <c r="O20" s="9"/>
      <c r="P20" s="9"/>
      <c r="Q20" s="273"/>
      <c r="R20" s="175"/>
      <c r="S20" s="91" t="str">
        <f t="shared" si="1"/>
        <v>Reading</v>
      </c>
      <c r="T20" s="86">
        <v>12</v>
      </c>
      <c r="U20" s="278" t="str">
        <f t="shared" si="2"/>
        <v xml:space="preserve"> </v>
      </c>
      <c r="V20" s="210"/>
      <c r="X20" s="81"/>
      <c r="Y20" s="276"/>
      <c r="AA20" s="80"/>
      <c r="AB20" s="80"/>
    </row>
    <row r="21" spans="1:28" ht="12.75" customHeight="1" x14ac:dyDescent="0.2">
      <c r="A21" s="533">
        <f>VLOOKUP(B21,Sheet1!$B$4:$C$25,2,FALSE)</f>
        <v>0</v>
      </c>
      <c r="B21" s="829" t="s">
        <v>14</v>
      </c>
      <c r="C21" s="77">
        <v>19.5</v>
      </c>
      <c r="D21" s="78">
        <v>34703</v>
      </c>
      <c r="E21" s="79">
        <f t="shared" si="0"/>
        <v>6767.085</v>
      </c>
      <c r="F21" s="40"/>
      <c r="G21" s="258"/>
      <c r="H21" s="258"/>
      <c r="I21" s="15"/>
      <c r="J21" s="15"/>
      <c r="K21" s="9"/>
      <c r="L21" s="37"/>
      <c r="M21" s="38"/>
      <c r="N21" s="37"/>
      <c r="O21" s="9"/>
      <c r="P21" s="9"/>
      <c r="Q21" s="273"/>
      <c r="R21" s="175"/>
      <c r="S21" s="91" t="str">
        <f t="shared" si="1"/>
        <v>Slough</v>
      </c>
      <c r="T21" s="86">
        <v>13</v>
      </c>
      <c r="U21" s="278" t="str">
        <f t="shared" si="2"/>
        <v xml:space="preserve"> </v>
      </c>
      <c r="V21" s="210"/>
      <c r="X21" s="81"/>
      <c r="Y21" s="276"/>
      <c r="AA21" s="80"/>
      <c r="AB21" s="80"/>
    </row>
    <row r="22" spans="1:28" ht="12.75" customHeight="1" x14ac:dyDescent="0.2">
      <c r="A22" s="533">
        <f>VLOOKUP(B22,Sheet1!$B$4:$C$25,2,FALSE)</f>
        <v>0</v>
      </c>
      <c r="B22" s="829" t="s">
        <v>93</v>
      </c>
      <c r="C22" s="77">
        <v>14.8</v>
      </c>
      <c r="D22" s="78">
        <v>94797</v>
      </c>
      <c r="E22" s="79">
        <f t="shared" si="0"/>
        <v>14029.956000000002</v>
      </c>
      <c r="F22" s="40"/>
      <c r="G22" s="258"/>
      <c r="H22" s="258"/>
      <c r="I22" s="15"/>
      <c r="J22" s="15"/>
      <c r="K22" s="9"/>
      <c r="L22" s="37"/>
      <c r="M22" s="38"/>
      <c r="N22" s="37"/>
      <c r="O22" s="9"/>
      <c r="P22" s="9"/>
      <c r="Q22" s="273"/>
      <c r="R22" s="175"/>
      <c r="S22" s="91" t="str">
        <f t="shared" si="1"/>
        <v>Somerset</v>
      </c>
      <c r="T22" s="86">
        <v>14</v>
      </c>
      <c r="U22" s="278" t="str">
        <f t="shared" si="2"/>
        <v xml:space="preserve"> </v>
      </c>
      <c r="V22" s="210"/>
      <c r="X22" s="81"/>
      <c r="Y22" s="276"/>
      <c r="AA22" s="80"/>
      <c r="AB22" s="80"/>
    </row>
    <row r="23" spans="1:28" ht="12.75" customHeight="1" x14ac:dyDescent="0.2">
      <c r="A23" s="533">
        <f>VLOOKUP(B23,Sheet1!$B$4:$C$25,2,FALSE)</f>
        <v>0</v>
      </c>
      <c r="B23" s="829" t="s">
        <v>15</v>
      </c>
      <c r="C23" s="77">
        <v>25</v>
      </c>
      <c r="D23" s="78">
        <v>42079</v>
      </c>
      <c r="E23" s="79">
        <f t="shared" si="0"/>
        <v>10519.75</v>
      </c>
      <c r="F23" s="258"/>
      <c r="G23" s="258"/>
      <c r="H23" s="258"/>
      <c r="I23" s="15"/>
      <c r="J23" s="15"/>
      <c r="K23" s="9"/>
      <c r="L23" s="37"/>
      <c r="M23" s="38"/>
      <c r="N23" s="37"/>
      <c r="O23" s="9"/>
      <c r="P23" s="9"/>
      <c r="Q23" s="273"/>
      <c r="R23" s="175"/>
      <c r="S23" s="91" t="str">
        <f t="shared" si="1"/>
        <v>Southampton</v>
      </c>
      <c r="T23" s="86">
        <v>15</v>
      </c>
      <c r="U23" s="278" t="str">
        <f t="shared" si="2"/>
        <v xml:space="preserve"> </v>
      </c>
      <c r="V23" s="210"/>
      <c r="X23" s="81"/>
      <c r="Y23" s="276"/>
      <c r="AA23" s="80"/>
      <c r="AB23" s="80"/>
    </row>
    <row r="24" spans="1:28" ht="12.75" customHeight="1" x14ac:dyDescent="0.2">
      <c r="A24" s="533">
        <f>VLOOKUP(B24,Sheet1!$B$4:$C$25,2,FALSE)</f>
        <v>0</v>
      </c>
      <c r="B24" s="829" t="s">
        <v>7</v>
      </c>
      <c r="C24" s="77">
        <v>9.7000000000000011</v>
      </c>
      <c r="D24" s="78">
        <v>221989</v>
      </c>
      <c r="E24" s="79">
        <f t="shared" si="0"/>
        <v>21532.933000000005</v>
      </c>
      <c r="F24" s="40"/>
      <c r="G24" s="40"/>
      <c r="H24" s="258"/>
      <c r="I24" s="15"/>
      <c r="J24" s="40"/>
      <c r="K24" s="9"/>
      <c r="L24" s="37"/>
      <c r="M24" s="38"/>
      <c r="N24" s="37"/>
      <c r="O24" s="9"/>
      <c r="P24" s="9"/>
      <c r="Q24" s="273"/>
      <c r="R24" s="175"/>
      <c r="S24" s="91" t="str">
        <f t="shared" si="1"/>
        <v>Surrey</v>
      </c>
      <c r="T24" s="86">
        <v>16</v>
      </c>
      <c r="U24" s="278" t="str">
        <f t="shared" si="2"/>
        <v xml:space="preserve"> </v>
      </c>
      <c r="V24" s="210"/>
      <c r="X24" s="81"/>
      <c r="Y24" s="276"/>
      <c r="AA24" s="80"/>
      <c r="AB24" s="80"/>
    </row>
    <row r="25" spans="1:28" ht="12.75" customHeight="1" x14ac:dyDescent="0.2">
      <c r="A25" s="533">
        <f>VLOOKUP(B25,Sheet1!$B$4:$C$25,2,FALSE)</f>
        <v>0</v>
      </c>
      <c r="B25" s="829" t="s">
        <v>116</v>
      </c>
      <c r="C25" s="77">
        <v>17.2</v>
      </c>
      <c r="D25" s="78">
        <v>42184</v>
      </c>
      <c r="E25" s="79">
        <f t="shared" si="0"/>
        <v>7255.6479999999992</v>
      </c>
      <c r="F25" s="40"/>
      <c r="G25" s="40"/>
      <c r="H25" s="258"/>
      <c r="I25" s="15"/>
      <c r="J25" s="40"/>
      <c r="K25" s="9"/>
      <c r="L25" s="37"/>
      <c r="M25" s="38"/>
      <c r="N25" s="37"/>
      <c r="O25" s="9"/>
      <c r="P25" s="9"/>
      <c r="Q25" s="273"/>
      <c r="R25" s="175"/>
      <c r="S25" s="91" t="str">
        <f>B25</f>
        <v>Swindon</v>
      </c>
      <c r="T25" s="86"/>
      <c r="U25" s="278" t="str">
        <f t="shared" si="2"/>
        <v xml:space="preserve"> </v>
      </c>
      <c r="V25" s="210"/>
      <c r="X25" s="81"/>
      <c r="Y25" s="276"/>
      <c r="AA25" s="80"/>
      <c r="AB25" s="80"/>
    </row>
    <row r="26" spans="1:28" ht="12.75" customHeight="1" x14ac:dyDescent="0.2">
      <c r="A26" s="533">
        <f>VLOOKUP(B26,Sheet1!$B$4:$C$25,2,FALSE)</f>
        <v>0</v>
      </c>
      <c r="B26" s="829" t="s">
        <v>117</v>
      </c>
      <c r="C26" s="77">
        <v>24.1</v>
      </c>
      <c r="D26" s="78">
        <v>21714</v>
      </c>
      <c r="E26" s="79">
        <f t="shared" si="0"/>
        <v>5233.0740000000005</v>
      </c>
      <c r="F26" s="40"/>
      <c r="G26" s="40"/>
      <c r="H26" s="258"/>
      <c r="I26" s="15"/>
      <c r="J26" s="40"/>
      <c r="K26" s="9"/>
      <c r="L26" s="37"/>
      <c r="M26" s="38"/>
      <c r="N26" s="37"/>
      <c r="O26" s="9"/>
      <c r="P26" s="9"/>
      <c r="Q26" s="273"/>
      <c r="R26" s="175"/>
      <c r="S26" s="91" t="str">
        <f t="shared" si="1"/>
        <v>Torbay</v>
      </c>
      <c r="T26" s="86"/>
      <c r="U26" s="278" t="str">
        <f t="shared" si="2"/>
        <v xml:space="preserve"> </v>
      </c>
      <c r="V26" s="210"/>
      <c r="X26" s="81"/>
      <c r="Y26" s="276"/>
      <c r="AA26" s="80"/>
      <c r="AB26" s="80"/>
    </row>
    <row r="27" spans="1:28" ht="12.75" customHeight="1" x14ac:dyDescent="0.2">
      <c r="A27" s="533">
        <f>VLOOKUP(B27,Sheet1!$B$4:$C$25,2,FALSE)</f>
        <v>0</v>
      </c>
      <c r="B27" s="829" t="s">
        <v>16</v>
      </c>
      <c r="C27" s="77">
        <v>10.4</v>
      </c>
      <c r="D27" s="78">
        <v>31302</v>
      </c>
      <c r="E27" s="79">
        <f t="shared" si="0"/>
        <v>3255.4080000000004</v>
      </c>
      <c r="F27" s="40"/>
      <c r="G27" s="40"/>
      <c r="H27" s="258"/>
      <c r="I27" s="40"/>
      <c r="J27" s="15"/>
      <c r="K27" s="9"/>
      <c r="L27" s="37"/>
      <c r="M27" s="38"/>
      <c r="N27" s="37"/>
      <c r="O27" s="9"/>
      <c r="P27" s="9"/>
      <c r="Q27" s="273"/>
      <c r="R27" s="175"/>
      <c r="S27" s="91" t="str">
        <f t="shared" si="1"/>
        <v>West Berkshire</v>
      </c>
      <c r="T27" s="86">
        <v>17</v>
      </c>
      <c r="U27" s="278" t="str">
        <f t="shared" si="2"/>
        <v xml:space="preserve"> </v>
      </c>
      <c r="V27" s="210"/>
      <c r="X27" s="81"/>
      <c r="Y27" s="276"/>
      <c r="AA27" s="80"/>
      <c r="AB27" s="80"/>
    </row>
    <row r="28" spans="1:28" ht="12.75" customHeight="1" x14ac:dyDescent="0.2">
      <c r="A28" s="533">
        <f>VLOOKUP(B28,Sheet1!$B$4:$C$25,2,FALSE)</f>
        <v>0</v>
      </c>
      <c r="B28" s="829" t="s">
        <v>5</v>
      </c>
      <c r="C28" s="77">
        <v>12.9</v>
      </c>
      <c r="D28" s="78">
        <v>146958</v>
      </c>
      <c r="E28" s="79">
        <f t="shared" si="0"/>
        <v>18957.582000000002</v>
      </c>
      <c r="F28" s="9"/>
      <c r="G28" s="9"/>
      <c r="H28" s="9"/>
      <c r="I28" s="9"/>
      <c r="J28" s="15"/>
      <c r="K28" s="9"/>
      <c r="L28" s="37"/>
      <c r="M28" s="38"/>
      <c r="N28" s="37"/>
      <c r="O28" s="9"/>
      <c r="P28" s="9"/>
      <c r="Q28" s="273"/>
      <c r="R28" s="175"/>
      <c r="S28" s="91" t="str">
        <f t="shared" si="1"/>
        <v>West Sussex</v>
      </c>
      <c r="T28" s="86">
        <v>18</v>
      </c>
      <c r="U28" s="278" t="str">
        <f t="shared" si="2"/>
        <v xml:space="preserve"> </v>
      </c>
      <c r="V28" s="210"/>
      <c r="X28" s="81"/>
      <c r="Y28" s="276"/>
      <c r="AA28" s="80"/>
      <c r="AB28" s="80"/>
    </row>
    <row r="29" spans="1:28" ht="12.75" customHeight="1" x14ac:dyDescent="0.2">
      <c r="A29" s="533">
        <f>VLOOKUP(B29,Sheet1!$B$4:$C$25,2,FALSE)</f>
        <v>0</v>
      </c>
      <c r="B29" s="829" t="s">
        <v>31</v>
      </c>
      <c r="C29" s="77">
        <v>8.4</v>
      </c>
      <c r="D29" s="78">
        <v>29154</v>
      </c>
      <c r="E29" s="79">
        <f t="shared" si="0"/>
        <v>2448.9360000000001</v>
      </c>
      <c r="F29" s="9"/>
      <c r="G29" s="9"/>
      <c r="H29" s="9"/>
      <c r="I29" s="9"/>
      <c r="J29" s="15"/>
      <c r="K29" s="9"/>
      <c r="L29" s="37"/>
      <c r="M29" s="38"/>
      <c r="N29" s="37"/>
      <c r="O29" s="9"/>
      <c r="P29" s="9"/>
      <c r="Q29" s="273"/>
      <c r="R29" s="175"/>
      <c r="S29" s="91" t="str">
        <f t="shared" si="1"/>
        <v>Windsor &amp; Maidenhead</v>
      </c>
      <c r="T29" s="86">
        <v>19</v>
      </c>
      <c r="U29" s="278" t="str">
        <f t="shared" si="2"/>
        <v xml:space="preserve"> </v>
      </c>
      <c r="V29" s="210"/>
      <c r="X29" s="81"/>
      <c r="Y29" s="276"/>
      <c r="AA29" s="80"/>
      <c r="AB29" s="80"/>
    </row>
    <row r="30" spans="1:28" ht="12.75" customHeight="1" x14ac:dyDescent="0.2">
      <c r="A30" s="533">
        <f>VLOOKUP(B30,Sheet1!$B$4:$C$25,2,FALSE)</f>
        <v>0</v>
      </c>
      <c r="B30" s="829" t="s">
        <v>17</v>
      </c>
      <c r="C30" s="77">
        <v>6.8000000000000007</v>
      </c>
      <c r="D30" s="78">
        <v>31967</v>
      </c>
      <c r="E30" s="79">
        <f t="shared" si="0"/>
        <v>2173.7560000000003</v>
      </c>
      <c r="F30" s="21"/>
      <c r="G30" s="21"/>
      <c r="H30" s="21"/>
      <c r="I30" s="21"/>
      <c r="J30" s="21"/>
      <c r="K30" s="21"/>
      <c r="L30" s="21"/>
      <c r="M30" s="21"/>
      <c r="N30" s="21"/>
      <c r="O30" s="16"/>
      <c r="P30" s="9"/>
      <c r="Q30" s="273"/>
      <c r="R30" s="175"/>
      <c r="S30" s="91" t="str">
        <f t="shared" si="1"/>
        <v>Wokingham</v>
      </c>
      <c r="T30" s="86">
        <v>20</v>
      </c>
      <c r="U30" s="278" t="str">
        <f t="shared" si="2"/>
        <v xml:space="preserve"> </v>
      </c>
      <c r="V30" s="210"/>
      <c r="X30" s="81"/>
      <c r="Y30" s="276"/>
      <c r="AA30" s="80"/>
      <c r="AB30" s="80"/>
    </row>
    <row r="31" spans="1:28" ht="12.75" customHeight="1" x14ac:dyDescent="0.2">
      <c r="A31" s="268"/>
      <c r="B31" s="146" t="s">
        <v>74</v>
      </c>
      <c r="C31" s="380">
        <f>E31/D31*100</f>
        <v>14.45223640702325</v>
      </c>
      <c r="D31" s="381">
        <f>SUM(D9:D21,D23:D24,D27:D30)</f>
        <v>1662421</v>
      </c>
      <c r="E31" s="382">
        <f>SUM(E9:E21,E23:E24,E27:E30)</f>
        <v>240257.01299999998</v>
      </c>
      <c r="F31" s="9"/>
      <c r="G31" s="9"/>
      <c r="H31" s="9"/>
      <c r="I31" s="9"/>
      <c r="J31" s="15"/>
      <c r="K31" s="9"/>
      <c r="L31" s="37"/>
      <c r="M31" s="38"/>
      <c r="N31" s="37"/>
      <c r="O31" s="9"/>
      <c r="P31" s="9"/>
      <c r="Q31" s="273"/>
      <c r="R31" s="175"/>
      <c r="X31" s="81"/>
      <c r="Y31" s="276"/>
      <c r="AA31" s="80"/>
      <c r="AB31" s="80"/>
    </row>
    <row r="32" spans="1:28" ht="12.75" customHeight="1" x14ac:dyDescent="0.2">
      <c r="A32" s="311"/>
      <c r="B32" s="830" t="s">
        <v>130</v>
      </c>
      <c r="C32" s="377">
        <f>E32/D32*100</f>
        <v>19.902611588091716</v>
      </c>
      <c r="D32" s="378">
        <v>10130158</v>
      </c>
      <c r="E32" s="379">
        <v>2016166</v>
      </c>
      <c r="F32" s="9"/>
      <c r="G32" s="9"/>
      <c r="H32" s="9"/>
      <c r="I32" s="9"/>
      <c r="J32" s="15"/>
      <c r="K32" s="9"/>
      <c r="L32" s="37"/>
      <c r="M32" s="38"/>
      <c r="N32" s="37"/>
      <c r="O32" s="9"/>
      <c r="P32" s="9"/>
      <c r="Q32" s="273"/>
      <c r="R32" s="175"/>
      <c r="X32" s="81"/>
      <c r="Y32" s="276"/>
      <c r="AA32" s="80"/>
      <c r="AB32" s="80"/>
    </row>
    <row r="33" spans="1:37" ht="10.5" customHeight="1" x14ac:dyDescent="0.2">
      <c r="A33" s="135"/>
      <c r="B33" s="1011"/>
      <c r="C33" s="1011"/>
      <c r="D33" s="1011"/>
      <c r="E33" s="1011"/>
      <c r="F33" s="111"/>
      <c r="G33" s="111"/>
      <c r="H33" s="111"/>
      <c r="I33" s="111"/>
      <c r="J33" s="111"/>
      <c r="K33" s="111"/>
      <c r="L33" s="111"/>
      <c r="M33" s="111"/>
      <c r="N33" s="111"/>
      <c r="O33" s="111"/>
      <c r="P33" s="9"/>
      <c r="Q33" s="273"/>
      <c r="R33" s="175"/>
    </row>
    <row r="34" spans="1:37" ht="7.5" customHeight="1" x14ac:dyDescent="0.2">
      <c r="A34" s="309"/>
      <c r="B34" s="720"/>
      <c r="C34" s="720"/>
      <c r="D34" s="720"/>
      <c r="E34" s="720"/>
      <c r="F34" s="111"/>
      <c r="G34" s="111"/>
      <c r="H34" s="111"/>
      <c r="I34" s="111"/>
      <c r="J34" s="111"/>
      <c r="K34" s="111"/>
      <c r="L34" s="111"/>
      <c r="M34" s="111"/>
      <c r="N34" s="111"/>
      <c r="O34" s="111"/>
      <c r="P34" s="9"/>
      <c r="Q34" s="273"/>
      <c r="R34" s="175"/>
    </row>
    <row r="35" spans="1:37" ht="15" customHeight="1" x14ac:dyDescent="0.2">
      <c r="A35" s="1010"/>
      <c r="B35" s="1005"/>
      <c r="C35" s="1005"/>
      <c r="D35" s="1005"/>
      <c r="E35" s="1005"/>
      <c r="F35" s="1005"/>
      <c r="G35" s="1005"/>
      <c r="H35" s="1005"/>
      <c r="I35" s="1005"/>
      <c r="J35" s="1005"/>
      <c r="K35" s="1005"/>
      <c r="L35" s="1005"/>
      <c r="M35" s="1005"/>
      <c r="N35" s="1005"/>
      <c r="O35" s="1005"/>
      <c r="P35" s="1005"/>
      <c r="Q35" s="273"/>
      <c r="R35" s="175"/>
    </row>
    <row r="36" spans="1:37" ht="11.25" customHeight="1" x14ac:dyDescent="0.2">
      <c r="A36" s="1008"/>
      <c r="B36" s="1009"/>
      <c r="C36" s="1009"/>
      <c r="D36" s="1009"/>
      <c r="E36" s="1009"/>
      <c r="F36" s="1009"/>
      <c r="G36" s="1009"/>
      <c r="H36" s="1009"/>
      <c r="I36" s="1009"/>
      <c r="J36" s="1009"/>
      <c r="K36" s="1009"/>
      <c r="L36" s="1009"/>
      <c r="M36" s="1009"/>
      <c r="N36" s="1009"/>
      <c r="O36" s="1009"/>
      <c r="P36" s="1009"/>
      <c r="Q36" s="274"/>
      <c r="R36" s="175"/>
    </row>
    <row r="37" spans="1:37" ht="11.25" customHeight="1" x14ac:dyDescent="0.2">
      <c r="A37" s="95"/>
      <c r="B37" s="9"/>
      <c r="C37" s="9"/>
      <c r="D37" s="9"/>
      <c r="E37" s="9"/>
      <c r="F37" s="9"/>
      <c r="G37" s="9"/>
      <c r="H37" s="13"/>
      <c r="I37" s="9"/>
      <c r="J37" s="9"/>
      <c r="K37" s="9"/>
      <c r="L37" s="9"/>
      <c r="M37" s="9"/>
      <c r="N37" s="9"/>
      <c r="O37" s="9"/>
      <c r="P37" s="9"/>
      <c r="Q37" s="58"/>
      <c r="R37" s="175"/>
      <c r="T37" s="87"/>
      <c r="U37" s="88"/>
      <c r="V37" s="88"/>
      <c r="W37" s="88"/>
      <c r="X37" s="88"/>
      <c r="Y37" s="88"/>
      <c r="Z37" s="88"/>
      <c r="AA37" s="88"/>
      <c r="AB37" s="89"/>
      <c r="AC37" s="88"/>
      <c r="AD37" s="88"/>
      <c r="AG37" s="81"/>
    </row>
    <row r="38" spans="1:37" ht="11.25" customHeight="1" x14ac:dyDescent="0.2">
      <c r="A38" s="95"/>
      <c r="B38" s="9"/>
      <c r="C38" s="9"/>
      <c r="D38" s="9"/>
      <c r="E38" s="9"/>
      <c r="F38" s="9"/>
      <c r="G38" s="9"/>
      <c r="H38" s="13"/>
      <c r="I38" s="9"/>
      <c r="J38" s="9"/>
      <c r="K38" s="9"/>
      <c r="L38" s="9"/>
      <c r="M38" s="9"/>
      <c r="N38" s="9"/>
      <c r="O38" s="9"/>
      <c r="P38" s="9"/>
      <c r="Q38" s="58"/>
      <c r="R38" s="175"/>
      <c r="T38" s="87"/>
      <c r="U38" s="88"/>
      <c r="V38" s="88"/>
      <c r="W38" s="88"/>
      <c r="X38" s="88"/>
      <c r="Y38" s="88"/>
      <c r="Z38" s="88"/>
      <c r="AA38" s="88"/>
      <c r="AB38" s="89"/>
      <c r="AC38" s="88"/>
      <c r="AD38" s="88"/>
      <c r="AG38" s="81"/>
    </row>
    <row r="39" spans="1:37" ht="11.25" customHeight="1" x14ac:dyDescent="0.2">
      <c r="A39" s="95"/>
      <c r="B39" s="1006" t="s">
        <v>82</v>
      </c>
      <c r="C39" s="15"/>
      <c r="D39" s="15"/>
      <c r="E39" s="9"/>
      <c r="F39" s="9"/>
      <c r="G39" s="9"/>
      <c r="H39" s="13"/>
      <c r="I39" s="9"/>
      <c r="J39" s="9"/>
      <c r="K39" s="9"/>
      <c r="L39" s="9"/>
      <c r="M39" s="9"/>
      <c r="N39" s="9"/>
      <c r="O39" s="9"/>
      <c r="P39" s="9"/>
      <c r="Q39" s="58"/>
      <c r="R39" s="175"/>
      <c r="T39" s="87"/>
      <c r="U39" s="88"/>
      <c r="V39" s="88"/>
      <c r="W39" s="88"/>
      <c r="X39" s="88"/>
      <c r="Y39" s="88"/>
      <c r="Z39" s="88"/>
      <c r="AA39" s="88"/>
      <c r="AB39" s="89"/>
      <c r="AC39" s="88"/>
      <c r="AD39" s="88"/>
      <c r="AG39" s="81"/>
    </row>
    <row r="40" spans="1:37" ht="11.25" customHeight="1" x14ac:dyDescent="0.2">
      <c r="A40" s="95"/>
      <c r="B40" s="1007"/>
      <c r="C40" s="9"/>
      <c r="D40" s="9"/>
      <c r="E40" s="9"/>
      <c r="F40" s="9"/>
      <c r="G40" s="9"/>
      <c r="H40" s="13"/>
      <c r="I40" s="9"/>
      <c r="J40" s="9"/>
      <c r="K40" s="9"/>
      <c r="L40" s="9"/>
      <c r="M40" s="9"/>
      <c r="N40" s="9"/>
      <c r="O40" s="9"/>
      <c r="P40" s="9"/>
      <c r="Q40" s="58"/>
      <c r="R40" s="175"/>
      <c r="T40" s="87"/>
      <c r="U40" s="88"/>
      <c r="V40" s="88"/>
      <c r="W40" s="88"/>
      <c r="X40" s="88"/>
      <c r="Y40" s="88"/>
      <c r="Z40" s="88"/>
      <c r="AA40" s="88"/>
      <c r="AB40" s="89"/>
      <c r="AC40" s="88"/>
      <c r="AD40" s="88"/>
      <c r="AE40" s="81"/>
      <c r="AF40" s="81"/>
      <c r="AG40" s="81"/>
    </row>
    <row r="41" spans="1:37" ht="11.25" customHeight="1" x14ac:dyDescent="0.2">
      <c r="A41" s="95"/>
      <c r="B41" s="973" t="s">
        <v>81</v>
      </c>
      <c r="C41" s="974"/>
      <c r="D41" s="974"/>
      <c r="E41" s="974"/>
      <c r="F41" s="974"/>
      <c r="G41" s="974"/>
      <c r="H41" s="9"/>
      <c r="I41" s="9"/>
      <c r="J41" s="9"/>
      <c r="K41" s="9"/>
      <c r="L41" s="9"/>
      <c r="M41" s="9"/>
      <c r="N41" s="9"/>
      <c r="O41" s="9"/>
      <c r="P41" s="9"/>
      <c r="Q41" s="58"/>
      <c r="R41" s="175"/>
      <c r="T41" s="87"/>
      <c r="U41" s="88"/>
      <c r="V41" s="88"/>
      <c r="W41" s="88"/>
      <c r="X41" s="88"/>
      <c r="Y41" s="88"/>
      <c r="Z41" s="88"/>
      <c r="AA41" s="88"/>
      <c r="AB41" s="89"/>
      <c r="AC41" s="88"/>
      <c r="AD41" s="88"/>
      <c r="AE41" s="81"/>
      <c r="AF41" s="81"/>
      <c r="AG41" s="81"/>
    </row>
    <row r="42" spans="1:37" ht="11.25" customHeight="1" x14ac:dyDescent="0.2">
      <c r="A42" s="95"/>
      <c r="B42" s="973"/>
      <c r="C42" s="974"/>
      <c r="D42" s="974"/>
      <c r="E42" s="974"/>
      <c r="F42" s="974"/>
      <c r="G42" s="974"/>
      <c r="H42" s="9"/>
      <c r="I42" s="9"/>
      <c r="J42" s="9"/>
      <c r="K42" s="9"/>
      <c r="L42" s="9"/>
      <c r="M42" s="9"/>
      <c r="N42" s="9"/>
      <c r="O42" s="9"/>
      <c r="P42" s="9"/>
      <c r="Q42" s="58"/>
      <c r="R42" s="175"/>
      <c r="T42" s="87"/>
      <c r="U42" s="88"/>
      <c r="V42" s="88"/>
      <c r="W42" s="88"/>
      <c r="X42" s="88"/>
      <c r="Y42" s="88"/>
      <c r="Z42" s="88"/>
      <c r="AA42" s="88"/>
      <c r="AB42" s="89"/>
      <c r="AC42" s="88"/>
      <c r="AD42" s="88"/>
      <c r="AE42" s="85"/>
      <c r="AF42" s="85"/>
      <c r="AG42" s="85"/>
    </row>
    <row r="43" spans="1:37" s="82" customFormat="1" ht="11.25" customHeight="1" x14ac:dyDescent="0.2">
      <c r="A43" s="95"/>
      <c r="B43" s="973" t="s">
        <v>78</v>
      </c>
      <c r="C43" s="975"/>
      <c r="D43" s="975"/>
      <c r="E43" s="975"/>
      <c r="F43" s="975"/>
      <c r="G43" s="975"/>
      <c r="H43" s="15"/>
      <c r="I43" s="15"/>
      <c r="J43" s="15"/>
      <c r="K43" s="15"/>
      <c r="L43" s="15"/>
      <c r="M43" s="15"/>
      <c r="N43" s="15"/>
      <c r="O43" s="15"/>
      <c r="P43" s="15"/>
      <c r="Q43" s="63"/>
      <c r="R43" s="176"/>
      <c r="U43" s="88"/>
      <c r="V43" s="88"/>
      <c r="W43" s="88"/>
      <c r="X43" s="88"/>
      <c r="Y43" s="88"/>
      <c r="Z43" s="88"/>
      <c r="AA43" s="88"/>
      <c r="AB43" s="89"/>
      <c r="AC43" s="88"/>
      <c r="AD43" s="88"/>
      <c r="AE43" s="81"/>
      <c r="AF43" s="81"/>
      <c r="AG43" s="81"/>
      <c r="AI43" s="215"/>
      <c r="AJ43" s="215"/>
      <c r="AK43" s="215"/>
    </row>
    <row r="44" spans="1:37" ht="11.25" customHeight="1" x14ac:dyDescent="0.2">
      <c r="A44" s="95"/>
      <c r="B44" s="973"/>
      <c r="C44" s="975"/>
      <c r="D44" s="975"/>
      <c r="E44" s="975"/>
      <c r="F44" s="975"/>
      <c r="G44" s="975"/>
      <c r="H44" s="9"/>
      <c r="I44" s="9"/>
      <c r="J44" s="9"/>
      <c r="K44" s="9"/>
      <c r="L44" s="9"/>
      <c r="M44" s="9"/>
      <c r="N44" s="9"/>
      <c r="O44" s="9"/>
      <c r="P44" s="9"/>
      <c r="Q44" s="58"/>
      <c r="R44" s="175"/>
      <c r="T44" s="87"/>
      <c r="U44" s="88"/>
      <c r="V44" s="88"/>
      <c r="W44" s="88"/>
      <c r="X44" s="88"/>
      <c r="Y44" s="88"/>
      <c r="Z44" s="88"/>
      <c r="AA44" s="88"/>
      <c r="AB44" s="89"/>
      <c r="AC44" s="88"/>
      <c r="AD44" s="88"/>
      <c r="AE44" s="81"/>
      <c r="AF44" s="81"/>
      <c r="AG44" s="81"/>
    </row>
    <row r="45" spans="1:37" ht="11.25" customHeight="1" x14ac:dyDescent="0.2">
      <c r="A45" s="95"/>
      <c r="B45" s="976" t="s">
        <v>18</v>
      </c>
      <c r="C45" s="977"/>
      <c r="D45" s="977"/>
      <c r="E45" s="977"/>
      <c r="F45" s="977"/>
      <c r="G45" s="977"/>
      <c r="H45" s="9"/>
      <c r="I45" s="9"/>
      <c r="J45" s="9"/>
      <c r="K45" s="9"/>
      <c r="L45" s="9"/>
      <c r="M45" s="9"/>
      <c r="N45" s="9"/>
      <c r="O45" s="9"/>
      <c r="P45" s="9"/>
      <c r="Q45" s="58"/>
      <c r="R45" s="175"/>
      <c r="T45" s="87"/>
      <c r="U45" s="88"/>
      <c r="V45" s="88"/>
      <c r="W45" s="88"/>
      <c r="X45" s="88"/>
      <c r="Y45" s="88"/>
      <c r="Z45" s="88"/>
      <c r="AA45" s="88"/>
      <c r="AB45" s="89"/>
      <c r="AC45" s="88"/>
      <c r="AD45" s="88"/>
      <c r="AE45" s="81"/>
      <c r="AF45" s="81"/>
      <c r="AG45" s="81"/>
    </row>
    <row r="46" spans="1:37" ht="11.25" customHeight="1" x14ac:dyDescent="0.2">
      <c r="A46" s="95"/>
      <c r="B46" s="976"/>
      <c r="C46" s="977"/>
      <c r="D46" s="977"/>
      <c r="E46" s="977"/>
      <c r="F46" s="977"/>
      <c r="G46" s="977"/>
      <c r="H46" s="9"/>
      <c r="I46" s="9"/>
      <c r="J46" s="9"/>
      <c r="K46" s="9"/>
      <c r="L46" s="9"/>
      <c r="M46" s="9"/>
      <c r="N46" s="9"/>
      <c r="O46" s="9"/>
      <c r="P46" s="9"/>
      <c r="Q46" s="58"/>
      <c r="R46" s="175"/>
      <c r="T46" s="87"/>
      <c r="U46" s="88"/>
      <c r="V46" s="88"/>
      <c r="W46" s="88"/>
      <c r="X46" s="88"/>
      <c r="Y46" s="88"/>
      <c r="Z46" s="88"/>
      <c r="AA46" s="88"/>
      <c r="AB46" s="89"/>
      <c r="AC46" s="88"/>
      <c r="AD46" s="88"/>
      <c r="AE46" s="81"/>
      <c r="AF46" s="81"/>
      <c r="AG46" s="81"/>
    </row>
    <row r="47" spans="1:37" ht="11.25" customHeight="1" x14ac:dyDescent="0.2">
      <c r="A47" s="158"/>
      <c r="B47" s="976" t="s">
        <v>210</v>
      </c>
      <c r="C47" s="976"/>
      <c r="D47" s="978"/>
      <c r="E47" s="978"/>
      <c r="F47" s="978"/>
      <c r="G47" s="924"/>
      <c r="H47" s="9"/>
      <c r="I47" s="9"/>
      <c r="J47" s="13"/>
      <c r="K47" s="9"/>
      <c r="L47" s="9"/>
      <c r="M47" s="9"/>
      <c r="N47" s="9"/>
      <c r="O47" s="9"/>
      <c r="P47" s="9"/>
      <c r="Q47" s="9"/>
      <c r="R47" s="281"/>
      <c r="S47" s="9"/>
      <c r="T47" s="9"/>
      <c r="U47" s="11"/>
      <c r="V47" s="88"/>
      <c r="W47" s="88"/>
      <c r="X47" s="88"/>
      <c r="Y47" s="88"/>
      <c r="Z47" s="88"/>
      <c r="AA47" s="88"/>
      <c r="AB47" s="89"/>
      <c r="AD47" s="81"/>
      <c r="AE47" s="81"/>
      <c r="AI47" s="80"/>
      <c r="AJ47" s="80"/>
      <c r="AK47" s="80"/>
    </row>
    <row r="48" spans="1:37" ht="11.25" customHeight="1" x14ac:dyDescent="0.2">
      <c r="A48" s="158"/>
      <c r="B48" s="976"/>
      <c r="C48" s="976"/>
      <c r="D48" s="978"/>
      <c r="E48" s="978"/>
      <c r="F48" s="978"/>
      <c r="G48" s="924"/>
      <c r="H48" s="9"/>
      <c r="I48" s="9"/>
      <c r="J48" s="13"/>
      <c r="K48" s="9"/>
      <c r="L48" s="9"/>
      <c r="M48" s="9"/>
      <c r="N48" s="9"/>
      <c r="O48" s="9"/>
      <c r="P48" s="9"/>
      <c r="Q48" s="9"/>
      <c r="R48" s="281"/>
      <c r="S48" s="9"/>
      <c r="T48" s="9"/>
      <c r="U48" s="11"/>
      <c r="V48" s="88"/>
      <c r="W48" s="88"/>
      <c r="X48" s="88"/>
      <c r="Y48" s="88"/>
      <c r="Z48" s="88"/>
      <c r="AA48" s="88"/>
      <c r="AB48" s="89"/>
      <c r="AD48" s="81"/>
      <c r="AE48" s="81"/>
      <c r="AI48" s="80"/>
      <c r="AJ48" s="80"/>
      <c r="AK48" s="80"/>
    </row>
    <row r="49" spans="1:37" ht="11.25" customHeight="1" x14ac:dyDescent="0.2">
      <c r="A49" s="158"/>
      <c r="B49" s="976" t="s">
        <v>211</v>
      </c>
      <c r="C49" s="976"/>
      <c r="D49" s="978"/>
      <c r="E49" s="978"/>
      <c r="F49" s="978"/>
      <c r="G49" s="924"/>
      <c r="H49" s="9"/>
      <c r="I49" s="9"/>
      <c r="J49" s="13"/>
      <c r="K49" s="9"/>
      <c r="L49" s="9"/>
      <c r="M49" s="9"/>
      <c r="N49" s="9"/>
      <c r="O49" s="9"/>
      <c r="P49" s="9"/>
      <c r="Q49" s="9"/>
      <c r="R49" s="281"/>
      <c r="S49" s="9"/>
      <c r="T49" s="9"/>
      <c r="U49" s="11"/>
      <c r="V49" s="88"/>
      <c r="W49" s="88"/>
      <c r="X49" s="88"/>
      <c r="Y49" s="88"/>
      <c r="Z49" s="88"/>
      <c r="AA49" s="88"/>
      <c r="AB49" s="89"/>
      <c r="AD49" s="81"/>
      <c r="AE49" s="81"/>
      <c r="AI49" s="80"/>
      <c r="AJ49" s="80"/>
      <c r="AK49" s="80"/>
    </row>
    <row r="50" spans="1:37" ht="11.25" customHeight="1" x14ac:dyDescent="0.2">
      <c r="A50" s="158"/>
      <c r="B50" s="976"/>
      <c r="C50" s="976"/>
      <c r="D50" s="978"/>
      <c r="E50" s="978"/>
      <c r="F50" s="978"/>
      <c r="G50" s="924"/>
      <c r="H50" s="9"/>
      <c r="I50" s="9"/>
      <c r="J50" s="13"/>
      <c r="K50" s="9"/>
      <c r="L50" s="9"/>
      <c r="M50" s="9"/>
      <c r="N50" s="9"/>
      <c r="O50" s="9"/>
      <c r="P50" s="9"/>
      <c r="Q50" s="9"/>
      <c r="R50" s="281"/>
      <c r="S50" s="9"/>
      <c r="T50" s="9"/>
      <c r="U50" s="11"/>
      <c r="V50" s="88"/>
      <c r="W50" s="88"/>
      <c r="X50" s="88"/>
      <c r="Y50" s="88"/>
      <c r="Z50" s="88"/>
      <c r="AA50" s="88"/>
      <c r="AB50" s="89"/>
      <c r="AD50" s="81"/>
      <c r="AE50" s="81"/>
      <c r="AI50" s="80"/>
      <c r="AJ50" s="80"/>
      <c r="AK50" s="80"/>
    </row>
    <row r="51" spans="1:37" ht="11.25" customHeight="1" x14ac:dyDescent="0.2">
      <c r="A51" s="158"/>
      <c r="B51" s="976" t="s">
        <v>212</v>
      </c>
      <c r="C51" s="976"/>
      <c r="D51" s="978"/>
      <c r="E51" s="978"/>
      <c r="F51" s="978"/>
      <c r="G51" s="924"/>
      <c r="H51" s="9"/>
      <c r="I51" s="9"/>
      <c r="J51" s="13"/>
      <c r="K51" s="9"/>
      <c r="L51" s="9"/>
      <c r="M51" s="9"/>
      <c r="N51" s="9"/>
      <c r="O51" s="9"/>
      <c r="P51" s="9"/>
      <c r="Q51" s="9"/>
      <c r="R51" s="281"/>
      <c r="S51" s="9"/>
      <c r="T51" s="9"/>
      <c r="U51" s="11"/>
      <c r="V51" s="88"/>
      <c r="W51" s="88"/>
      <c r="X51" s="88"/>
      <c r="Y51" s="88"/>
      <c r="Z51" s="88"/>
      <c r="AA51" s="88"/>
      <c r="AB51" s="89"/>
      <c r="AD51" s="81"/>
      <c r="AE51" s="81"/>
      <c r="AI51" s="80"/>
      <c r="AJ51" s="80"/>
      <c r="AK51" s="80"/>
    </row>
    <row r="52" spans="1:37" ht="11.25" customHeight="1" x14ac:dyDescent="0.2">
      <c r="A52" s="158"/>
      <c r="B52" s="976"/>
      <c r="C52" s="976"/>
      <c r="D52" s="978"/>
      <c r="E52" s="978"/>
      <c r="F52" s="978"/>
      <c r="G52" s="924"/>
      <c r="H52" s="9"/>
      <c r="I52" s="9"/>
      <c r="J52" s="13"/>
      <c r="K52" s="9"/>
      <c r="L52" s="9"/>
      <c r="M52" s="9"/>
      <c r="N52" s="9"/>
      <c r="O52" s="9"/>
      <c r="P52" s="9"/>
      <c r="Q52" s="9"/>
      <c r="R52" s="281"/>
      <c r="S52" s="9"/>
      <c r="T52" s="9"/>
      <c r="U52" s="11"/>
      <c r="V52" s="88"/>
      <c r="W52" s="88"/>
      <c r="X52" s="88"/>
      <c r="Y52" s="88"/>
      <c r="Z52" s="88"/>
      <c r="AA52" s="88"/>
      <c r="AB52" s="89"/>
      <c r="AD52" s="81"/>
      <c r="AE52" s="81"/>
      <c r="AI52" s="80"/>
      <c r="AJ52" s="80"/>
      <c r="AK52" s="80"/>
    </row>
    <row r="53" spans="1:37" ht="11.25" customHeight="1" x14ac:dyDescent="0.2">
      <c r="A53" s="95"/>
      <c r="B53" s="973" t="s">
        <v>80</v>
      </c>
      <c r="C53" s="974"/>
      <c r="D53" s="974"/>
      <c r="E53" s="974"/>
      <c r="F53" s="974"/>
      <c r="G53" s="974"/>
      <c r="H53" s="9"/>
      <c r="I53" s="9"/>
      <c r="J53" s="9"/>
      <c r="K53" s="9"/>
      <c r="L53" s="9"/>
      <c r="M53" s="9"/>
      <c r="N53" s="9"/>
      <c r="O53" s="9"/>
      <c r="P53" s="9"/>
      <c r="Q53" s="58"/>
      <c r="R53" s="175"/>
      <c r="T53" s="87"/>
      <c r="U53" s="88"/>
      <c r="V53" s="88"/>
      <c r="W53" s="88"/>
      <c r="X53" s="88"/>
      <c r="Y53" s="88"/>
      <c r="Z53" s="88"/>
      <c r="AA53" s="88"/>
      <c r="AB53" s="89"/>
      <c r="AC53" s="88"/>
      <c r="AD53" s="88"/>
      <c r="AE53" s="81"/>
      <c r="AF53" s="81"/>
      <c r="AG53" s="81"/>
    </row>
    <row r="54" spans="1:37" ht="11.25" customHeight="1" x14ac:dyDescent="0.2">
      <c r="A54" s="95"/>
      <c r="B54" s="973"/>
      <c r="C54" s="974"/>
      <c r="D54" s="974"/>
      <c r="E54" s="974"/>
      <c r="F54" s="974"/>
      <c r="G54" s="974"/>
      <c r="H54" s="9"/>
      <c r="I54" s="9"/>
      <c r="J54" s="9"/>
      <c r="K54" s="9"/>
      <c r="L54" s="9"/>
      <c r="M54" s="9"/>
      <c r="N54" s="9"/>
      <c r="O54" s="9"/>
      <c r="P54" s="9"/>
      <c r="Q54" s="58"/>
      <c r="R54" s="175"/>
      <c r="T54" s="87"/>
      <c r="U54" s="88"/>
      <c r="V54" s="88"/>
      <c r="W54" s="88"/>
      <c r="X54" s="88"/>
      <c r="Y54" s="88"/>
      <c r="Z54" s="88"/>
      <c r="AA54" s="88"/>
      <c r="AB54" s="89"/>
      <c r="AC54" s="88"/>
      <c r="AD54" s="88"/>
      <c r="AE54" s="81"/>
      <c r="AF54" s="81"/>
      <c r="AG54" s="81"/>
    </row>
    <row r="55" spans="1:37" ht="11.25" customHeight="1" x14ac:dyDescent="0.2">
      <c r="A55" s="95"/>
      <c r="B55" s="973" t="s">
        <v>69</v>
      </c>
      <c r="C55" s="974"/>
      <c r="D55" s="974"/>
      <c r="E55" s="974"/>
      <c r="F55" s="974"/>
      <c r="G55" s="974"/>
      <c r="H55" s="9"/>
      <c r="I55" s="9"/>
      <c r="J55" s="9"/>
      <c r="K55" s="9"/>
      <c r="L55" s="9"/>
      <c r="M55" s="9"/>
      <c r="N55" s="9"/>
      <c r="O55" s="9"/>
      <c r="P55" s="9"/>
      <c r="Q55" s="58"/>
      <c r="R55" s="175"/>
      <c r="T55" s="87"/>
      <c r="U55" s="88"/>
      <c r="V55" s="88"/>
      <c r="W55" s="88"/>
      <c r="X55" s="88"/>
      <c r="Y55" s="88"/>
      <c r="Z55" s="88"/>
      <c r="AA55" s="88"/>
      <c r="AB55" s="89"/>
      <c r="AC55" s="88"/>
      <c r="AD55" s="88"/>
      <c r="AE55" s="81"/>
      <c r="AF55" s="81"/>
      <c r="AG55" s="81"/>
    </row>
    <row r="56" spans="1:37" ht="11.25" customHeight="1" x14ac:dyDescent="0.2">
      <c r="A56" s="95"/>
      <c r="B56" s="973"/>
      <c r="C56" s="974"/>
      <c r="D56" s="974"/>
      <c r="E56" s="974"/>
      <c r="F56" s="974"/>
      <c r="G56" s="974"/>
      <c r="H56" s="9"/>
      <c r="I56" s="9"/>
      <c r="J56" s="9"/>
      <c r="K56" s="9"/>
      <c r="L56" s="9"/>
      <c r="M56" s="9"/>
      <c r="N56" s="9"/>
      <c r="O56" s="9"/>
      <c r="P56" s="9"/>
      <c r="Q56" s="58"/>
      <c r="R56" s="175"/>
      <c r="T56" s="87"/>
      <c r="U56" s="88"/>
      <c r="V56" s="88"/>
      <c r="W56" s="88"/>
      <c r="X56" s="88"/>
      <c r="Y56" s="88"/>
      <c r="Z56" s="88"/>
      <c r="AA56" s="88"/>
      <c r="AB56" s="89"/>
      <c r="AC56" s="88"/>
      <c r="AD56" s="88"/>
      <c r="AE56" s="81"/>
      <c r="AF56" s="81"/>
      <c r="AG56" s="81"/>
    </row>
    <row r="57" spans="1:37" ht="11.25" customHeight="1" x14ac:dyDescent="0.2">
      <c r="A57" s="95"/>
      <c r="B57" s="973" t="s">
        <v>25</v>
      </c>
      <c r="C57" s="974"/>
      <c r="D57" s="974"/>
      <c r="E57" s="974"/>
      <c r="F57" s="974"/>
      <c r="G57" s="974"/>
      <c r="H57" s="9"/>
      <c r="I57" s="9"/>
      <c r="J57" s="9"/>
      <c r="K57" s="9"/>
      <c r="L57" s="9"/>
      <c r="M57" s="9"/>
      <c r="N57" s="9"/>
      <c r="O57" s="9"/>
      <c r="P57" s="9"/>
      <c r="Q57" s="58"/>
      <c r="R57" s="175"/>
      <c r="T57" s="87"/>
      <c r="U57" s="88"/>
      <c r="V57" s="88"/>
      <c r="W57" s="88"/>
      <c r="X57" s="88"/>
      <c r="Y57" s="88"/>
      <c r="Z57" s="88"/>
      <c r="AA57" s="88"/>
      <c r="AB57" s="89"/>
      <c r="AC57" s="88"/>
      <c r="AD57" s="88"/>
      <c r="AE57" s="81"/>
      <c r="AF57" s="81"/>
      <c r="AG57" s="81"/>
    </row>
    <row r="58" spans="1:37" ht="11.25" customHeight="1" x14ac:dyDescent="0.2">
      <c r="A58" s="95"/>
      <c r="B58" s="973"/>
      <c r="C58" s="974"/>
      <c r="D58" s="974"/>
      <c r="E58" s="974"/>
      <c r="F58" s="974"/>
      <c r="G58" s="974"/>
      <c r="H58" s="9"/>
      <c r="I58" s="9"/>
      <c r="J58" s="9"/>
      <c r="K58" s="9"/>
      <c r="L58" s="9"/>
      <c r="M58" s="9"/>
      <c r="N58" s="9"/>
      <c r="O58" s="9"/>
      <c r="P58" s="9"/>
      <c r="Q58" s="58"/>
      <c r="R58" s="175"/>
      <c r="T58" s="87"/>
      <c r="U58" s="88"/>
      <c r="V58" s="88"/>
      <c r="W58" s="88"/>
      <c r="X58" s="88"/>
      <c r="Y58" s="88"/>
      <c r="Z58" s="88"/>
      <c r="AA58" s="88"/>
      <c r="AB58" s="89"/>
      <c r="AC58" s="88"/>
      <c r="AD58" s="88"/>
      <c r="AE58" s="81"/>
      <c r="AF58" s="81"/>
      <c r="AG58" s="81"/>
    </row>
    <row r="59" spans="1:37" ht="11.25" customHeight="1" x14ac:dyDescent="0.2">
      <c r="A59" s="95"/>
      <c r="B59" s="973" t="s">
        <v>23</v>
      </c>
      <c r="C59" s="974"/>
      <c r="D59" s="974"/>
      <c r="E59" s="974"/>
      <c r="F59" s="974"/>
      <c r="G59" s="974"/>
      <c r="H59" s="9"/>
      <c r="I59" s="9"/>
      <c r="J59" s="9"/>
      <c r="K59" s="9"/>
      <c r="L59" s="9"/>
      <c r="M59" s="9"/>
      <c r="N59" s="9"/>
      <c r="O59" s="9"/>
      <c r="P59" s="9"/>
      <c r="Q59" s="58"/>
      <c r="R59" s="175"/>
      <c r="T59" s="87"/>
      <c r="U59" s="88"/>
      <c r="V59" s="88"/>
      <c r="W59" s="88"/>
      <c r="X59" s="88"/>
      <c r="Y59" s="88"/>
      <c r="Z59" s="88"/>
      <c r="AA59" s="88"/>
      <c r="AB59" s="89"/>
      <c r="AC59" s="88"/>
      <c r="AD59" s="88"/>
      <c r="AE59" s="81"/>
      <c r="AF59" s="81"/>
      <c r="AG59" s="81"/>
    </row>
    <row r="60" spans="1:37" ht="11.25" customHeight="1" x14ac:dyDescent="0.2">
      <c r="A60" s="95"/>
      <c r="B60" s="973"/>
      <c r="C60" s="974"/>
      <c r="D60" s="974"/>
      <c r="E60" s="974"/>
      <c r="F60" s="974"/>
      <c r="G60" s="974"/>
      <c r="H60" s="9"/>
      <c r="I60" s="9"/>
      <c r="J60" s="9"/>
      <c r="K60" s="9"/>
      <c r="L60" s="9"/>
      <c r="M60" s="9"/>
      <c r="N60" s="9"/>
      <c r="O60" s="9"/>
      <c r="P60" s="9"/>
      <c r="Q60" s="58"/>
      <c r="R60" s="175"/>
      <c r="T60" s="87"/>
      <c r="U60" s="88"/>
      <c r="V60" s="88"/>
      <c r="W60" s="88"/>
      <c r="X60" s="88"/>
      <c r="Y60" s="88"/>
      <c r="Z60" s="88"/>
      <c r="AA60" s="88"/>
      <c r="AB60" s="89"/>
      <c r="AC60" s="88"/>
      <c r="AD60" s="88"/>
      <c r="AE60" s="81"/>
      <c r="AF60" s="81"/>
      <c r="AG60" s="81"/>
    </row>
    <row r="61" spans="1:37" ht="11.25" customHeight="1" x14ac:dyDescent="0.2">
      <c r="A61" s="95"/>
      <c r="B61" s="973" t="s">
        <v>26</v>
      </c>
      <c r="C61" s="974"/>
      <c r="D61" s="974"/>
      <c r="E61" s="974"/>
      <c r="F61" s="974"/>
      <c r="G61" s="974"/>
      <c r="H61" s="9"/>
      <c r="I61" s="9"/>
      <c r="J61" s="9"/>
      <c r="K61" s="9"/>
      <c r="L61" s="9"/>
      <c r="M61" s="9"/>
      <c r="N61" s="9"/>
      <c r="O61" s="9"/>
      <c r="P61" s="9"/>
      <c r="Q61" s="58"/>
      <c r="R61" s="175"/>
      <c r="T61" s="87"/>
      <c r="U61" s="88"/>
      <c r="V61" s="88"/>
      <c r="W61" s="88"/>
      <c r="X61" s="88"/>
      <c r="Y61" s="88"/>
      <c r="Z61" s="88"/>
      <c r="AA61" s="88"/>
      <c r="AB61" s="89"/>
      <c r="AC61" s="88"/>
      <c r="AD61" s="88"/>
      <c r="AE61" s="81"/>
      <c r="AF61" s="81"/>
      <c r="AG61" s="81"/>
    </row>
    <row r="62" spans="1:37" ht="11.25" customHeight="1" x14ac:dyDescent="0.2">
      <c r="A62" s="95"/>
      <c r="B62" s="973"/>
      <c r="C62" s="974"/>
      <c r="D62" s="974"/>
      <c r="E62" s="974"/>
      <c r="F62" s="974"/>
      <c r="G62" s="974"/>
      <c r="H62" s="9"/>
      <c r="I62" s="9"/>
      <c r="J62" s="9"/>
      <c r="K62" s="9"/>
      <c r="L62" s="9"/>
      <c r="M62" s="9"/>
      <c r="N62" s="9"/>
      <c r="O62" s="9"/>
      <c r="P62" s="9"/>
      <c r="Q62" s="58"/>
      <c r="R62" s="175"/>
      <c r="T62" s="87"/>
      <c r="U62" s="88"/>
      <c r="V62" s="88"/>
      <c r="W62" s="88"/>
      <c r="X62" s="88"/>
      <c r="Y62" s="88"/>
      <c r="Z62" s="88"/>
      <c r="AA62" s="88"/>
      <c r="AB62" s="89"/>
      <c r="AC62" s="88"/>
      <c r="AD62" s="88"/>
      <c r="AE62" s="81"/>
      <c r="AF62" s="81"/>
      <c r="AG62" s="81"/>
    </row>
    <row r="63" spans="1:37" ht="11.25" customHeight="1" x14ac:dyDescent="0.2">
      <c r="A63" s="95"/>
      <c r="B63" s="973" t="s">
        <v>19</v>
      </c>
      <c r="C63" s="974"/>
      <c r="D63" s="974"/>
      <c r="E63" s="974"/>
      <c r="F63" s="974"/>
      <c r="G63" s="974"/>
      <c r="H63" s="9"/>
      <c r="I63" s="9"/>
      <c r="J63" s="9"/>
      <c r="K63" s="9"/>
      <c r="L63" s="9"/>
      <c r="M63" s="9"/>
      <c r="N63" s="9"/>
      <c r="O63" s="9"/>
      <c r="P63" s="9"/>
      <c r="Q63" s="58"/>
      <c r="R63" s="175"/>
      <c r="T63" s="87"/>
      <c r="U63" s="88"/>
      <c r="V63" s="88"/>
      <c r="W63" s="88"/>
      <c r="X63" s="88"/>
      <c r="Y63" s="88"/>
      <c r="Z63" s="88"/>
      <c r="AA63" s="88"/>
      <c r="AB63" s="89"/>
      <c r="AC63" s="88"/>
      <c r="AD63" s="88"/>
      <c r="AE63" s="81"/>
      <c r="AF63" s="81"/>
      <c r="AG63" s="81"/>
    </row>
    <row r="64" spans="1:37" ht="11.25" customHeight="1" x14ac:dyDescent="0.2">
      <c r="A64" s="95"/>
      <c r="B64" s="973"/>
      <c r="C64" s="974"/>
      <c r="D64" s="974"/>
      <c r="E64" s="974"/>
      <c r="F64" s="974"/>
      <c r="G64" s="974"/>
      <c r="H64" s="9"/>
      <c r="I64" s="9"/>
      <c r="J64" s="9"/>
      <c r="K64" s="9"/>
      <c r="L64" s="9"/>
      <c r="M64" s="9"/>
      <c r="N64" s="9"/>
      <c r="O64" s="9"/>
      <c r="P64" s="9"/>
      <c r="Q64" s="58"/>
      <c r="R64" s="175"/>
      <c r="T64" s="87"/>
      <c r="U64" s="88"/>
      <c r="V64" s="88"/>
      <c r="W64" s="88"/>
      <c r="X64" s="88"/>
      <c r="Y64" s="88"/>
      <c r="Z64" s="88"/>
      <c r="AA64" s="88"/>
      <c r="AB64" s="89"/>
      <c r="AC64" s="88"/>
      <c r="AD64" s="88"/>
      <c r="AE64" s="81"/>
      <c r="AF64" s="81"/>
      <c r="AG64" s="81"/>
    </row>
    <row r="65" spans="1:33" ht="11.25" customHeight="1" x14ac:dyDescent="0.2">
      <c r="A65" s="95"/>
      <c r="B65" s="973" t="s">
        <v>20</v>
      </c>
      <c r="C65" s="930"/>
      <c r="D65" s="930"/>
      <c r="E65" s="930"/>
      <c r="F65" s="930"/>
      <c r="G65" s="930"/>
      <c r="H65" s="930"/>
      <c r="I65" s="9"/>
      <c r="J65" s="9"/>
      <c r="K65" s="9"/>
      <c r="L65" s="9"/>
      <c r="M65" s="9"/>
      <c r="N65" s="9"/>
      <c r="O65" s="9"/>
      <c r="P65" s="9"/>
      <c r="Q65" s="58"/>
      <c r="R65" s="175"/>
      <c r="T65" s="87"/>
      <c r="U65" s="88"/>
      <c r="V65" s="88"/>
      <c r="W65" s="88"/>
      <c r="X65" s="88"/>
      <c r="Y65" s="88"/>
      <c r="Z65" s="88"/>
      <c r="AA65" s="88"/>
      <c r="AB65" s="89"/>
      <c r="AC65" s="88"/>
      <c r="AD65" s="88"/>
      <c r="AE65" s="81"/>
      <c r="AF65" s="81"/>
      <c r="AG65" s="81"/>
    </row>
    <row r="66" spans="1:33" ht="11.25" customHeight="1" x14ac:dyDescent="0.2">
      <c r="A66" s="95"/>
      <c r="B66" s="930"/>
      <c r="C66" s="930"/>
      <c r="D66" s="930"/>
      <c r="E66" s="930"/>
      <c r="F66" s="930"/>
      <c r="G66" s="930"/>
      <c r="H66" s="930"/>
      <c r="I66" s="9"/>
      <c r="J66" s="9"/>
      <c r="K66" s="9"/>
      <c r="L66" s="9"/>
      <c r="M66" s="9"/>
      <c r="N66" s="9"/>
      <c r="O66" s="9"/>
      <c r="P66" s="9"/>
      <c r="Q66" s="58"/>
      <c r="R66" s="175"/>
      <c r="T66" s="87"/>
      <c r="U66" s="88"/>
      <c r="V66" s="88"/>
      <c r="W66" s="88"/>
      <c r="X66" s="88"/>
      <c r="Y66" s="88"/>
      <c r="Z66" s="88"/>
      <c r="AA66" s="88"/>
      <c r="AB66" s="89"/>
      <c r="AC66" s="88"/>
      <c r="AD66" s="88"/>
      <c r="AE66" s="81"/>
      <c r="AF66" s="81"/>
      <c r="AG66" s="81"/>
    </row>
    <row r="67" spans="1:33" ht="11.25" customHeight="1" x14ac:dyDescent="0.2">
      <c r="A67" s="95"/>
      <c r="B67" s="973" t="s">
        <v>21</v>
      </c>
      <c r="C67" s="974"/>
      <c r="D67" s="974"/>
      <c r="E67" s="974"/>
      <c r="F67" s="974"/>
      <c r="G67" s="974"/>
      <c r="H67" s="9"/>
      <c r="I67" s="9"/>
      <c r="J67" s="9"/>
      <c r="K67" s="9"/>
      <c r="L67" s="9"/>
      <c r="M67" s="9"/>
      <c r="N67" s="9"/>
      <c r="O67" s="9"/>
      <c r="P67" s="9"/>
      <c r="Q67" s="58"/>
      <c r="R67" s="175"/>
      <c r="T67" s="87"/>
      <c r="U67" s="88"/>
      <c r="V67" s="88"/>
      <c r="W67" s="88"/>
      <c r="X67" s="88"/>
      <c r="Y67" s="88"/>
      <c r="Z67" s="88"/>
      <c r="AA67" s="88"/>
      <c r="AB67" s="89"/>
      <c r="AC67" s="88"/>
      <c r="AD67" s="88"/>
      <c r="AE67" s="81"/>
      <c r="AF67" s="81"/>
      <c r="AG67" s="81"/>
    </row>
    <row r="68" spans="1:33" ht="11.25" customHeight="1" x14ac:dyDescent="0.2">
      <c r="A68" s="95"/>
      <c r="B68" s="973"/>
      <c r="C68" s="974"/>
      <c r="D68" s="974"/>
      <c r="E68" s="974"/>
      <c r="F68" s="974"/>
      <c r="G68" s="974"/>
      <c r="H68" s="9"/>
      <c r="I68" s="9"/>
      <c r="J68" s="9"/>
      <c r="K68" s="9"/>
      <c r="L68" s="9"/>
      <c r="M68" s="9"/>
      <c r="N68" s="9"/>
      <c r="O68" s="9"/>
      <c r="P68" s="9"/>
      <c r="Q68" s="58"/>
      <c r="R68" s="175"/>
      <c r="T68" s="87"/>
      <c r="U68" s="88"/>
      <c r="V68" s="88"/>
      <c r="W68" s="88"/>
      <c r="X68" s="88"/>
      <c r="Y68" s="88"/>
      <c r="Z68" s="88"/>
      <c r="AA68" s="88"/>
      <c r="AB68" s="89"/>
      <c r="AC68" s="88"/>
      <c r="AD68" s="88"/>
      <c r="AE68" s="81"/>
      <c r="AF68" s="81"/>
      <c r="AG68" s="81"/>
    </row>
    <row r="69" spans="1:33" ht="11.25" customHeight="1" x14ac:dyDescent="0.2">
      <c r="A69" s="95"/>
      <c r="B69" s="973" t="s">
        <v>27</v>
      </c>
      <c r="C69" s="974"/>
      <c r="D69" s="974"/>
      <c r="E69" s="974"/>
      <c r="F69" s="974"/>
      <c r="G69" s="974"/>
      <c r="H69" s="9"/>
      <c r="I69" s="9"/>
      <c r="J69" s="9"/>
      <c r="K69" s="9"/>
      <c r="L69" s="9"/>
      <c r="M69" s="9"/>
      <c r="N69" s="9"/>
      <c r="O69" s="9"/>
      <c r="P69" s="9"/>
      <c r="Q69" s="58"/>
      <c r="R69" s="175"/>
      <c r="T69" s="87"/>
      <c r="U69" s="88"/>
      <c r="V69" s="88"/>
      <c r="W69" s="88"/>
      <c r="X69" s="88"/>
      <c r="Y69" s="88"/>
      <c r="Z69" s="88"/>
      <c r="AA69" s="88"/>
      <c r="AB69" s="89"/>
      <c r="AC69" s="88"/>
      <c r="AD69" s="88"/>
      <c r="AE69" s="81"/>
      <c r="AF69" s="81"/>
      <c r="AG69" s="81"/>
    </row>
    <row r="70" spans="1:33" ht="11.25" customHeight="1" x14ac:dyDescent="0.2">
      <c r="A70" s="95"/>
      <c r="B70" s="973"/>
      <c r="C70" s="974"/>
      <c r="D70" s="974"/>
      <c r="E70" s="974"/>
      <c r="F70" s="974"/>
      <c r="G70" s="974"/>
      <c r="H70" s="9"/>
      <c r="I70" s="9"/>
      <c r="J70" s="9"/>
      <c r="K70" s="9"/>
      <c r="L70" s="9"/>
      <c r="M70" s="9"/>
      <c r="N70" s="9"/>
      <c r="O70" s="9"/>
      <c r="P70" s="9"/>
      <c r="Q70" s="58"/>
      <c r="R70" s="175"/>
      <c r="T70" s="87"/>
      <c r="U70" s="88"/>
      <c r="V70" s="88"/>
      <c r="W70" s="88"/>
      <c r="X70" s="88"/>
      <c r="Y70" s="88"/>
      <c r="Z70" s="88"/>
      <c r="AA70" s="88"/>
      <c r="AB70" s="89"/>
      <c r="AC70" s="88"/>
      <c r="AD70" s="88"/>
      <c r="AE70" s="81"/>
      <c r="AF70" s="81"/>
      <c r="AG70" s="81"/>
    </row>
    <row r="71" spans="1:33" ht="11.25" customHeight="1" x14ac:dyDescent="0.2">
      <c r="A71" s="95"/>
      <c r="B71" s="973" t="s">
        <v>22</v>
      </c>
      <c r="C71" s="974"/>
      <c r="D71" s="974"/>
      <c r="E71" s="974"/>
      <c r="F71" s="974"/>
      <c r="G71" s="974"/>
      <c r="H71" s="9"/>
      <c r="I71" s="9"/>
      <c r="J71" s="9"/>
      <c r="K71" s="9"/>
      <c r="L71" s="9"/>
      <c r="M71" s="9"/>
      <c r="N71" s="9"/>
      <c r="O71" s="9"/>
      <c r="P71" s="9"/>
      <c r="Q71" s="58"/>
      <c r="R71" s="175"/>
      <c r="T71" s="87"/>
      <c r="U71" s="88"/>
      <c r="V71" s="88"/>
      <c r="W71" s="88"/>
      <c r="X71" s="88"/>
      <c r="Y71" s="88"/>
      <c r="Z71" s="88"/>
      <c r="AA71" s="88"/>
      <c r="AB71" s="89"/>
      <c r="AC71" s="88"/>
      <c r="AD71" s="88"/>
      <c r="AE71" s="81"/>
      <c r="AF71" s="81"/>
      <c r="AG71" s="81"/>
    </row>
    <row r="72" spans="1:33" ht="11.25" customHeight="1" x14ac:dyDescent="0.2">
      <c r="A72" s="95"/>
      <c r="B72" s="973"/>
      <c r="C72" s="974"/>
      <c r="D72" s="974"/>
      <c r="E72" s="974"/>
      <c r="F72" s="974"/>
      <c r="G72" s="974"/>
      <c r="H72" s="9"/>
      <c r="I72" s="9"/>
      <c r="J72" s="9"/>
      <c r="K72" s="9"/>
      <c r="L72" s="9"/>
      <c r="M72" s="9"/>
      <c r="N72" s="9"/>
      <c r="O72" s="9"/>
      <c r="P72" s="9"/>
      <c r="Q72" s="58"/>
      <c r="R72" s="175"/>
      <c r="T72" s="87"/>
      <c r="U72" s="88"/>
      <c r="V72" s="88"/>
      <c r="W72" s="88"/>
      <c r="X72" s="88"/>
      <c r="Y72" s="88"/>
      <c r="Z72" s="88"/>
      <c r="AA72" s="88"/>
      <c r="AB72" s="89"/>
      <c r="AC72" s="88"/>
      <c r="AD72" s="88"/>
      <c r="AE72" s="81"/>
      <c r="AF72" s="81"/>
      <c r="AG72" s="81"/>
    </row>
    <row r="73" spans="1:33" ht="11.25" customHeight="1" x14ac:dyDescent="0.2">
      <c r="A73" s="95"/>
      <c r="B73" s="973" t="s">
        <v>874</v>
      </c>
      <c r="C73" s="975"/>
      <c r="D73" s="975"/>
      <c r="E73" s="975"/>
      <c r="F73" s="975"/>
      <c r="G73" s="975"/>
      <c r="H73" s="9"/>
      <c r="I73" s="9"/>
      <c r="J73" s="9"/>
      <c r="K73" s="9"/>
      <c r="L73" s="9"/>
      <c r="M73" s="9"/>
      <c r="N73" s="9"/>
      <c r="O73" s="9"/>
      <c r="P73" s="9"/>
      <c r="Q73" s="58"/>
      <c r="R73" s="175"/>
      <c r="T73" s="87"/>
      <c r="U73" s="88"/>
      <c r="V73" s="88"/>
      <c r="W73" s="88"/>
      <c r="X73" s="88"/>
      <c r="Y73" s="88"/>
      <c r="Z73" s="88"/>
      <c r="AA73" s="88"/>
      <c r="AB73" s="89"/>
      <c r="AC73" s="88"/>
      <c r="AD73" s="88"/>
      <c r="AE73" s="81"/>
      <c r="AF73" s="81"/>
      <c r="AG73" s="81"/>
    </row>
    <row r="74" spans="1:33" ht="11.25" customHeight="1" x14ac:dyDescent="0.2">
      <c r="A74" s="95"/>
      <c r="B74" s="973"/>
      <c r="C74" s="975"/>
      <c r="D74" s="975"/>
      <c r="E74" s="975"/>
      <c r="F74" s="975"/>
      <c r="G74" s="975"/>
      <c r="H74" s="9"/>
      <c r="I74" s="9"/>
      <c r="J74" s="9"/>
      <c r="K74" s="9"/>
      <c r="L74" s="9"/>
      <c r="M74" s="9"/>
      <c r="N74" s="9"/>
      <c r="O74" s="9"/>
      <c r="P74" s="9"/>
      <c r="Q74" s="58"/>
      <c r="R74" s="175"/>
      <c r="T74" s="87"/>
      <c r="U74" s="88"/>
      <c r="V74" s="88"/>
      <c r="W74" s="88"/>
      <c r="X74" s="88"/>
      <c r="Y74" s="88"/>
      <c r="Z74" s="88"/>
      <c r="AA74" s="88"/>
      <c r="AB74" s="89"/>
      <c r="AC74" s="88"/>
      <c r="AD74" s="88"/>
      <c r="AE74" s="81"/>
      <c r="AF74" s="81"/>
      <c r="AG74" s="81"/>
    </row>
    <row r="75" spans="1:33" ht="11.25" customHeight="1" x14ac:dyDescent="0.2">
      <c r="A75" s="95"/>
      <c r="B75" s="973"/>
      <c r="C75" s="973"/>
      <c r="D75" s="973"/>
      <c r="E75" s="973"/>
      <c r="F75" s="975"/>
      <c r="G75" s="975"/>
      <c r="H75" s="975"/>
      <c r="I75" s="9"/>
      <c r="J75" s="9"/>
      <c r="K75" s="9"/>
      <c r="L75" s="9"/>
      <c r="M75" s="9"/>
      <c r="N75" s="9"/>
      <c r="O75" s="9"/>
      <c r="P75" s="9"/>
      <c r="Q75" s="58"/>
      <c r="R75" s="175"/>
      <c r="T75" s="87"/>
      <c r="U75" s="88"/>
      <c r="V75" s="88"/>
      <c r="W75" s="88"/>
      <c r="X75" s="88"/>
      <c r="Y75" s="88"/>
      <c r="Z75" s="88"/>
      <c r="AA75" s="88"/>
      <c r="AB75" s="89"/>
      <c r="AC75" s="88"/>
      <c r="AD75" s="88"/>
      <c r="AE75" s="81"/>
      <c r="AF75" s="81"/>
      <c r="AG75" s="81"/>
    </row>
    <row r="76" spans="1:33" ht="11.25" customHeight="1" x14ac:dyDescent="0.2">
      <c r="A76" s="95"/>
      <c r="B76" s="973"/>
      <c r="C76" s="973"/>
      <c r="D76" s="973"/>
      <c r="E76" s="973"/>
      <c r="F76" s="975"/>
      <c r="G76" s="975"/>
      <c r="H76" s="975"/>
      <c r="I76" s="9"/>
      <c r="J76" s="9"/>
      <c r="K76" s="9"/>
      <c r="L76" s="9"/>
      <c r="M76" s="9"/>
      <c r="N76" s="9"/>
      <c r="O76" s="9"/>
      <c r="P76" s="9"/>
      <c r="Q76" s="58"/>
      <c r="R76" s="175"/>
      <c r="T76" s="87"/>
      <c r="U76" s="88"/>
      <c r="V76" s="88"/>
      <c r="W76" s="88"/>
      <c r="X76" s="88"/>
      <c r="Y76" s="88"/>
      <c r="Z76" s="88"/>
      <c r="AA76" s="88"/>
      <c r="AB76" s="89"/>
      <c r="AC76" s="88"/>
      <c r="AD76" s="88"/>
      <c r="AE76" s="81"/>
      <c r="AF76" s="81"/>
      <c r="AG76" s="81"/>
    </row>
    <row r="77" spans="1:33" ht="22.5" customHeight="1" x14ac:dyDescent="0.2">
      <c r="A77" s="159"/>
      <c r="B77" s="160"/>
      <c r="C77" s="160"/>
      <c r="D77" s="160"/>
      <c r="E77" s="160"/>
      <c r="F77" s="160"/>
      <c r="G77" s="160"/>
      <c r="H77" s="160"/>
      <c r="I77" s="160"/>
      <c r="J77" s="160"/>
      <c r="K77" s="160"/>
      <c r="L77" s="160"/>
      <c r="M77" s="160"/>
      <c r="N77" s="160"/>
      <c r="O77" s="160"/>
      <c r="P77" s="160"/>
      <c r="Q77" s="231"/>
      <c r="R77" s="280"/>
    </row>
    <row r="88" spans="26:28" ht="11.25" customHeight="1" x14ac:dyDescent="0.2">
      <c r="Z88" s="80"/>
      <c r="AA88" s="80"/>
    </row>
    <row r="89" spans="26:28" ht="11.25" customHeight="1" x14ac:dyDescent="0.2">
      <c r="Z89" s="80"/>
      <c r="AA89" s="80"/>
    </row>
    <row r="90" spans="26:28" ht="11.25" customHeight="1" x14ac:dyDescent="0.2">
      <c r="Z90" s="80"/>
      <c r="AA90" s="80"/>
    </row>
    <row r="93" spans="26:28" ht="11.25" customHeight="1" x14ac:dyDescent="0.2">
      <c r="Z93" s="85"/>
      <c r="AA93" s="85"/>
      <c r="AB93" s="85"/>
    </row>
    <row r="132" spans="26:28" ht="11.25" customHeight="1" x14ac:dyDescent="0.2">
      <c r="Z132" s="80"/>
      <c r="AA132" s="80"/>
    </row>
    <row r="133" spans="26:28" ht="11.25" customHeight="1" x14ac:dyDescent="0.2">
      <c r="Z133" s="80"/>
      <c r="AA133" s="80"/>
    </row>
    <row r="134" spans="26:28" ht="11.25" customHeight="1" x14ac:dyDescent="0.2">
      <c r="Z134" s="80"/>
      <c r="AA134" s="80"/>
    </row>
    <row r="137" spans="26:28" ht="11.25" customHeight="1" x14ac:dyDescent="0.2">
      <c r="Z137" s="85"/>
      <c r="AA137" s="85"/>
      <c r="AB137" s="85"/>
    </row>
    <row r="176" spans="26:27" ht="11.25" customHeight="1" x14ac:dyDescent="0.2">
      <c r="Z176" s="80"/>
      <c r="AA176" s="80"/>
    </row>
    <row r="177" spans="26:28" ht="11.25" customHeight="1" x14ac:dyDescent="0.2">
      <c r="Z177" s="80"/>
      <c r="AA177" s="80"/>
    </row>
    <row r="178" spans="26:28" ht="11.25" customHeight="1" x14ac:dyDescent="0.2">
      <c r="Z178" s="80"/>
      <c r="AA178" s="80"/>
    </row>
    <row r="181" spans="26:28" ht="11.25" customHeight="1" x14ac:dyDescent="0.2">
      <c r="Z181" s="85"/>
      <c r="AA181" s="85"/>
      <c r="AB181" s="85"/>
    </row>
    <row r="220" spans="26:27" ht="11.25" customHeight="1" x14ac:dyDescent="0.2">
      <c r="Z220" s="80"/>
      <c r="AA220" s="80"/>
    </row>
    <row r="221" spans="26:27" ht="11.25" customHeight="1" x14ac:dyDescent="0.2">
      <c r="Z221" s="80"/>
      <c r="AA221" s="80"/>
    </row>
    <row r="222" spans="26:27" ht="11.25" customHeight="1" x14ac:dyDescent="0.2">
      <c r="Z222" s="80"/>
      <c r="AA222" s="80"/>
    </row>
    <row r="225" spans="26:28" ht="11.25" customHeight="1" x14ac:dyDescent="0.2">
      <c r="Z225" s="85"/>
      <c r="AA225" s="85"/>
      <c r="AB225" s="85"/>
    </row>
    <row r="264" spans="26:28" ht="11.25" customHeight="1" x14ac:dyDescent="0.2">
      <c r="Z264" s="80"/>
      <c r="AA264" s="80"/>
    </row>
    <row r="265" spans="26:28" ht="11.25" customHeight="1" x14ac:dyDescent="0.2">
      <c r="Z265" s="80"/>
      <c r="AA265" s="80"/>
    </row>
    <row r="266" spans="26:28" ht="11.25" customHeight="1" x14ac:dyDescent="0.2">
      <c r="Z266" s="80"/>
      <c r="AA266" s="80"/>
    </row>
    <row r="269" spans="26:28" ht="11.25" customHeight="1" x14ac:dyDescent="0.2">
      <c r="Z269" s="85"/>
      <c r="AA269" s="85"/>
      <c r="AB269" s="85"/>
    </row>
    <row r="308" spans="26:28" ht="11.25" customHeight="1" x14ac:dyDescent="0.2">
      <c r="Z308" s="80"/>
      <c r="AA308" s="80"/>
    </row>
    <row r="309" spans="26:28" ht="11.25" customHeight="1" x14ac:dyDescent="0.2">
      <c r="Z309" s="80"/>
      <c r="AA309" s="80"/>
    </row>
    <row r="310" spans="26:28" ht="11.25" customHeight="1" x14ac:dyDescent="0.2">
      <c r="Z310" s="80"/>
      <c r="AA310" s="80"/>
    </row>
    <row r="313" spans="26:28" ht="11.25" customHeight="1" x14ac:dyDescent="0.2">
      <c r="Z313" s="85"/>
      <c r="AA313" s="85"/>
      <c r="AB313" s="85"/>
    </row>
    <row r="352" spans="26:27" ht="11.25" customHeight="1" x14ac:dyDescent="0.2">
      <c r="Z352" s="80"/>
      <c r="AA352" s="80"/>
    </row>
    <row r="353" spans="26:28" ht="11.25" customHeight="1" x14ac:dyDescent="0.2">
      <c r="Z353" s="80"/>
      <c r="AA353" s="80"/>
    </row>
    <row r="354" spans="26:28" ht="11.25" customHeight="1" x14ac:dyDescent="0.2">
      <c r="Z354" s="80"/>
      <c r="AA354" s="80"/>
    </row>
    <row r="357" spans="26:28" ht="11.25" customHeight="1" x14ac:dyDescent="0.2">
      <c r="Z357" s="85"/>
      <c r="AA357" s="85"/>
      <c r="AB357" s="85"/>
    </row>
    <row r="396" spans="26:27" ht="11.25" customHeight="1" x14ac:dyDescent="0.2">
      <c r="Z396" s="80"/>
      <c r="AA396" s="80"/>
    </row>
    <row r="397" spans="26:27" ht="11.25" customHeight="1" x14ac:dyDescent="0.2">
      <c r="Z397" s="80"/>
      <c r="AA397" s="80"/>
    </row>
    <row r="398" spans="26:27" ht="11.25" customHeight="1" x14ac:dyDescent="0.2">
      <c r="Z398" s="80"/>
      <c r="AA398" s="80"/>
    </row>
    <row r="401" spans="26:28" ht="11.25" customHeight="1" x14ac:dyDescent="0.2">
      <c r="Z401" s="85"/>
      <c r="AA401" s="85"/>
      <c r="AB401" s="85"/>
    </row>
  </sheetData>
  <sheetProtection selectLockedCells="1"/>
  <mergeCells count="24">
    <mergeCell ref="B47:F48"/>
    <mergeCell ref="B49:F50"/>
    <mergeCell ref="B51:F52"/>
    <mergeCell ref="B6:O6"/>
    <mergeCell ref="B39:B40"/>
    <mergeCell ref="A36:P36"/>
    <mergeCell ref="A35:P35"/>
    <mergeCell ref="B33:E33"/>
    <mergeCell ref="B7:P7"/>
    <mergeCell ref="B41:G42"/>
    <mergeCell ref="B43:G44"/>
    <mergeCell ref="B45:G46"/>
    <mergeCell ref="B53:G54"/>
    <mergeCell ref="B55:G56"/>
    <mergeCell ref="B57:G58"/>
    <mergeCell ref="B59:G60"/>
    <mergeCell ref="B61:G62"/>
    <mergeCell ref="B73:G74"/>
    <mergeCell ref="B75:H76"/>
    <mergeCell ref="B63:G64"/>
    <mergeCell ref="B65:H66"/>
    <mergeCell ref="B67:G68"/>
    <mergeCell ref="B69:G70"/>
    <mergeCell ref="B71:G72"/>
  </mergeCells>
  <phoneticPr fontId="5" type="noConversion"/>
  <conditionalFormatting sqref="B9:E30">
    <cfRule type="expression" dxfId="267" priority="20" stopIfTrue="1">
      <formula>$B9=$T$5</formula>
    </cfRule>
  </conditionalFormatting>
  <conditionalFormatting sqref="A9:A30">
    <cfRule type="containsErrors" dxfId="266" priority="1">
      <formula>ISERROR(A9)</formula>
    </cfRule>
    <cfRule type="cellIs" dxfId="265" priority="2" operator="equal">
      <formula>0</formula>
    </cfRule>
  </conditionalFormatting>
  <hyperlinks>
    <hyperlink ref="B41:B42" location="Coverage!A1" display="Participating LA's"/>
    <hyperlink ref="B43:B44" location="IDACI!A1" display="IDACI"/>
    <hyperlink ref="B73:B74" location="Adoption!A1" display="Adoption"/>
    <hyperlink ref="B71:B72" location="'Looked After Children'!A1" display="Looked After Children"/>
    <hyperlink ref="B69:B70" location="'Court Applications'!A1" display="Court Applications"/>
    <hyperlink ref="B67:B68" location="'Child Protection Plans'!A1" display="Child Protection Plans"/>
    <hyperlink ref="B65:B66" location="'Initial CP Conferences'!A1" display="Initial Child Protection Conferences"/>
    <hyperlink ref="B63:B64" location="'Section 47 Enquiries'!A1" display="Section 47 Enquiries"/>
    <hyperlink ref="B61:B62" location="'Children in Need'!A1" display="Children in Need"/>
    <hyperlink ref="B59:B60" location="Assessments!A1" display="Assessments"/>
    <hyperlink ref="B57:B58" location="'Re-referrals'!A1" display="Re-referrals"/>
    <hyperlink ref="B55:B56" location="Referral_Source!A1" display="Referral Source"/>
    <hyperlink ref="B53:B54" location="Referrals!A1" display="Referrals"/>
    <hyperlink ref="B45:B46" location="Population!A1" display="Population"/>
    <hyperlink ref="B43:G44" location="IDACI!A1" display="IDACI"/>
    <hyperlink ref="B47:B48" location="CAF_EHA!A1" display="CAF (EHA's)"/>
    <hyperlink ref="B51:B52" location="CAF_EHA!A1" display="CAF (EHA's)"/>
    <hyperlink ref="B49:B50" location="CAF_EHA!A1" display="CAF (EHA's)"/>
    <hyperlink ref="B47:F48" location="EH_Referrals!A1" display="Early Help Referrals"/>
    <hyperlink ref="B49:F50" location="EH_Assessments!A1" display="Early Help Assessments"/>
    <hyperlink ref="B51:F52" location="EH_Clients!A1" display="Early Help Clients"/>
    <hyperlink ref="B73:G74" location="Adoption!A1" display="Permanenc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ignoredErrors>
    <ignoredError sqref="A9:A30" evalErro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I397"/>
  <sheetViews>
    <sheetView showRowColHeaders="0" workbookViewId="0"/>
  </sheetViews>
  <sheetFormatPr defaultColWidth="9.140625" defaultRowHeight="11.25" customHeight="1" x14ac:dyDescent="0.2"/>
  <cols>
    <col min="1" max="1" width="2.140625" style="81" customWidth="1"/>
    <col min="2" max="2" width="17.140625" style="81" customWidth="1"/>
    <col min="3" max="7" width="8.7109375" style="81" customWidth="1"/>
    <col min="8" max="8" width="2.140625" style="81" customWidth="1"/>
    <col min="9" max="9" width="10.85546875" style="81" customWidth="1"/>
    <col min="10" max="14" width="10" style="81" customWidth="1"/>
    <col min="15" max="15" width="9.85546875" style="81" customWidth="1"/>
    <col min="16" max="16" width="2.140625" style="81" customWidth="1"/>
    <col min="17" max="17" width="6.42578125" style="81" customWidth="1"/>
    <col min="18" max="18" width="16.140625" style="80" hidden="1" customWidth="1"/>
    <col min="19" max="19" width="9.5703125" style="80" hidden="1" customWidth="1"/>
    <col min="20" max="20" width="20.28515625" style="80" hidden="1" customWidth="1"/>
    <col min="21" max="21" width="14" style="80" hidden="1" customWidth="1"/>
    <col min="22" max="22" width="5.28515625" style="80" hidden="1" customWidth="1"/>
    <col min="23" max="23" width="12.140625" style="81" hidden="1" customWidth="1"/>
    <col min="24" max="24" width="9.140625" style="81" hidden="1" customWidth="1"/>
    <col min="25" max="25" width="12.140625" style="81" customWidth="1"/>
    <col min="26" max="26" width="9.140625" style="81" customWidth="1"/>
    <col min="27" max="16384" width="9.140625" style="81"/>
  </cols>
  <sheetData>
    <row r="1" spans="1:35" s="80" customFormat="1" ht="18.75" customHeight="1" x14ac:dyDescent="0.2">
      <c r="A1" s="129"/>
      <c r="B1" s="130"/>
      <c r="C1" s="130"/>
      <c r="D1" s="130"/>
      <c r="E1" s="130"/>
      <c r="F1" s="130"/>
      <c r="G1" s="130"/>
      <c r="H1" s="130"/>
      <c r="I1" s="130"/>
      <c r="J1" s="130"/>
      <c r="K1" s="130"/>
      <c r="L1" s="130"/>
      <c r="M1" s="130"/>
      <c r="N1" s="130"/>
      <c r="O1" s="130"/>
      <c r="P1" s="132"/>
      <c r="Q1" s="306"/>
      <c r="T1" s="206"/>
      <c r="U1" s="206"/>
      <c r="V1" s="206"/>
      <c r="W1" s="206"/>
      <c r="X1" s="206"/>
      <c r="Y1" s="206"/>
      <c r="Z1" s="206"/>
      <c r="AA1" s="206"/>
      <c r="AB1" s="206"/>
      <c r="AC1" s="206"/>
      <c r="AD1" s="206"/>
      <c r="AE1" s="206"/>
      <c r="AF1" s="206"/>
      <c r="AG1" s="207"/>
      <c r="AH1" s="207"/>
      <c r="AI1" s="207"/>
    </row>
    <row r="2" spans="1:35" s="80" customFormat="1" ht="18.75" customHeight="1" x14ac:dyDescent="0.2">
      <c r="A2" s="309"/>
      <c r="B2" s="145" t="s">
        <v>18</v>
      </c>
      <c r="C2" s="9"/>
      <c r="D2" s="9"/>
      <c r="E2" s="9"/>
      <c r="F2" s="9"/>
      <c r="G2" s="9"/>
      <c r="H2" s="9"/>
      <c r="I2" s="9"/>
      <c r="J2" s="9"/>
      <c r="K2" s="9"/>
      <c r="L2" s="9"/>
      <c r="M2" s="9"/>
      <c r="N2" s="9"/>
      <c r="O2" s="9"/>
      <c r="P2" s="134"/>
      <c r="Q2" s="179"/>
      <c r="T2" s="88"/>
      <c r="U2" s="88"/>
      <c r="V2" s="88"/>
      <c r="W2" s="88"/>
      <c r="X2" s="88"/>
      <c r="Y2" s="88"/>
      <c r="Z2" s="88"/>
      <c r="AA2" s="88"/>
      <c r="AB2" s="88"/>
      <c r="AC2" s="88"/>
      <c r="AD2" s="88"/>
      <c r="AE2" s="88"/>
      <c r="AF2" s="88"/>
      <c r="AG2" s="210"/>
      <c r="AH2" s="210"/>
      <c r="AI2" s="210"/>
    </row>
    <row r="3" spans="1:35" s="80" customFormat="1" ht="18.75" customHeight="1" x14ac:dyDescent="0.2">
      <c r="A3" s="309"/>
      <c r="B3" s="9"/>
      <c r="C3" s="9"/>
      <c r="D3" s="9"/>
      <c r="E3" s="9"/>
      <c r="F3" s="9"/>
      <c r="G3" s="9"/>
      <c r="H3" s="9"/>
      <c r="I3" s="9"/>
      <c r="J3" s="9"/>
      <c r="K3" s="9"/>
      <c r="L3" s="9"/>
      <c r="M3" s="9"/>
      <c r="N3" s="9"/>
      <c r="O3" s="9"/>
      <c r="P3" s="299"/>
      <c r="Q3" s="179"/>
      <c r="T3" s="88"/>
      <c r="U3" s="88"/>
      <c r="V3" s="88"/>
      <c r="W3" s="88"/>
      <c r="X3" s="88"/>
      <c r="Y3" s="88"/>
      <c r="Z3" s="88"/>
      <c r="AA3" s="88"/>
      <c r="AB3" s="88"/>
      <c r="AC3" s="88"/>
      <c r="AD3" s="88"/>
      <c r="AE3" s="88"/>
      <c r="AF3" s="88"/>
      <c r="AG3" s="210"/>
      <c r="AH3" s="210"/>
      <c r="AI3" s="210"/>
    </row>
    <row r="4" spans="1:35" ht="13.5" customHeight="1" x14ac:dyDescent="0.2">
      <c r="A4" s="266"/>
      <c r="B4" s="267"/>
      <c r="C4" s="267"/>
      <c r="D4" s="267"/>
      <c r="E4" s="267"/>
      <c r="F4" s="267"/>
      <c r="G4" s="267"/>
      <c r="H4" s="267"/>
      <c r="I4" s="267"/>
      <c r="J4" s="267"/>
      <c r="K4" s="267"/>
      <c r="L4" s="267"/>
      <c r="M4" s="267"/>
      <c r="N4" s="267"/>
      <c r="O4" s="267"/>
      <c r="P4" s="310"/>
      <c r="Q4" s="108"/>
      <c r="R4" s="90" t="e">
        <f>VLOOKUP(S4,R8:S29,2,FALSE)</f>
        <v>#N/A</v>
      </c>
      <c r="S4" s="83" t="str">
        <f>Home!$D$10</f>
        <v>(none)</v>
      </c>
      <c r="T4" s="84" t="str">
        <f>"Selected LA- "&amp;S4</f>
        <v>Selected LA- (none)</v>
      </c>
    </row>
    <row r="5" spans="1:35" s="85" customFormat="1" ht="15" customHeight="1" x14ac:dyDescent="0.2">
      <c r="A5" s="312"/>
      <c r="B5" s="1013" t="s">
        <v>128</v>
      </c>
      <c r="C5" s="1014"/>
      <c r="D5" s="1014"/>
      <c r="E5" s="1014"/>
      <c r="F5" s="1014"/>
      <c r="G5" s="1014"/>
      <c r="H5" s="1014"/>
      <c r="I5" s="9"/>
      <c r="J5" s="9"/>
      <c r="K5" s="9"/>
      <c r="L5" s="9"/>
      <c r="M5" s="15"/>
      <c r="N5" s="15"/>
      <c r="O5" s="15"/>
      <c r="P5" s="313"/>
      <c r="Q5" s="109"/>
      <c r="R5" s="82"/>
      <c r="S5" s="82"/>
      <c r="T5" s="82"/>
      <c r="U5" s="80"/>
      <c r="V5" s="82"/>
      <c r="W5" s="81"/>
      <c r="X5" s="81"/>
      <c r="Y5" s="81"/>
    </row>
    <row r="6" spans="1:35" ht="13.5" customHeight="1" x14ac:dyDescent="0.2">
      <c r="A6" s="311"/>
      <c r="B6" s="1014"/>
      <c r="C6" s="1014"/>
      <c r="D6" s="1014"/>
      <c r="E6" s="1014"/>
      <c r="F6" s="1014"/>
      <c r="G6" s="1014"/>
      <c r="H6" s="1014"/>
      <c r="I6" s="9"/>
      <c r="J6" s="9"/>
      <c r="K6" s="9"/>
      <c r="L6" s="9"/>
      <c r="M6" s="9"/>
      <c r="N6" s="9"/>
      <c r="O6" s="9"/>
      <c r="P6" s="310"/>
      <c r="Q6" s="108"/>
    </row>
    <row r="7" spans="1:35" ht="36.75" customHeight="1" x14ac:dyDescent="0.2">
      <c r="A7" s="311"/>
      <c r="B7" s="514" t="s">
        <v>215</v>
      </c>
      <c r="C7" s="363" t="s">
        <v>840</v>
      </c>
      <c r="D7" s="197" t="s">
        <v>97</v>
      </c>
      <c r="E7" s="197" t="s">
        <v>127</v>
      </c>
      <c r="F7" s="197" t="s">
        <v>207</v>
      </c>
      <c r="G7" s="198" t="s">
        <v>262</v>
      </c>
      <c r="H7" s="22"/>
      <c r="I7" s="9"/>
      <c r="J7" s="9"/>
      <c r="K7" s="9"/>
      <c r="L7" s="9"/>
      <c r="M7" s="9"/>
      <c r="N7" s="9"/>
      <c r="O7" s="9"/>
      <c r="P7" s="310"/>
      <c r="Q7" s="108"/>
      <c r="U7" s="80" t="s">
        <v>129</v>
      </c>
    </row>
    <row r="8" spans="1:35" s="99" customFormat="1" ht="13.5" customHeight="1" x14ac:dyDescent="0.2">
      <c r="A8" s="533">
        <f>VLOOKUP(B8,Sheet1!$B$4:$C$25,2,FALSE)</f>
        <v>0</v>
      </c>
      <c r="B8" s="831" t="s">
        <v>0</v>
      </c>
      <c r="C8" s="359">
        <v>27100</v>
      </c>
      <c r="D8" s="360">
        <v>27800</v>
      </c>
      <c r="E8" s="360">
        <v>28200</v>
      </c>
      <c r="F8" s="360">
        <v>28174</v>
      </c>
      <c r="G8" s="361">
        <v>28071</v>
      </c>
      <c r="H8" s="96"/>
      <c r="I8" s="97"/>
      <c r="J8" s="97"/>
      <c r="K8" s="97"/>
      <c r="L8" s="97"/>
      <c r="M8" s="97"/>
      <c r="N8" s="97"/>
      <c r="O8" s="97"/>
      <c r="P8" s="315"/>
      <c r="Q8" s="110"/>
      <c r="R8" s="107" t="str">
        <f>B8</f>
        <v>Bracknell Forest</v>
      </c>
      <c r="S8" s="98">
        <v>1</v>
      </c>
      <c r="T8" s="100" t="b">
        <f t="shared" ref="T8:T29" si="0">IF(B8=$S$4,G8)</f>
        <v>0</v>
      </c>
      <c r="U8" s="101">
        <v>28158</v>
      </c>
      <c r="V8" s="101"/>
      <c r="W8" s="99">
        <f>ROUND(U8,-2)</f>
        <v>28200</v>
      </c>
    </row>
    <row r="9" spans="1:35" s="99" customFormat="1" ht="13.5" customHeight="1" x14ac:dyDescent="0.2">
      <c r="A9" s="533">
        <f>VLOOKUP(B9,Sheet1!$B$4:$C$25,2,FALSE)</f>
        <v>0</v>
      </c>
      <c r="B9" s="112" t="s">
        <v>32</v>
      </c>
      <c r="C9" s="359">
        <v>50500</v>
      </c>
      <c r="D9" s="360">
        <v>51000</v>
      </c>
      <c r="E9" s="360">
        <v>51200</v>
      </c>
      <c r="F9" s="360">
        <v>51281</v>
      </c>
      <c r="G9" s="361">
        <v>50981</v>
      </c>
      <c r="H9" s="96"/>
      <c r="I9" s="97"/>
      <c r="J9" s="97"/>
      <c r="K9" s="97"/>
      <c r="L9" s="97"/>
      <c r="M9" s="97"/>
      <c r="N9" s="97"/>
      <c r="O9" s="97"/>
      <c r="P9" s="315"/>
      <c r="Q9" s="110"/>
      <c r="R9" s="107" t="str">
        <f t="shared" ref="R9:R29" si="1">B9</f>
        <v>Brighton &amp; Hove</v>
      </c>
      <c r="S9" s="98">
        <v>2</v>
      </c>
      <c r="T9" s="100" t="b">
        <f t="shared" si="0"/>
        <v>0</v>
      </c>
      <c r="U9" s="101">
        <v>51249</v>
      </c>
      <c r="V9" s="101"/>
      <c r="W9" s="99">
        <f>ROUND(U9,-2)</f>
        <v>51200</v>
      </c>
    </row>
    <row r="10" spans="1:35" s="99" customFormat="1" ht="13.5" customHeight="1" x14ac:dyDescent="0.2">
      <c r="A10" s="533">
        <f>VLOOKUP(B10,Sheet1!$B$4:$C$25,2,FALSE)</f>
        <v>0</v>
      </c>
      <c r="B10" s="831" t="s">
        <v>9</v>
      </c>
      <c r="C10" s="359">
        <v>117600</v>
      </c>
      <c r="D10" s="360">
        <v>118900</v>
      </c>
      <c r="E10" s="360">
        <v>120600</v>
      </c>
      <c r="F10" s="360">
        <v>122205</v>
      </c>
      <c r="G10" s="361">
        <v>123075</v>
      </c>
      <c r="H10" s="96"/>
      <c r="I10" s="97"/>
      <c r="J10" s="97"/>
      <c r="K10" s="97"/>
      <c r="L10" s="97"/>
      <c r="M10" s="97"/>
      <c r="N10" s="97"/>
      <c r="O10" s="97"/>
      <c r="P10" s="315"/>
      <c r="Q10" s="110"/>
      <c r="R10" s="107" t="str">
        <f t="shared" si="1"/>
        <v>Buckinghamshire</v>
      </c>
      <c r="S10" s="98">
        <v>3</v>
      </c>
      <c r="T10" s="100" t="b">
        <f t="shared" si="0"/>
        <v>0</v>
      </c>
      <c r="U10" s="101">
        <v>120643</v>
      </c>
      <c r="V10" s="101"/>
      <c r="W10" s="99">
        <f>ROUND(U10,-2)</f>
        <v>120600</v>
      </c>
    </row>
    <row r="11" spans="1:35" s="99" customFormat="1" ht="13.5" customHeight="1" x14ac:dyDescent="0.2">
      <c r="A11" s="533">
        <f>VLOOKUP(B11,Sheet1!$B$4:$C$25,2,FALSE)</f>
        <v>0</v>
      </c>
      <c r="B11" s="831" t="s">
        <v>4</v>
      </c>
      <c r="C11" s="359">
        <v>104800</v>
      </c>
      <c r="D11" s="360">
        <v>105400</v>
      </c>
      <c r="E11" s="360">
        <v>105900</v>
      </c>
      <c r="F11" s="360">
        <v>105923</v>
      </c>
      <c r="G11" s="361">
        <v>106045</v>
      </c>
      <c r="H11" s="96"/>
      <c r="I11" s="97"/>
      <c r="J11" s="97"/>
      <c r="K11" s="97"/>
      <c r="L11" s="97"/>
      <c r="M11" s="97"/>
      <c r="N11" s="97"/>
      <c r="O11" s="97"/>
      <c r="P11" s="315"/>
      <c r="Q11" s="110"/>
      <c r="R11" s="107" t="str">
        <f t="shared" si="1"/>
        <v>East Sussex</v>
      </c>
      <c r="S11" s="98">
        <v>4</v>
      </c>
      <c r="T11" s="100" t="b">
        <f t="shared" si="0"/>
        <v>0</v>
      </c>
      <c r="U11" s="101">
        <v>105873</v>
      </c>
      <c r="V11" s="101"/>
      <c r="W11" s="99">
        <f>ROUND(U11,-2)</f>
        <v>105900</v>
      </c>
    </row>
    <row r="12" spans="1:35" s="99" customFormat="1" ht="13.5" customHeight="1" x14ac:dyDescent="0.2">
      <c r="A12" s="533">
        <f>VLOOKUP(B12,Sheet1!$B$4:$C$25,2,FALSE)</f>
        <v>0</v>
      </c>
      <c r="B12" s="112" t="s">
        <v>6</v>
      </c>
      <c r="C12" s="359">
        <v>281900</v>
      </c>
      <c r="D12" s="360">
        <v>281500</v>
      </c>
      <c r="E12" s="360">
        <v>281900</v>
      </c>
      <c r="F12" s="360">
        <v>282791</v>
      </c>
      <c r="G12" s="361">
        <v>283314</v>
      </c>
      <c r="H12" s="96"/>
      <c r="I12" s="97"/>
      <c r="J12" s="97"/>
      <c r="K12" s="97"/>
      <c r="L12" s="97"/>
      <c r="M12" s="97"/>
      <c r="N12" s="97"/>
      <c r="O12" s="97"/>
      <c r="P12" s="315"/>
      <c r="Q12" s="110"/>
      <c r="R12" s="107" t="str">
        <f t="shared" si="1"/>
        <v>Hampshire</v>
      </c>
      <c r="S12" s="98">
        <v>5</v>
      </c>
      <c r="T12" s="100" t="b">
        <f t="shared" si="0"/>
        <v>0</v>
      </c>
      <c r="U12" s="101">
        <v>281923</v>
      </c>
      <c r="V12" s="101"/>
      <c r="W12" s="99">
        <f t="shared" ref="W12:W30" si="2">ROUND(U12,-2)</f>
        <v>281900</v>
      </c>
    </row>
    <row r="13" spans="1:35" s="99" customFormat="1" ht="13.5" customHeight="1" x14ac:dyDescent="0.2">
      <c r="A13" s="533">
        <f>VLOOKUP(B13,Sheet1!$B$4:$C$25,2,FALSE)</f>
        <v>0</v>
      </c>
      <c r="B13" s="831" t="s">
        <v>1</v>
      </c>
      <c r="C13" s="359">
        <v>25800</v>
      </c>
      <c r="D13" s="360">
        <v>25500</v>
      </c>
      <c r="E13" s="360">
        <v>25300</v>
      </c>
      <c r="F13" s="360">
        <v>25200</v>
      </c>
      <c r="G13" s="361">
        <v>25055</v>
      </c>
      <c r="H13" s="96"/>
      <c r="I13" s="97"/>
      <c r="J13" s="97"/>
      <c r="K13" s="97"/>
      <c r="L13" s="97"/>
      <c r="M13" s="97"/>
      <c r="N13" s="97"/>
      <c r="O13" s="97"/>
      <c r="P13" s="315"/>
      <c r="Q13" s="110"/>
      <c r="R13" s="107" t="str">
        <f t="shared" si="1"/>
        <v>Isle of Wight</v>
      </c>
      <c r="S13" s="98">
        <v>6</v>
      </c>
      <c r="T13" s="100" t="b">
        <f t="shared" si="0"/>
        <v>0</v>
      </c>
      <c r="U13" s="101">
        <v>25314</v>
      </c>
      <c r="V13" s="101"/>
      <c r="W13" s="99">
        <f t="shared" si="2"/>
        <v>25300</v>
      </c>
    </row>
    <row r="14" spans="1:35" s="99" customFormat="1" ht="13.5" customHeight="1" x14ac:dyDescent="0.2">
      <c r="A14" s="533">
        <f>VLOOKUP(B14,Sheet1!$B$4:$C$25,2,FALSE)</f>
        <v>0</v>
      </c>
      <c r="B14" s="831" t="s">
        <v>10</v>
      </c>
      <c r="C14" s="359">
        <v>325600</v>
      </c>
      <c r="D14" s="360">
        <v>328300</v>
      </c>
      <c r="E14" s="360">
        <v>330400</v>
      </c>
      <c r="F14" s="360">
        <v>333045</v>
      </c>
      <c r="G14" s="361">
        <v>336090</v>
      </c>
      <c r="H14" s="96"/>
      <c r="I14" s="97"/>
      <c r="J14" s="97"/>
      <c r="K14" s="97"/>
      <c r="L14" s="97"/>
      <c r="M14" s="97"/>
      <c r="N14" s="97"/>
      <c r="O14" s="97"/>
      <c r="P14" s="315"/>
      <c r="Q14" s="110"/>
      <c r="R14" s="107" t="str">
        <f t="shared" si="1"/>
        <v>Kent</v>
      </c>
      <c r="S14" s="98">
        <v>7</v>
      </c>
      <c r="T14" s="100" t="b">
        <f t="shared" si="0"/>
        <v>0</v>
      </c>
      <c r="U14" s="101">
        <v>330387</v>
      </c>
      <c r="V14" s="101"/>
      <c r="W14" s="99">
        <f t="shared" si="2"/>
        <v>330400</v>
      </c>
    </row>
    <row r="15" spans="1:35" s="99" customFormat="1" ht="13.5" customHeight="1" x14ac:dyDescent="0.2">
      <c r="A15" s="533">
        <f>VLOOKUP(B15,Sheet1!$B$4:$C$25,2,FALSE)</f>
        <v>0</v>
      </c>
      <c r="B15" s="831" t="s">
        <v>2</v>
      </c>
      <c r="C15" s="359">
        <v>61600</v>
      </c>
      <c r="D15" s="360">
        <v>62500</v>
      </c>
      <c r="E15" s="360">
        <v>63200</v>
      </c>
      <c r="F15" s="360">
        <v>63697</v>
      </c>
      <c r="G15" s="361">
        <v>63943</v>
      </c>
      <c r="H15" s="96"/>
      <c r="I15" s="97"/>
      <c r="J15" s="97"/>
      <c r="K15" s="97"/>
      <c r="L15" s="97"/>
      <c r="M15" s="97"/>
      <c r="N15" s="97"/>
      <c r="O15" s="97"/>
      <c r="P15" s="315"/>
      <c r="Q15" s="110"/>
      <c r="R15" s="107" t="str">
        <f t="shared" si="1"/>
        <v>Medway</v>
      </c>
      <c r="S15" s="98">
        <v>8</v>
      </c>
      <c r="T15" s="100" t="b">
        <f t="shared" si="0"/>
        <v>0</v>
      </c>
      <c r="U15" s="101">
        <v>63173</v>
      </c>
      <c r="V15" s="101"/>
      <c r="W15" s="99">
        <f t="shared" si="2"/>
        <v>63200</v>
      </c>
    </row>
    <row r="16" spans="1:35" s="99" customFormat="1" ht="13.5" customHeight="1" x14ac:dyDescent="0.2">
      <c r="A16" s="533">
        <f>VLOOKUP(B16,Sheet1!$B$4:$C$25,2,FALSE)</f>
        <v>0</v>
      </c>
      <c r="B16" s="831" t="s">
        <v>11</v>
      </c>
      <c r="C16" s="359">
        <v>64000</v>
      </c>
      <c r="D16" s="360">
        <v>65200</v>
      </c>
      <c r="E16" s="360">
        <v>66100</v>
      </c>
      <c r="F16" s="360">
        <v>67146</v>
      </c>
      <c r="G16" s="361">
        <v>67647</v>
      </c>
      <c r="H16" s="96"/>
      <c r="I16" s="97"/>
      <c r="J16" s="97"/>
      <c r="K16" s="97"/>
      <c r="L16" s="97"/>
      <c r="M16" s="97"/>
      <c r="N16" s="97"/>
      <c r="O16" s="97"/>
      <c r="P16" s="315"/>
      <c r="Q16" s="110"/>
      <c r="R16" s="107" t="str">
        <f t="shared" si="1"/>
        <v>Milton Keynes</v>
      </c>
      <c r="S16" s="98">
        <v>9</v>
      </c>
      <c r="T16" s="100" t="b">
        <f t="shared" si="0"/>
        <v>0</v>
      </c>
      <c r="U16" s="101">
        <v>66123</v>
      </c>
      <c r="V16" s="101"/>
      <c r="W16" s="99">
        <f t="shared" si="2"/>
        <v>66100</v>
      </c>
    </row>
    <row r="17" spans="1:23" s="99" customFormat="1" ht="13.5" customHeight="1" x14ac:dyDescent="0.2">
      <c r="A17" s="533">
        <f>VLOOKUP(B17,Sheet1!$B$4:$C$25,2,FALSE)</f>
        <v>0</v>
      </c>
      <c r="B17" s="831" t="s">
        <v>12</v>
      </c>
      <c r="C17" s="359">
        <v>140300</v>
      </c>
      <c r="D17" s="360">
        <v>141200</v>
      </c>
      <c r="E17" s="360">
        <v>141800</v>
      </c>
      <c r="F17" s="360">
        <v>142897</v>
      </c>
      <c r="G17" s="361">
        <v>143444</v>
      </c>
      <c r="H17" s="96"/>
      <c r="I17" s="97"/>
      <c r="J17" s="97"/>
      <c r="K17" s="97"/>
      <c r="L17" s="97"/>
      <c r="M17" s="97"/>
      <c r="N17" s="97"/>
      <c r="O17" s="97"/>
      <c r="P17" s="315"/>
      <c r="Q17" s="110"/>
      <c r="R17" s="107" t="str">
        <f t="shared" si="1"/>
        <v>Oxfordshire</v>
      </c>
      <c r="S17" s="98">
        <v>10</v>
      </c>
      <c r="T17" s="100" t="b">
        <f t="shared" si="0"/>
        <v>0</v>
      </c>
      <c r="U17" s="101">
        <v>141779</v>
      </c>
      <c r="V17" s="101"/>
      <c r="W17" s="99">
        <f t="shared" si="2"/>
        <v>141800</v>
      </c>
    </row>
    <row r="18" spans="1:23" s="99" customFormat="1" ht="13.5" customHeight="1" x14ac:dyDescent="0.2">
      <c r="A18" s="533">
        <f>VLOOKUP(B18,Sheet1!$B$4:$C$25,2,FALSE)</f>
        <v>0</v>
      </c>
      <c r="B18" s="831" t="s">
        <v>13</v>
      </c>
      <c r="C18" s="359">
        <v>42600</v>
      </c>
      <c r="D18" s="360">
        <v>43400</v>
      </c>
      <c r="E18" s="360">
        <v>43800</v>
      </c>
      <c r="F18" s="360">
        <v>44000</v>
      </c>
      <c r="G18" s="361">
        <v>44192</v>
      </c>
      <c r="H18" s="96"/>
      <c r="I18" s="97"/>
      <c r="J18" s="97"/>
      <c r="K18" s="97"/>
      <c r="L18" s="97"/>
      <c r="M18" s="97"/>
      <c r="N18" s="97"/>
      <c r="O18" s="97"/>
      <c r="P18" s="315"/>
      <c r="Q18" s="110"/>
      <c r="R18" s="107" t="str">
        <f t="shared" si="1"/>
        <v>Portsmouth</v>
      </c>
      <c r="S18" s="98">
        <v>11</v>
      </c>
      <c r="T18" s="100" t="b">
        <f t="shared" si="0"/>
        <v>0</v>
      </c>
      <c r="U18" s="101">
        <v>43766</v>
      </c>
      <c r="V18" s="101"/>
      <c r="W18" s="99">
        <f t="shared" si="2"/>
        <v>43800</v>
      </c>
    </row>
    <row r="19" spans="1:23" s="99" customFormat="1" ht="13.5" customHeight="1" x14ac:dyDescent="0.2">
      <c r="A19" s="533">
        <f>VLOOKUP(B19,Sheet1!$B$4:$C$25,2,FALSE)</f>
        <v>0</v>
      </c>
      <c r="B19" s="831" t="s">
        <v>3</v>
      </c>
      <c r="C19" s="359">
        <v>34700</v>
      </c>
      <c r="D19" s="360">
        <v>35900</v>
      </c>
      <c r="E19" s="360">
        <v>36400</v>
      </c>
      <c r="F19" s="360">
        <v>36641</v>
      </c>
      <c r="G19" s="361">
        <v>37093</v>
      </c>
      <c r="H19" s="96"/>
      <c r="I19" s="97"/>
      <c r="J19" s="97"/>
      <c r="K19" s="97"/>
      <c r="L19" s="97"/>
      <c r="M19" s="97"/>
      <c r="N19" s="97"/>
      <c r="O19" s="97"/>
      <c r="P19" s="315"/>
      <c r="Q19" s="110"/>
      <c r="R19" s="107" t="str">
        <f t="shared" si="1"/>
        <v>Reading</v>
      </c>
      <c r="S19" s="98">
        <v>12</v>
      </c>
      <c r="T19" s="100" t="b">
        <f t="shared" si="0"/>
        <v>0</v>
      </c>
      <c r="U19" s="101">
        <v>36433</v>
      </c>
      <c r="V19" s="101"/>
      <c r="W19" s="99">
        <f t="shared" si="2"/>
        <v>36400</v>
      </c>
    </row>
    <row r="20" spans="1:23" s="99" customFormat="1" ht="13.5" customHeight="1" x14ac:dyDescent="0.2">
      <c r="A20" s="533">
        <f>VLOOKUP(B20,Sheet1!$B$4:$C$25,2,FALSE)</f>
        <v>0</v>
      </c>
      <c r="B20" s="831" t="s">
        <v>14</v>
      </c>
      <c r="C20" s="359">
        <v>38900</v>
      </c>
      <c r="D20" s="360">
        <v>39900</v>
      </c>
      <c r="E20" s="360">
        <v>40600</v>
      </c>
      <c r="F20" s="360">
        <v>41406</v>
      </c>
      <c r="G20" s="361">
        <v>42180</v>
      </c>
      <c r="H20" s="96"/>
      <c r="I20" s="97"/>
      <c r="J20" s="97"/>
      <c r="K20" s="97"/>
      <c r="L20" s="97"/>
      <c r="M20" s="97"/>
      <c r="N20" s="97"/>
      <c r="O20" s="97"/>
      <c r="P20" s="315"/>
      <c r="Q20" s="110"/>
      <c r="R20" s="107" t="str">
        <f t="shared" si="1"/>
        <v>Slough</v>
      </c>
      <c r="S20" s="98">
        <v>13</v>
      </c>
      <c r="T20" s="100" t="b">
        <f t="shared" si="0"/>
        <v>0</v>
      </c>
      <c r="U20" s="101">
        <v>40561</v>
      </c>
      <c r="V20" s="101"/>
      <c r="W20" s="99">
        <f t="shared" si="2"/>
        <v>40600</v>
      </c>
    </row>
    <row r="21" spans="1:23" s="99" customFormat="1" ht="13.5" customHeight="1" x14ac:dyDescent="0.2">
      <c r="A21" s="533">
        <f>VLOOKUP(B21,Sheet1!$B$4:$C$25,2,FALSE)</f>
        <v>0</v>
      </c>
      <c r="B21" s="831" t="s">
        <v>93</v>
      </c>
      <c r="C21" s="359">
        <v>108800</v>
      </c>
      <c r="D21" s="360">
        <v>108900</v>
      </c>
      <c r="E21" s="360">
        <v>109200</v>
      </c>
      <c r="F21" s="360">
        <v>109657</v>
      </c>
      <c r="G21" s="361">
        <v>110084</v>
      </c>
      <c r="H21" s="96"/>
      <c r="I21" s="97"/>
      <c r="J21" s="97"/>
      <c r="K21" s="97"/>
      <c r="L21" s="97"/>
      <c r="M21" s="97"/>
      <c r="N21" s="97"/>
      <c r="O21" s="97"/>
      <c r="P21" s="315"/>
      <c r="Q21" s="110"/>
      <c r="R21" s="107" t="str">
        <f t="shared" si="1"/>
        <v>Somerset</v>
      </c>
      <c r="S21" s="98">
        <v>14</v>
      </c>
      <c r="T21" s="100" t="b">
        <f t="shared" si="0"/>
        <v>0</v>
      </c>
      <c r="U21" s="101">
        <v>109183</v>
      </c>
      <c r="V21" s="101"/>
      <c r="W21" s="99">
        <f t="shared" si="2"/>
        <v>109200</v>
      </c>
    </row>
    <row r="22" spans="1:23" s="99" customFormat="1" ht="13.5" customHeight="1" x14ac:dyDescent="0.2">
      <c r="A22" s="533">
        <f>VLOOKUP(B22,Sheet1!$B$4:$C$25,2,FALSE)</f>
        <v>0</v>
      </c>
      <c r="B22" s="831" t="s">
        <v>15</v>
      </c>
      <c r="C22" s="359">
        <v>47400</v>
      </c>
      <c r="D22" s="360">
        <v>48600</v>
      </c>
      <c r="E22" s="360">
        <v>49200</v>
      </c>
      <c r="F22" s="360">
        <v>49901</v>
      </c>
      <c r="G22" s="361">
        <v>50305</v>
      </c>
      <c r="H22" s="96"/>
      <c r="I22" s="97"/>
      <c r="J22" s="97"/>
      <c r="K22" s="97"/>
      <c r="L22" s="97"/>
      <c r="M22" s="97"/>
      <c r="N22" s="97"/>
      <c r="O22" s="97"/>
      <c r="P22" s="315"/>
      <c r="Q22" s="110"/>
      <c r="R22" s="107" t="str">
        <f t="shared" si="1"/>
        <v>Southampton</v>
      </c>
      <c r="S22" s="98">
        <v>15</v>
      </c>
      <c r="T22" s="100" t="b">
        <f t="shared" si="0"/>
        <v>0</v>
      </c>
      <c r="U22" s="101">
        <v>49152</v>
      </c>
      <c r="V22" s="101"/>
      <c r="W22" s="99">
        <f t="shared" si="2"/>
        <v>49200</v>
      </c>
    </row>
    <row r="23" spans="1:23" s="99" customFormat="1" ht="13.5" customHeight="1" x14ac:dyDescent="0.2">
      <c r="A23" s="533">
        <f>VLOOKUP(B23,Sheet1!$B$4:$C$25,2,FALSE)</f>
        <v>0</v>
      </c>
      <c r="B23" s="831" t="s">
        <v>7</v>
      </c>
      <c r="C23" s="359">
        <v>252000</v>
      </c>
      <c r="D23" s="360">
        <v>254600</v>
      </c>
      <c r="E23" s="360">
        <v>256400</v>
      </c>
      <c r="F23" s="360">
        <v>258999</v>
      </c>
      <c r="G23" s="361">
        <v>260305</v>
      </c>
      <c r="H23" s="96"/>
      <c r="I23" s="97"/>
      <c r="J23" s="97"/>
      <c r="K23" s="97"/>
      <c r="L23" s="97"/>
      <c r="M23" s="97"/>
      <c r="N23" s="97"/>
      <c r="O23" s="97"/>
      <c r="P23" s="315"/>
      <c r="Q23" s="110"/>
      <c r="R23" s="107" t="str">
        <f t="shared" si="1"/>
        <v>Surrey</v>
      </c>
      <c r="S23" s="98">
        <v>16</v>
      </c>
      <c r="T23" s="100" t="b">
        <f t="shared" si="0"/>
        <v>0</v>
      </c>
      <c r="U23" s="101">
        <v>256383</v>
      </c>
      <c r="V23" s="101"/>
      <c r="W23" s="99">
        <f t="shared" si="2"/>
        <v>256400</v>
      </c>
    </row>
    <row r="24" spans="1:23" s="99" customFormat="1" ht="13.5" customHeight="1" x14ac:dyDescent="0.2">
      <c r="A24" s="533">
        <f>VLOOKUP(B24,Sheet1!$B$4:$C$25,2,FALSE)</f>
        <v>0</v>
      </c>
      <c r="B24" s="831" t="s">
        <v>116</v>
      </c>
      <c r="C24" s="359">
        <v>47900</v>
      </c>
      <c r="D24" s="360">
        <v>48600</v>
      </c>
      <c r="E24" s="360">
        <v>49000</v>
      </c>
      <c r="F24" s="360">
        <v>49462</v>
      </c>
      <c r="G24" s="361">
        <v>49924</v>
      </c>
      <c r="H24" s="96"/>
      <c r="I24" s="97"/>
      <c r="J24" s="97"/>
      <c r="K24" s="97"/>
      <c r="L24" s="97"/>
      <c r="M24" s="97"/>
      <c r="N24" s="97"/>
      <c r="O24" s="97"/>
      <c r="P24" s="315"/>
      <c r="Q24" s="110"/>
      <c r="R24" s="107" t="str">
        <f t="shared" si="1"/>
        <v>Swindon</v>
      </c>
      <c r="S24" s="98">
        <v>17</v>
      </c>
      <c r="T24" s="100" t="b">
        <f t="shared" si="0"/>
        <v>0</v>
      </c>
      <c r="U24" s="101">
        <v>49026</v>
      </c>
      <c r="V24" s="101"/>
      <c r="W24" s="99">
        <f t="shared" si="2"/>
        <v>49000</v>
      </c>
    </row>
    <row r="25" spans="1:23" s="99" customFormat="1" ht="13.5" customHeight="1" x14ac:dyDescent="0.2">
      <c r="A25" s="533">
        <f>VLOOKUP(B25,Sheet1!$B$4:$C$25,2,FALSE)</f>
        <v>0</v>
      </c>
      <c r="B25" s="831" t="s">
        <v>117</v>
      </c>
      <c r="C25" s="359">
        <v>24800</v>
      </c>
      <c r="D25" s="360">
        <v>25100</v>
      </c>
      <c r="E25" s="360">
        <v>25200</v>
      </c>
      <c r="F25" s="360">
        <v>25373</v>
      </c>
      <c r="G25" s="361">
        <v>25417</v>
      </c>
      <c r="H25" s="96"/>
      <c r="I25" s="97"/>
      <c r="J25" s="97"/>
      <c r="K25" s="97"/>
      <c r="L25" s="97"/>
      <c r="M25" s="97"/>
      <c r="N25" s="97"/>
      <c r="O25" s="97"/>
      <c r="P25" s="315"/>
      <c r="Q25" s="110"/>
      <c r="R25" s="107" t="str">
        <f t="shared" si="1"/>
        <v>Torbay</v>
      </c>
      <c r="S25" s="98">
        <v>18</v>
      </c>
      <c r="T25" s="100" t="b">
        <f t="shared" si="0"/>
        <v>0</v>
      </c>
      <c r="U25" s="101">
        <v>25242</v>
      </c>
      <c r="V25" s="101"/>
      <c r="W25" s="99">
        <f t="shared" si="2"/>
        <v>25200</v>
      </c>
    </row>
    <row r="26" spans="1:23" s="99" customFormat="1" ht="13.5" customHeight="1" x14ac:dyDescent="0.2">
      <c r="A26" s="533">
        <f>VLOOKUP(B26,Sheet1!$B$4:$C$25,2,FALSE)</f>
        <v>0</v>
      </c>
      <c r="B26" s="831" t="s">
        <v>16</v>
      </c>
      <c r="C26" s="359">
        <v>35700</v>
      </c>
      <c r="D26" s="360">
        <v>35600</v>
      </c>
      <c r="E26" s="360">
        <v>35700</v>
      </c>
      <c r="F26" s="360">
        <v>35931</v>
      </c>
      <c r="G26" s="361">
        <v>35790</v>
      </c>
      <c r="H26" s="96"/>
      <c r="I26" s="97"/>
      <c r="J26" s="97"/>
      <c r="K26" s="97"/>
      <c r="L26" s="97"/>
      <c r="M26" s="97"/>
      <c r="N26" s="97"/>
      <c r="O26" s="97"/>
      <c r="P26" s="315"/>
      <c r="Q26" s="110"/>
      <c r="R26" s="107" t="str">
        <f t="shared" si="1"/>
        <v>West Berkshire</v>
      </c>
      <c r="S26" s="98">
        <v>19</v>
      </c>
      <c r="T26" s="100" t="b">
        <f t="shared" si="0"/>
        <v>0</v>
      </c>
      <c r="U26" s="101">
        <v>35681</v>
      </c>
      <c r="V26" s="101"/>
      <c r="W26" s="99">
        <f t="shared" si="2"/>
        <v>35700</v>
      </c>
    </row>
    <row r="27" spans="1:23" s="99" customFormat="1" ht="13.5" customHeight="1" x14ac:dyDescent="0.2">
      <c r="A27" s="533">
        <f>VLOOKUP(B27,Sheet1!$B$4:$C$25,2,FALSE)</f>
        <v>0</v>
      </c>
      <c r="B27" s="831" t="s">
        <v>5</v>
      </c>
      <c r="C27" s="359">
        <v>167000</v>
      </c>
      <c r="D27" s="360">
        <v>168800</v>
      </c>
      <c r="E27" s="360">
        <v>170400</v>
      </c>
      <c r="F27" s="360">
        <v>171761</v>
      </c>
      <c r="G27" s="361">
        <v>173281</v>
      </c>
      <c r="H27" s="96"/>
      <c r="I27" s="97"/>
      <c r="J27" s="97"/>
      <c r="K27" s="97"/>
      <c r="L27" s="97"/>
      <c r="M27" s="97"/>
      <c r="N27" s="97"/>
      <c r="O27" s="97"/>
      <c r="P27" s="315"/>
      <c r="Q27" s="110"/>
      <c r="R27" s="107" t="str">
        <f t="shared" si="1"/>
        <v>West Sussex</v>
      </c>
      <c r="S27" s="98">
        <v>20</v>
      </c>
      <c r="T27" s="100" t="b">
        <f t="shared" si="0"/>
        <v>0</v>
      </c>
      <c r="U27" s="101">
        <v>170439</v>
      </c>
      <c r="V27" s="101"/>
      <c r="W27" s="99">
        <f t="shared" si="2"/>
        <v>170400</v>
      </c>
    </row>
    <row r="28" spans="1:23" s="99" customFormat="1" ht="13.5" customHeight="1" x14ac:dyDescent="0.2">
      <c r="A28" s="533">
        <f>VLOOKUP(B28,Sheet1!$B$4:$C$25,2,FALSE)</f>
        <v>0</v>
      </c>
      <c r="B28" s="112" t="s">
        <v>31</v>
      </c>
      <c r="C28" s="359">
        <v>33300</v>
      </c>
      <c r="D28" s="360">
        <v>33400</v>
      </c>
      <c r="E28" s="360">
        <v>33700</v>
      </c>
      <c r="F28" s="360">
        <v>34176</v>
      </c>
      <c r="G28" s="361">
        <v>34352</v>
      </c>
      <c r="H28" s="96"/>
      <c r="I28" s="97"/>
      <c r="J28" s="97"/>
      <c r="K28" s="97"/>
      <c r="L28" s="97"/>
      <c r="M28" s="97"/>
      <c r="N28" s="97"/>
      <c r="O28" s="97"/>
      <c r="P28" s="315"/>
      <c r="Q28" s="110"/>
      <c r="R28" s="107" t="str">
        <f t="shared" si="1"/>
        <v>Windsor &amp; Maidenhead</v>
      </c>
      <c r="S28" s="98">
        <v>21</v>
      </c>
      <c r="T28" s="100" t="b">
        <f t="shared" si="0"/>
        <v>0</v>
      </c>
      <c r="U28" s="101">
        <v>33746</v>
      </c>
      <c r="V28" s="101"/>
      <c r="W28" s="99">
        <f t="shared" si="2"/>
        <v>33700</v>
      </c>
    </row>
    <row r="29" spans="1:23" s="99" customFormat="1" ht="13.5" customHeight="1" x14ac:dyDescent="0.2">
      <c r="A29" s="533">
        <f>VLOOKUP(B29,Sheet1!$B$4:$C$25,2,FALSE)</f>
        <v>0</v>
      </c>
      <c r="B29" s="831" t="s">
        <v>17</v>
      </c>
      <c r="C29" s="359">
        <v>36200</v>
      </c>
      <c r="D29" s="360">
        <v>36900</v>
      </c>
      <c r="E29" s="360">
        <v>37300</v>
      </c>
      <c r="F29" s="360">
        <v>38019</v>
      </c>
      <c r="G29" s="361">
        <v>38702</v>
      </c>
      <c r="H29" s="96"/>
      <c r="I29" s="97"/>
      <c r="J29" s="97"/>
      <c r="K29" s="97"/>
      <c r="L29" s="97"/>
      <c r="M29" s="97"/>
      <c r="N29" s="97"/>
      <c r="O29" s="97"/>
      <c r="P29" s="315"/>
      <c r="Q29" s="110"/>
      <c r="R29" s="107" t="str">
        <f t="shared" si="1"/>
        <v>Wokingham</v>
      </c>
      <c r="S29" s="98">
        <v>22</v>
      </c>
      <c r="T29" s="100" t="b">
        <f t="shared" si="0"/>
        <v>0</v>
      </c>
      <c r="U29" s="101">
        <v>37292</v>
      </c>
      <c r="V29" s="101"/>
      <c r="W29" s="99">
        <f t="shared" si="2"/>
        <v>37300</v>
      </c>
    </row>
    <row r="30" spans="1:23" s="99" customFormat="1" ht="13.5" customHeight="1" x14ac:dyDescent="0.2">
      <c r="A30" s="314"/>
      <c r="B30" s="146" t="s">
        <v>74</v>
      </c>
      <c r="C30" s="367">
        <v>1886800</v>
      </c>
      <c r="D30" s="368">
        <v>1904200</v>
      </c>
      <c r="E30" s="368">
        <v>1918100</v>
      </c>
      <c r="F30" s="368">
        <v>1933193</v>
      </c>
      <c r="G30" s="369">
        <v>1943865</v>
      </c>
      <c r="H30" s="96"/>
      <c r="I30" s="97"/>
      <c r="J30" s="97"/>
      <c r="K30" s="97"/>
      <c r="L30" s="97"/>
      <c r="M30" s="97"/>
      <c r="N30" s="97"/>
      <c r="O30" s="97"/>
      <c r="P30" s="315"/>
      <c r="Q30" s="110"/>
      <c r="R30" s="101"/>
      <c r="S30" s="101"/>
      <c r="T30" s="101"/>
      <c r="U30" s="101">
        <v>1918075</v>
      </c>
      <c r="V30" s="101"/>
      <c r="W30" s="99">
        <f t="shared" si="2"/>
        <v>1918100</v>
      </c>
    </row>
    <row r="31" spans="1:23" s="99" customFormat="1" ht="13.5" customHeight="1" x14ac:dyDescent="0.2">
      <c r="A31" s="314"/>
      <c r="B31" s="832" t="s">
        <v>130</v>
      </c>
      <c r="C31" s="364">
        <v>11478900</v>
      </c>
      <c r="D31" s="365">
        <v>11591700</v>
      </c>
      <c r="E31" s="365">
        <v>11677900</v>
      </c>
      <c r="F31" s="365">
        <v>11785277</v>
      </c>
      <c r="G31" s="366">
        <v>11866957</v>
      </c>
      <c r="H31" s="96"/>
      <c r="I31" s="97"/>
      <c r="J31" s="97"/>
      <c r="K31" s="97"/>
      <c r="L31" s="97"/>
      <c r="M31" s="97"/>
      <c r="N31" s="97"/>
      <c r="O31" s="97"/>
      <c r="P31" s="315"/>
      <c r="Q31" s="110"/>
      <c r="R31" s="101"/>
      <c r="S31" s="101"/>
      <c r="T31" s="101"/>
      <c r="U31" s="101"/>
      <c r="V31" s="101"/>
    </row>
    <row r="32" spans="1:23" ht="38.25" customHeight="1" x14ac:dyDescent="0.2">
      <c r="A32" s="311"/>
      <c r="B32" s="1017" t="s">
        <v>841</v>
      </c>
      <c r="C32" s="1017"/>
      <c r="D32" s="1017"/>
      <c r="E32" s="1017"/>
      <c r="F32" s="1017"/>
      <c r="G32" s="1017"/>
      <c r="H32" s="1017"/>
      <c r="I32" s="9"/>
      <c r="J32" s="9"/>
      <c r="K32" s="9"/>
      <c r="L32" s="9"/>
      <c r="M32" s="9"/>
      <c r="N32" s="9"/>
      <c r="O32" s="9"/>
      <c r="P32" s="310"/>
      <c r="Q32" s="108"/>
    </row>
    <row r="33" spans="1:32" ht="7.5" customHeight="1" x14ac:dyDescent="0.2">
      <c r="A33" s="311"/>
      <c r="B33" s="21"/>
      <c r="C33" s="21"/>
      <c r="D33" s="21"/>
      <c r="E33" s="21"/>
      <c r="F33" s="21"/>
      <c r="G33" s="21"/>
      <c r="H33" s="21"/>
      <c r="I33" s="21"/>
      <c r="J33" s="21"/>
      <c r="K33" s="21"/>
      <c r="L33" s="21"/>
      <c r="M33" s="21"/>
      <c r="N33" s="21"/>
      <c r="O33" s="22"/>
      <c r="P33" s="310"/>
      <c r="Q33" s="108"/>
    </row>
    <row r="34" spans="1:32" ht="15" customHeight="1" x14ac:dyDescent="0.2">
      <c r="A34" s="316"/>
      <c r="B34" s="16"/>
      <c r="C34" s="16"/>
      <c r="D34" s="16"/>
      <c r="E34" s="16"/>
      <c r="F34" s="16"/>
      <c r="G34" s="16"/>
      <c r="H34" s="16"/>
      <c r="I34" s="16"/>
      <c r="J34" s="16"/>
      <c r="K34" s="16"/>
      <c r="L34" s="16"/>
      <c r="M34" s="16"/>
      <c r="N34" s="16"/>
      <c r="O34" s="16"/>
      <c r="P34" s="310"/>
      <c r="Q34" s="108"/>
    </row>
    <row r="35" spans="1:32" ht="11.25" customHeight="1" x14ac:dyDescent="0.2">
      <c r="A35" s="271"/>
      <c r="B35" s="272"/>
      <c r="C35" s="294"/>
      <c r="D35" s="294"/>
      <c r="E35" s="294"/>
      <c r="F35" s="294"/>
      <c r="G35" s="272"/>
      <c r="H35" s="272"/>
      <c r="I35" s="272"/>
      <c r="J35" s="272"/>
      <c r="K35" s="272"/>
      <c r="L35" s="272"/>
      <c r="M35" s="272"/>
      <c r="N35" s="272"/>
      <c r="O35" s="272"/>
      <c r="P35" s="317"/>
      <c r="Q35" s="108"/>
    </row>
    <row r="36" spans="1:32" s="80" customFormat="1" ht="11.25" customHeight="1" x14ac:dyDescent="0.2">
      <c r="A36" s="102"/>
      <c r="B36" s="58"/>
      <c r="C36" s="58"/>
      <c r="D36" s="58"/>
      <c r="E36" s="58"/>
      <c r="F36" s="58"/>
      <c r="G36" s="58"/>
      <c r="H36" s="58"/>
      <c r="I36" s="58"/>
      <c r="J36" s="58"/>
      <c r="K36" s="58"/>
      <c r="L36" s="58"/>
      <c r="M36" s="58"/>
      <c r="N36" s="58"/>
      <c r="O36" s="58"/>
      <c r="P36" s="58"/>
      <c r="Q36" s="92"/>
      <c r="S36" s="87"/>
      <c r="T36" s="88"/>
      <c r="U36" s="88"/>
      <c r="V36" s="88"/>
      <c r="W36" s="88"/>
      <c r="X36" s="88"/>
      <c r="Y36" s="88"/>
      <c r="Z36" s="88"/>
      <c r="AA36" s="89"/>
      <c r="AB36" s="88"/>
      <c r="AC36" s="88"/>
      <c r="AF36" s="81"/>
    </row>
    <row r="37" spans="1:32" s="80" customFormat="1" ht="11.25" customHeight="1" x14ac:dyDescent="0.2">
      <c r="A37" s="102"/>
      <c r="B37" s="58"/>
      <c r="C37" s="58"/>
      <c r="D37" s="58"/>
      <c r="E37" s="58"/>
      <c r="F37" s="58"/>
      <c r="G37" s="58"/>
      <c r="H37" s="58"/>
      <c r="I37" s="58"/>
      <c r="J37" s="58"/>
      <c r="K37" s="58"/>
      <c r="L37" s="58"/>
      <c r="M37" s="58"/>
      <c r="N37" s="58"/>
      <c r="O37" s="58"/>
      <c r="P37" s="58"/>
      <c r="Q37" s="92"/>
      <c r="S37" s="87"/>
      <c r="T37" s="88"/>
      <c r="U37" s="88"/>
      <c r="V37" s="88"/>
      <c r="W37" s="88"/>
      <c r="X37" s="88"/>
      <c r="Y37" s="88"/>
      <c r="Z37" s="88"/>
      <c r="AA37" s="89"/>
      <c r="AB37" s="88"/>
      <c r="AC37" s="88"/>
      <c r="AF37" s="81"/>
    </row>
    <row r="38" spans="1:32" s="80" customFormat="1" ht="11.25" customHeight="1" x14ac:dyDescent="0.2">
      <c r="A38" s="102"/>
      <c r="B38" s="1015" t="s">
        <v>82</v>
      </c>
      <c r="C38" s="63"/>
      <c r="D38" s="63"/>
      <c r="E38" s="63"/>
      <c r="F38" s="63"/>
      <c r="G38" s="63"/>
      <c r="H38" s="63"/>
      <c r="I38" s="58"/>
      <c r="J38" s="58"/>
      <c r="K38" s="58"/>
      <c r="L38" s="58"/>
      <c r="M38" s="58"/>
      <c r="N38" s="58"/>
      <c r="O38" s="58"/>
      <c r="P38" s="58"/>
      <c r="Q38" s="92"/>
      <c r="S38" s="87"/>
      <c r="T38" s="88"/>
      <c r="U38" s="88"/>
      <c r="V38" s="88"/>
      <c r="W38" s="88"/>
      <c r="X38" s="88"/>
      <c r="Y38" s="88"/>
      <c r="Z38" s="88"/>
      <c r="AA38" s="89"/>
      <c r="AB38" s="88"/>
      <c r="AC38" s="88"/>
      <c r="AF38" s="81"/>
    </row>
    <row r="39" spans="1:32" s="80" customFormat="1" ht="11.25" customHeight="1" x14ac:dyDescent="0.2">
      <c r="A39" s="102"/>
      <c r="B39" s="1016"/>
      <c r="C39" s="58"/>
      <c r="D39" s="58"/>
      <c r="E39" s="58"/>
      <c r="F39" s="58"/>
      <c r="G39" s="58"/>
      <c r="H39" s="58"/>
      <c r="I39" s="58"/>
      <c r="J39" s="58"/>
      <c r="K39" s="58"/>
      <c r="L39" s="58"/>
      <c r="M39" s="58"/>
      <c r="N39" s="58"/>
      <c r="O39" s="58"/>
      <c r="P39" s="58"/>
      <c r="Q39" s="92"/>
      <c r="S39" s="87"/>
      <c r="T39" s="88"/>
      <c r="U39" s="88"/>
      <c r="V39" s="88"/>
      <c r="W39" s="88"/>
      <c r="X39" s="88"/>
      <c r="Y39" s="88"/>
      <c r="Z39" s="88"/>
      <c r="AA39" s="89"/>
      <c r="AB39" s="88"/>
      <c r="AC39" s="88"/>
      <c r="AD39" s="81"/>
      <c r="AE39" s="81"/>
      <c r="AF39" s="81"/>
    </row>
    <row r="40" spans="1:32" s="80" customFormat="1" ht="11.25" customHeight="1" x14ac:dyDescent="0.2">
      <c r="A40" s="102"/>
      <c r="B40" s="973" t="s">
        <v>81</v>
      </c>
      <c r="C40" s="974"/>
      <c r="D40" s="974"/>
      <c r="E40" s="974"/>
      <c r="F40" s="974"/>
      <c r="G40" s="974"/>
      <c r="H40" s="9"/>
      <c r="I40" s="58"/>
      <c r="J40" s="58"/>
      <c r="K40" s="58"/>
      <c r="L40" s="58"/>
      <c r="M40" s="58"/>
      <c r="N40" s="58"/>
      <c r="O40" s="58"/>
      <c r="P40" s="58"/>
      <c r="Q40" s="92"/>
      <c r="S40" s="87"/>
      <c r="T40" s="88"/>
      <c r="U40" s="88"/>
      <c r="V40" s="88"/>
      <c r="W40" s="88"/>
      <c r="X40" s="88"/>
      <c r="Y40" s="88"/>
      <c r="Z40" s="88"/>
      <c r="AA40" s="89"/>
      <c r="AB40" s="88"/>
      <c r="AC40" s="88"/>
      <c r="AD40" s="81"/>
      <c r="AE40" s="81"/>
      <c r="AF40" s="81"/>
    </row>
    <row r="41" spans="1:32" s="80" customFormat="1" ht="11.25" customHeight="1" x14ac:dyDescent="0.2">
      <c r="A41" s="102"/>
      <c r="B41" s="973"/>
      <c r="C41" s="974"/>
      <c r="D41" s="974"/>
      <c r="E41" s="974"/>
      <c r="F41" s="974"/>
      <c r="G41" s="974"/>
      <c r="H41" s="9"/>
      <c r="I41" s="58"/>
      <c r="J41" s="58"/>
      <c r="K41" s="58"/>
      <c r="L41" s="58"/>
      <c r="M41" s="58"/>
      <c r="N41" s="58"/>
      <c r="O41" s="58"/>
      <c r="P41" s="58"/>
      <c r="Q41" s="92"/>
      <c r="S41" s="87"/>
      <c r="T41" s="88"/>
      <c r="U41" s="88"/>
      <c r="V41" s="88"/>
      <c r="W41" s="88"/>
      <c r="X41" s="88"/>
      <c r="Y41" s="88"/>
      <c r="Z41" s="88"/>
      <c r="AA41" s="89"/>
      <c r="AB41" s="88"/>
      <c r="AC41" s="88"/>
      <c r="AD41" s="85"/>
      <c r="AE41" s="85"/>
      <c r="AF41" s="85"/>
    </row>
    <row r="42" spans="1:32" s="82" customFormat="1" ht="11.25" customHeight="1" x14ac:dyDescent="0.2">
      <c r="A42" s="102"/>
      <c r="B42" s="973" t="s">
        <v>78</v>
      </c>
      <c r="C42" s="975"/>
      <c r="D42" s="975"/>
      <c r="E42" s="975"/>
      <c r="F42" s="975"/>
      <c r="G42" s="975"/>
      <c r="H42" s="15"/>
      <c r="I42" s="63"/>
      <c r="J42" s="63"/>
      <c r="K42" s="63"/>
      <c r="L42" s="63"/>
      <c r="M42" s="63"/>
      <c r="N42" s="63"/>
      <c r="O42" s="63"/>
      <c r="P42" s="63"/>
      <c r="Q42" s="93"/>
      <c r="T42" s="88"/>
      <c r="U42" s="88"/>
      <c r="V42" s="88"/>
      <c r="W42" s="88"/>
      <c r="X42" s="88"/>
      <c r="Y42" s="88"/>
      <c r="Z42" s="88"/>
      <c r="AA42" s="89"/>
      <c r="AB42" s="88"/>
      <c r="AC42" s="88"/>
      <c r="AD42" s="81"/>
      <c r="AE42" s="81"/>
      <c r="AF42" s="81"/>
    </row>
    <row r="43" spans="1:32" s="80" customFormat="1" ht="11.25" customHeight="1" x14ac:dyDescent="0.2">
      <c r="A43" s="102"/>
      <c r="B43" s="973"/>
      <c r="C43" s="975"/>
      <c r="D43" s="975"/>
      <c r="E43" s="975"/>
      <c r="F43" s="975"/>
      <c r="G43" s="975"/>
      <c r="H43" s="9"/>
      <c r="I43" s="58"/>
      <c r="J43" s="58"/>
      <c r="K43" s="58"/>
      <c r="L43" s="58"/>
      <c r="M43" s="58"/>
      <c r="N43" s="58"/>
      <c r="O43" s="58"/>
      <c r="P43" s="58"/>
      <c r="Q43" s="92"/>
      <c r="S43" s="87"/>
      <c r="T43" s="88"/>
      <c r="U43" s="88"/>
      <c r="V43" s="88"/>
      <c r="W43" s="88"/>
      <c r="X43" s="88"/>
      <c r="Y43" s="88"/>
      <c r="Z43" s="88"/>
      <c r="AA43" s="89"/>
      <c r="AB43" s="88"/>
      <c r="AC43" s="88"/>
      <c r="AD43" s="81"/>
      <c r="AE43" s="81"/>
      <c r="AF43" s="81"/>
    </row>
    <row r="44" spans="1:32" s="80" customFormat="1" ht="11.25" customHeight="1" x14ac:dyDescent="0.2">
      <c r="A44" s="102"/>
      <c r="B44" s="976" t="s">
        <v>18</v>
      </c>
      <c r="C44" s="977"/>
      <c r="D44" s="977"/>
      <c r="E44" s="977"/>
      <c r="F44" s="977"/>
      <c r="G44" s="977"/>
      <c r="H44" s="9"/>
      <c r="I44" s="58"/>
      <c r="J44" s="58"/>
      <c r="K44" s="58"/>
      <c r="L44" s="58"/>
      <c r="M44" s="58"/>
      <c r="N44" s="58"/>
      <c r="O44" s="58"/>
      <c r="P44" s="58"/>
      <c r="Q44" s="92"/>
      <c r="S44" s="87"/>
      <c r="T44" s="88"/>
      <c r="U44" s="88"/>
      <c r="V44" s="88"/>
      <c r="W44" s="88"/>
      <c r="X44" s="88"/>
      <c r="Y44" s="88"/>
      <c r="Z44" s="88"/>
      <c r="AA44" s="89"/>
      <c r="AB44" s="88"/>
      <c r="AC44" s="88"/>
      <c r="AD44" s="81"/>
      <c r="AE44" s="81"/>
      <c r="AF44" s="81"/>
    </row>
    <row r="45" spans="1:32" s="80" customFormat="1" ht="11.25" customHeight="1" x14ac:dyDescent="0.2">
      <c r="A45" s="102"/>
      <c r="B45" s="976"/>
      <c r="C45" s="977"/>
      <c r="D45" s="977"/>
      <c r="E45" s="977"/>
      <c r="F45" s="977"/>
      <c r="G45" s="977"/>
      <c r="H45" s="9"/>
      <c r="I45" s="58"/>
      <c r="J45" s="58"/>
      <c r="K45" s="58"/>
      <c r="L45" s="58"/>
      <c r="M45" s="58"/>
      <c r="N45" s="58"/>
      <c r="O45" s="58"/>
      <c r="P45" s="58"/>
      <c r="Q45" s="92"/>
      <c r="S45" s="87"/>
      <c r="T45" s="88"/>
      <c r="U45" s="88"/>
      <c r="V45" s="88"/>
      <c r="W45" s="88"/>
      <c r="X45" s="88"/>
      <c r="Y45" s="88"/>
      <c r="Z45" s="88"/>
      <c r="AA45" s="89"/>
      <c r="AB45" s="88"/>
      <c r="AC45" s="88"/>
      <c r="AD45" s="81"/>
      <c r="AE45" s="81"/>
      <c r="AF45" s="81"/>
    </row>
    <row r="46" spans="1:32" s="80" customFormat="1" ht="11.25" customHeight="1" x14ac:dyDescent="0.2">
      <c r="A46" s="158"/>
      <c r="B46" s="976" t="s">
        <v>210</v>
      </c>
      <c r="C46" s="976"/>
      <c r="D46" s="978"/>
      <c r="E46" s="978"/>
      <c r="F46" s="978"/>
      <c r="G46" s="924"/>
      <c r="H46" s="9"/>
      <c r="I46" s="9"/>
      <c r="J46" s="13"/>
      <c r="K46" s="9"/>
      <c r="L46" s="9"/>
      <c r="M46" s="9"/>
      <c r="N46" s="9"/>
      <c r="O46" s="9"/>
      <c r="P46" s="9"/>
      <c r="Q46" s="279"/>
      <c r="R46" s="281"/>
      <c r="S46" s="9"/>
      <c r="T46" s="9"/>
      <c r="U46" s="11"/>
      <c r="V46" s="88"/>
      <c r="W46" s="88"/>
      <c r="X46" s="88"/>
      <c r="Y46" s="88"/>
      <c r="Z46" s="88"/>
      <c r="AA46" s="88"/>
      <c r="AB46" s="89"/>
      <c r="AD46" s="81"/>
      <c r="AE46" s="81"/>
    </row>
    <row r="47" spans="1:32" s="80" customFormat="1" ht="11.25" customHeight="1" x14ac:dyDescent="0.2">
      <c r="A47" s="158"/>
      <c r="B47" s="976"/>
      <c r="C47" s="976"/>
      <c r="D47" s="978"/>
      <c r="E47" s="978"/>
      <c r="F47" s="978"/>
      <c r="G47" s="924"/>
      <c r="H47" s="9"/>
      <c r="I47" s="9"/>
      <c r="J47" s="13"/>
      <c r="K47" s="9"/>
      <c r="L47" s="9"/>
      <c r="M47" s="9"/>
      <c r="N47" s="9"/>
      <c r="O47" s="9"/>
      <c r="P47" s="9"/>
      <c r="Q47" s="279"/>
      <c r="R47" s="281"/>
      <c r="S47" s="9"/>
      <c r="T47" s="9"/>
      <c r="U47" s="11"/>
      <c r="V47" s="88"/>
      <c r="W47" s="88"/>
      <c r="X47" s="88"/>
      <c r="Y47" s="88"/>
      <c r="Z47" s="88"/>
      <c r="AA47" s="88"/>
      <c r="AB47" s="89"/>
      <c r="AD47" s="81"/>
      <c r="AE47" s="81"/>
    </row>
    <row r="48" spans="1:32" s="80" customFormat="1" ht="11.25" customHeight="1" x14ac:dyDescent="0.2">
      <c r="A48" s="158"/>
      <c r="B48" s="976" t="s">
        <v>211</v>
      </c>
      <c r="C48" s="976"/>
      <c r="D48" s="978"/>
      <c r="E48" s="978"/>
      <c r="F48" s="978"/>
      <c r="G48" s="924"/>
      <c r="H48" s="9"/>
      <c r="I48" s="9"/>
      <c r="J48" s="13"/>
      <c r="K48" s="9"/>
      <c r="L48" s="9"/>
      <c r="M48" s="9"/>
      <c r="N48" s="9"/>
      <c r="O48" s="9"/>
      <c r="P48" s="9"/>
      <c r="Q48" s="279"/>
      <c r="R48" s="281"/>
      <c r="S48" s="9"/>
      <c r="T48" s="9"/>
      <c r="U48" s="11"/>
      <c r="V48" s="88"/>
      <c r="W48" s="88"/>
      <c r="X48" s="88"/>
      <c r="Y48" s="88"/>
      <c r="Z48" s="88"/>
      <c r="AA48" s="88"/>
      <c r="AB48" s="89"/>
      <c r="AD48" s="81"/>
      <c r="AE48" s="81"/>
    </row>
    <row r="49" spans="1:32" s="80" customFormat="1" ht="11.25" customHeight="1" x14ac:dyDescent="0.2">
      <c r="A49" s="158"/>
      <c r="B49" s="976"/>
      <c r="C49" s="976"/>
      <c r="D49" s="978"/>
      <c r="E49" s="978"/>
      <c r="F49" s="978"/>
      <c r="G49" s="924"/>
      <c r="H49" s="9"/>
      <c r="I49" s="9"/>
      <c r="J49" s="13"/>
      <c r="K49" s="9"/>
      <c r="L49" s="9"/>
      <c r="M49" s="9"/>
      <c r="N49" s="9"/>
      <c r="O49" s="9"/>
      <c r="P49" s="9"/>
      <c r="Q49" s="279"/>
      <c r="R49" s="281"/>
      <c r="S49" s="9"/>
      <c r="T49" s="9"/>
      <c r="U49" s="11"/>
      <c r="V49" s="88"/>
      <c r="W49" s="88"/>
      <c r="X49" s="88"/>
      <c r="Y49" s="88"/>
      <c r="Z49" s="88"/>
      <c r="AA49" s="88"/>
      <c r="AB49" s="89"/>
      <c r="AD49" s="81"/>
      <c r="AE49" s="81"/>
    </row>
    <row r="50" spans="1:32" s="80" customFormat="1" ht="11.25" customHeight="1" x14ac:dyDescent="0.2">
      <c r="A50" s="158"/>
      <c r="B50" s="976" t="s">
        <v>212</v>
      </c>
      <c r="C50" s="976"/>
      <c r="D50" s="978"/>
      <c r="E50" s="978"/>
      <c r="F50" s="978"/>
      <c r="G50" s="924"/>
      <c r="H50" s="9"/>
      <c r="I50" s="9"/>
      <c r="J50" s="13"/>
      <c r="K50" s="9"/>
      <c r="L50" s="9"/>
      <c r="M50" s="9"/>
      <c r="N50" s="9"/>
      <c r="O50" s="9"/>
      <c r="P50" s="9"/>
      <c r="Q50" s="279"/>
      <c r="R50" s="281"/>
      <c r="S50" s="9"/>
      <c r="T50" s="9"/>
      <c r="U50" s="11"/>
      <c r="V50" s="88"/>
      <c r="W50" s="88"/>
      <c r="X50" s="88"/>
      <c r="Y50" s="88"/>
      <c r="Z50" s="88"/>
      <c r="AA50" s="88"/>
      <c r="AB50" s="89"/>
      <c r="AD50" s="81"/>
      <c r="AE50" s="81"/>
    </row>
    <row r="51" spans="1:32" s="80" customFormat="1" ht="11.25" customHeight="1" x14ac:dyDescent="0.2">
      <c r="A51" s="158"/>
      <c r="B51" s="976"/>
      <c r="C51" s="976"/>
      <c r="D51" s="978"/>
      <c r="E51" s="978"/>
      <c r="F51" s="978"/>
      <c r="G51" s="924"/>
      <c r="H51" s="9"/>
      <c r="I51" s="9"/>
      <c r="J51" s="13"/>
      <c r="K51" s="9"/>
      <c r="L51" s="9"/>
      <c r="M51" s="9"/>
      <c r="N51" s="9"/>
      <c r="O51" s="9"/>
      <c r="P51" s="9"/>
      <c r="Q51" s="279"/>
      <c r="R51" s="281"/>
      <c r="S51" s="9"/>
      <c r="T51" s="9"/>
      <c r="U51" s="11"/>
      <c r="V51" s="88"/>
      <c r="W51" s="88"/>
      <c r="X51" s="88"/>
      <c r="Y51" s="88"/>
      <c r="Z51" s="88"/>
      <c r="AA51" s="88"/>
      <c r="AB51" s="89"/>
      <c r="AD51" s="81"/>
      <c r="AE51" s="81"/>
    </row>
    <row r="52" spans="1:32" s="80" customFormat="1" ht="11.25" customHeight="1" x14ac:dyDescent="0.2">
      <c r="A52" s="102"/>
      <c r="B52" s="973" t="s">
        <v>80</v>
      </c>
      <c r="C52" s="974"/>
      <c r="D52" s="974"/>
      <c r="E52" s="974"/>
      <c r="F52" s="974"/>
      <c r="G52" s="974"/>
      <c r="H52" s="9"/>
      <c r="I52" s="58"/>
      <c r="J52" s="58"/>
      <c r="K52" s="58"/>
      <c r="L52" s="58"/>
      <c r="M52" s="58"/>
      <c r="N52" s="58"/>
      <c r="O52" s="58"/>
      <c r="P52" s="58"/>
      <c r="Q52" s="175"/>
      <c r="S52" s="87"/>
      <c r="T52" s="88"/>
      <c r="U52" s="88"/>
      <c r="V52" s="88"/>
      <c r="W52" s="88"/>
      <c r="X52" s="88"/>
      <c r="Y52" s="88"/>
      <c r="Z52" s="88"/>
      <c r="AA52" s="89"/>
      <c r="AB52" s="88"/>
      <c r="AC52" s="88"/>
      <c r="AD52" s="81"/>
      <c r="AE52" s="81"/>
      <c r="AF52" s="81"/>
    </row>
    <row r="53" spans="1:32" s="80" customFormat="1" ht="11.25" customHeight="1" x14ac:dyDescent="0.2">
      <c r="A53" s="102"/>
      <c r="B53" s="973"/>
      <c r="C53" s="974"/>
      <c r="D53" s="974"/>
      <c r="E53" s="974"/>
      <c r="F53" s="974"/>
      <c r="G53" s="974"/>
      <c r="H53" s="9"/>
      <c r="I53" s="58"/>
      <c r="J53" s="58"/>
      <c r="K53" s="58"/>
      <c r="L53" s="58"/>
      <c r="M53" s="58"/>
      <c r="N53" s="58"/>
      <c r="O53" s="58"/>
      <c r="P53" s="58"/>
      <c r="Q53" s="92"/>
      <c r="S53" s="87"/>
      <c r="T53" s="88"/>
      <c r="U53" s="88"/>
      <c r="V53" s="88"/>
      <c r="W53" s="88"/>
      <c r="X53" s="88"/>
      <c r="Y53" s="88"/>
      <c r="Z53" s="88"/>
      <c r="AA53" s="89"/>
      <c r="AB53" s="88"/>
      <c r="AC53" s="88"/>
      <c r="AD53" s="81"/>
      <c r="AE53" s="81"/>
      <c r="AF53" s="81"/>
    </row>
    <row r="54" spans="1:32" s="80" customFormat="1" ht="11.25" customHeight="1" x14ac:dyDescent="0.2">
      <c r="A54" s="102"/>
      <c r="B54" s="973" t="s">
        <v>69</v>
      </c>
      <c r="C54" s="974"/>
      <c r="D54" s="974"/>
      <c r="E54" s="974"/>
      <c r="F54" s="974"/>
      <c r="G54" s="974"/>
      <c r="H54" s="9"/>
      <c r="I54" s="58"/>
      <c r="J54" s="58"/>
      <c r="K54" s="58"/>
      <c r="L54" s="58"/>
      <c r="M54" s="58"/>
      <c r="N54" s="58"/>
      <c r="O54" s="58"/>
      <c r="P54" s="58"/>
      <c r="Q54" s="92"/>
      <c r="S54" s="87"/>
      <c r="T54" s="88"/>
      <c r="U54" s="88"/>
      <c r="V54" s="88"/>
      <c r="W54" s="88"/>
      <c r="X54" s="88"/>
      <c r="Y54" s="88"/>
      <c r="Z54" s="88"/>
      <c r="AA54" s="89"/>
      <c r="AB54" s="88"/>
      <c r="AC54" s="88"/>
      <c r="AD54" s="81"/>
      <c r="AE54" s="81"/>
      <c r="AF54" s="81"/>
    </row>
    <row r="55" spans="1:32" s="80" customFormat="1" ht="11.25" customHeight="1" x14ac:dyDescent="0.2">
      <c r="A55" s="102"/>
      <c r="B55" s="973"/>
      <c r="C55" s="974"/>
      <c r="D55" s="974"/>
      <c r="E55" s="974"/>
      <c r="F55" s="974"/>
      <c r="G55" s="974"/>
      <c r="H55" s="9"/>
      <c r="I55" s="58"/>
      <c r="J55" s="58"/>
      <c r="K55" s="58"/>
      <c r="L55" s="58"/>
      <c r="M55" s="58"/>
      <c r="N55" s="58"/>
      <c r="O55" s="58"/>
      <c r="P55" s="58"/>
      <c r="Q55" s="92"/>
      <c r="S55" s="87"/>
      <c r="T55" s="88"/>
      <c r="U55" s="88"/>
      <c r="V55" s="88"/>
      <c r="W55" s="88"/>
      <c r="X55" s="88"/>
      <c r="Y55" s="88"/>
      <c r="Z55" s="88"/>
      <c r="AA55" s="89"/>
      <c r="AB55" s="88"/>
      <c r="AC55" s="88"/>
      <c r="AD55" s="81"/>
      <c r="AE55" s="81"/>
      <c r="AF55" s="81"/>
    </row>
    <row r="56" spans="1:32" s="80" customFormat="1" ht="11.25" customHeight="1" x14ac:dyDescent="0.2">
      <c r="A56" s="102"/>
      <c r="B56" s="973" t="s">
        <v>25</v>
      </c>
      <c r="C56" s="974"/>
      <c r="D56" s="974"/>
      <c r="E56" s="974"/>
      <c r="F56" s="974"/>
      <c r="G56" s="974"/>
      <c r="H56" s="9"/>
      <c r="I56" s="58"/>
      <c r="J56" s="58"/>
      <c r="K56" s="58"/>
      <c r="L56" s="58"/>
      <c r="M56" s="58"/>
      <c r="N56" s="58"/>
      <c r="O56" s="58"/>
      <c r="P56" s="58"/>
      <c r="Q56" s="92"/>
      <c r="S56" s="87"/>
      <c r="T56" s="88"/>
      <c r="U56" s="88"/>
      <c r="V56" s="88"/>
      <c r="W56" s="88"/>
      <c r="X56" s="88"/>
      <c r="Y56" s="88"/>
      <c r="Z56" s="88"/>
      <c r="AA56" s="89"/>
      <c r="AB56" s="88"/>
      <c r="AC56" s="88"/>
      <c r="AD56" s="81"/>
      <c r="AE56" s="81"/>
      <c r="AF56" s="81"/>
    </row>
    <row r="57" spans="1:32" s="80" customFormat="1" ht="11.25" customHeight="1" x14ac:dyDescent="0.2">
      <c r="A57" s="102"/>
      <c r="B57" s="973"/>
      <c r="C57" s="974"/>
      <c r="D57" s="974"/>
      <c r="E57" s="974"/>
      <c r="F57" s="974"/>
      <c r="G57" s="974"/>
      <c r="H57" s="9"/>
      <c r="I57" s="58"/>
      <c r="J57" s="58"/>
      <c r="K57" s="58"/>
      <c r="L57" s="58"/>
      <c r="M57" s="58"/>
      <c r="N57" s="58"/>
      <c r="O57" s="58"/>
      <c r="P57" s="58"/>
      <c r="Q57" s="92"/>
      <c r="S57" s="87"/>
      <c r="T57" s="88"/>
      <c r="U57" s="88"/>
      <c r="V57" s="88"/>
      <c r="W57" s="88"/>
      <c r="X57" s="88"/>
      <c r="Y57" s="88"/>
      <c r="Z57" s="88"/>
      <c r="AA57" s="89"/>
      <c r="AB57" s="88"/>
      <c r="AC57" s="88"/>
      <c r="AD57" s="81"/>
      <c r="AE57" s="81"/>
      <c r="AF57" s="81"/>
    </row>
    <row r="58" spans="1:32" s="80" customFormat="1" ht="11.25" customHeight="1" x14ac:dyDescent="0.2">
      <c r="A58" s="102"/>
      <c r="B58" s="973" t="s">
        <v>23</v>
      </c>
      <c r="C58" s="974"/>
      <c r="D58" s="974"/>
      <c r="E58" s="974"/>
      <c r="F58" s="974"/>
      <c r="G58" s="974"/>
      <c r="H58" s="9"/>
      <c r="I58" s="58"/>
      <c r="J58" s="58"/>
      <c r="K58" s="58"/>
      <c r="L58" s="58"/>
      <c r="M58" s="58"/>
      <c r="N58" s="58"/>
      <c r="O58" s="58"/>
      <c r="P58" s="58"/>
      <c r="Q58" s="92"/>
      <c r="S58" s="87"/>
      <c r="T58" s="88"/>
      <c r="U58" s="88"/>
      <c r="V58" s="88"/>
      <c r="W58" s="88"/>
      <c r="X58" s="88"/>
      <c r="Y58" s="88"/>
      <c r="Z58" s="88"/>
      <c r="AA58" s="89"/>
      <c r="AB58" s="88"/>
      <c r="AC58" s="88"/>
      <c r="AD58" s="81"/>
      <c r="AE58" s="81"/>
      <c r="AF58" s="81"/>
    </row>
    <row r="59" spans="1:32" s="80" customFormat="1" ht="11.25" customHeight="1" x14ac:dyDescent="0.2">
      <c r="A59" s="102"/>
      <c r="B59" s="973"/>
      <c r="C59" s="974"/>
      <c r="D59" s="974"/>
      <c r="E59" s="974"/>
      <c r="F59" s="974"/>
      <c r="G59" s="974"/>
      <c r="H59" s="9"/>
      <c r="I59" s="58"/>
      <c r="J59" s="58"/>
      <c r="K59" s="58"/>
      <c r="L59" s="58"/>
      <c r="M59" s="58"/>
      <c r="N59" s="58"/>
      <c r="O59" s="58"/>
      <c r="P59" s="58"/>
      <c r="Q59" s="92"/>
      <c r="S59" s="87"/>
      <c r="T59" s="88"/>
      <c r="U59" s="88"/>
      <c r="V59" s="88"/>
      <c r="W59" s="88"/>
      <c r="X59" s="88"/>
      <c r="Y59" s="88"/>
      <c r="Z59" s="88"/>
      <c r="AA59" s="89"/>
      <c r="AB59" s="88"/>
      <c r="AC59" s="88"/>
      <c r="AD59" s="81"/>
      <c r="AE59" s="81"/>
      <c r="AF59" s="81"/>
    </row>
    <row r="60" spans="1:32" s="80" customFormat="1" ht="11.25" customHeight="1" x14ac:dyDescent="0.2">
      <c r="A60" s="102"/>
      <c r="B60" s="973" t="s">
        <v>26</v>
      </c>
      <c r="C60" s="974"/>
      <c r="D60" s="974"/>
      <c r="E60" s="974"/>
      <c r="F60" s="974"/>
      <c r="G60" s="974"/>
      <c r="H60" s="9"/>
      <c r="I60" s="58"/>
      <c r="J60" s="58"/>
      <c r="K60" s="58"/>
      <c r="L60" s="58"/>
      <c r="M60" s="58"/>
      <c r="N60" s="58"/>
      <c r="O60" s="58"/>
      <c r="P60" s="58"/>
      <c r="Q60" s="92"/>
      <c r="S60" s="87"/>
      <c r="T60" s="88"/>
      <c r="U60" s="88"/>
      <c r="V60" s="88"/>
      <c r="W60" s="88"/>
      <c r="X60" s="88"/>
      <c r="Y60" s="88"/>
      <c r="Z60" s="88"/>
      <c r="AA60" s="89"/>
      <c r="AB60" s="88"/>
      <c r="AC60" s="88"/>
      <c r="AD60" s="81"/>
      <c r="AE60" s="81"/>
      <c r="AF60" s="81"/>
    </row>
    <row r="61" spans="1:32" s="80" customFormat="1" ht="11.25" customHeight="1" x14ac:dyDescent="0.2">
      <c r="A61" s="102"/>
      <c r="B61" s="973"/>
      <c r="C61" s="974"/>
      <c r="D61" s="974"/>
      <c r="E61" s="974"/>
      <c r="F61" s="974"/>
      <c r="G61" s="974"/>
      <c r="H61" s="9"/>
      <c r="I61" s="58"/>
      <c r="J61" s="58"/>
      <c r="K61" s="58"/>
      <c r="L61" s="58"/>
      <c r="M61" s="58"/>
      <c r="N61" s="58"/>
      <c r="O61" s="58"/>
      <c r="P61" s="58"/>
      <c r="Q61" s="92"/>
      <c r="S61" s="87"/>
      <c r="T61" s="88"/>
      <c r="U61" s="88"/>
      <c r="V61" s="88"/>
      <c r="W61" s="88"/>
      <c r="X61" s="88"/>
      <c r="Y61" s="88"/>
      <c r="Z61" s="88"/>
      <c r="AA61" s="89"/>
      <c r="AB61" s="88"/>
      <c r="AC61" s="88"/>
      <c r="AD61" s="81"/>
      <c r="AE61" s="81"/>
      <c r="AF61" s="81"/>
    </row>
    <row r="62" spans="1:32" s="80" customFormat="1" ht="11.25" customHeight="1" x14ac:dyDescent="0.2">
      <c r="A62" s="102"/>
      <c r="B62" s="973" t="s">
        <v>19</v>
      </c>
      <c r="C62" s="974"/>
      <c r="D62" s="974"/>
      <c r="E62" s="974"/>
      <c r="F62" s="974"/>
      <c r="G62" s="974"/>
      <c r="H62" s="9"/>
      <c r="I62" s="58"/>
      <c r="J62" s="58"/>
      <c r="K62" s="58"/>
      <c r="L62" s="58"/>
      <c r="M62" s="58"/>
      <c r="N62" s="58"/>
      <c r="O62" s="58"/>
      <c r="P62" s="58"/>
      <c r="Q62" s="92"/>
      <c r="S62" s="87"/>
      <c r="T62" s="88"/>
      <c r="U62" s="88"/>
      <c r="V62" s="88"/>
      <c r="W62" s="88"/>
      <c r="X62" s="88"/>
      <c r="Y62" s="88"/>
      <c r="Z62" s="88"/>
      <c r="AA62" s="89"/>
      <c r="AB62" s="88"/>
      <c r="AC62" s="88"/>
      <c r="AD62" s="81"/>
      <c r="AE62" s="81"/>
      <c r="AF62" s="81"/>
    </row>
    <row r="63" spans="1:32" s="80" customFormat="1" ht="11.25" customHeight="1" x14ac:dyDescent="0.2">
      <c r="A63" s="102"/>
      <c r="B63" s="973"/>
      <c r="C63" s="974"/>
      <c r="D63" s="974"/>
      <c r="E63" s="974"/>
      <c r="F63" s="974"/>
      <c r="G63" s="974"/>
      <c r="H63" s="9"/>
      <c r="I63" s="58"/>
      <c r="J63" s="58"/>
      <c r="K63" s="58"/>
      <c r="L63" s="58"/>
      <c r="M63" s="58"/>
      <c r="N63" s="58"/>
      <c r="O63" s="58"/>
      <c r="P63" s="58"/>
      <c r="Q63" s="92"/>
      <c r="S63" s="87"/>
      <c r="T63" s="88"/>
      <c r="U63" s="88"/>
      <c r="V63" s="88"/>
      <c r="W63" s="88"/>
      <c r="X63" s="88"/>
      <c r="Y63" s="88"/>
      <c r="Z63" s="88"/>
      <c r="AA63" s="89"/>
      <c r="AB63" s="88"/>
      <c r="AC63" s="88"/>
      <c r="AD63" s="81"/>
      <c r="AE63" s="81"/>
      <c r="AF63" s="81"/>
    </row>
    <row r="64" spans="1:32" s="80" customFormat="1" ht="11.25" customHeight="1" x14ac:dyDescent="0.2">
      <c r="A64" s="102"/>
      <c r="B64" s="973" t="s">
        <v>20</v>
      </c>
      <c r="C64" s="930"/>
      <c r="D64" s="930"/>
      <c r="E64" s="930"/>
      <c r="F64" s="930"/>
      <c r="G64" s="930"/>
      <c r="H64" s="930"/>
      <c r="I64" s="58"/>
      <c r="J64" s="58"/>
      <c r="K64" s="58"/>
      <c r="L64" s="58"/>
      <c r="M64" s="58"/>
      <c r="N64" s="58"/>
      <c r="O64" s="58"/>
      <c r="P64" s="58"/>
      <c r="Q64" s="92"/>
      <c r="S64" s="87"/>
      <c r="T64" s="88"/>
      <c r="U64" s="88"/>
      <c r="V64" s="88"/>
      <c r="W64" s="88"/>
      <c r="X64" s="88"/>
      <c r="Y64" s="88"/>
      <c r="Z64" s="88"/>
      <c r="AA64" s="89"/>
      <c r="AB64" s="88"/>
      <c r="AC64" s="88"/>
      <c r="AD64" s="81"/>
      <c r="AE64" s="81"/>
      <c r="AF64" s="81"/>
    </row>
    <row r="65" spans="1:32" s="80" customFormat="1" ht="11.25" customHeight="1" x14ac:dyDescent="0.2">
      <c r="A65" s="102"/>
      <c r="B65" s="930"/>
      <c r="C65" s="930"/>
      <c r="D65" s="930"/>
      <c r="E65" s="930"/>
      <c r="F65" s="930"/>
      <c r="G65" s="930"/>
      <c r="H65" s="930"/>
      <c r="I65" s="58"/>
      <c r="J65" s="58"/>
      <c r="K65" s="58"/>
      <c r="L65" s="58"/>
      <c r="M65" s="58"/>
      <c r="N65" s="58"/>
      <c r="O65" s="58"/>
      <c r="P65" s="58"/>
      <c r="Q65" s="92"/>
      <c r="S65" s="87"/>
      <c r="T65" s="88"/>
      <c r="U65" s="88"/>
      <c r="V65" s="88"/>
      <c r="W65" s="88"/>
      <c r="X65" s="88"/>
      <c r="Y65" s="88"/>
      <c r="Z65" s="88"/>
      <c r="AA65" s="89"/>
      <c r="AB65" s="88"/>
      <c r="AC65" s="88"/>
      <c r="AD65" s="81"/>
      <c r="AE65" s="81"/>
      <c r="AF65" s="81"/>
    </row>
    <row r="66" spans="1:32" s="80" customFormat="1" ht="11.25" customHeight="1" x14ac:dyDescent="0.2">
      <c r="A66" s="102"/>
      <c r="B66" s="973" t="s">
        <v>21</v>
      </c>
      <c r="C66" s="974"/>
      <c r="D66" s="974"/>
      <c r="E66" s="974"/>
      <c r="F66" s="974"/>
      <c r="G66" s="974"/>
      <c r="H66" s="9"/>
      <c r="I66" s="58"/>
      <c r="J66" s="58"/>
      <c r="K66" s="58"/>
      <c r="L66" s="58"/>
      <c r="M66" s="58"/>
      <c r="N66" s="58"/>
      <c r="O66" s="58"/>
      <c r="P66" s="58"/>
      <c r="Q66" s="92"/>
      <c r="S66" s="87"/>
      <c r="T66" s="88"/>
      <c r="U66" s="88"/>
      <c r="V66" s="88"/>
      <c r="W66" s="88"/>
      <c r="X66" s="88"/>
      <c r="Y66" s="88"/>
      <c r="Z66" s="88"/>
      <c r="AA66" s="89"/>
      <c r="AB66" s="88"/>
      <c r="AC66" s="88"/>
      <c r="AD66" s="81"/>
      <c r="AE66" s="81"/>
      <c r="AF66" s="81"/>
    </row>
    <row r="67" spans="1:32" s="80" customFormat="1" ht="11.25" customHeight="1" x14ac:dyDescent="0.2">
      <c r="A67" s="102"/>
      <c r="B67" s="973"/>
      <c r="C67" s="974"/>
      <c r="D67" s="974"/>
      <c r="E67" s="974"/>
      <c r="F67" s="974"/>
      <c r="G67" s="974"/>
      <c r="H67" s="9"/>
      <c r="I67" s="58"/>
      <c r="J67" s="58"/>
      <c r="K67" s="58"/>
      <c r="L67" s="58"/>
      <c r="M67" s="58"/>
      <c r="N67" s="58"/>
      <c r="O67" s="58"/>
      <c r="P67" s="58"/>
      <c r="Q67" s="92"/>
      <c r="S67" s="87"/>
      <c r="T67" s="88"/>
      <c r="U67" s="88"/>
      <c r="V67" s="88"/>
      <c r="W67" s="88"/>
      <c r="X67" s="88"/>
      <c r="Y67" s="88"/>
      <c r="Z67" s="88"/>
      <c r="AA67" s="89"/>
      <c r="AB67" s="88"/>
      <c r="AC67" s="88"/>
      <c r="AD67" s="81"/>
      <c r="AE67" s="81"/>
      <c r="AF67" s="81"/>
    </row>
    <row r="68" spans="1:32" s="80" customFormat="1" ht="11.25" customHeight="1" x14ac:dyDescent="0.2">
      <c r="A68" s="102"/>
      <c r="B68" s="973" t="s">
        <v>27</v>
      </c>
      <c r="C68" s="974"/>
      <c r="D68" s="974"/>
      <c r="E68" s="974"/>
      <c r="F68" s="974"/>
      <c r="G68" s="974"/>
      <c r="H68" s="9"/>
      <c r="I68" s="58"/>
      <c r="J68" s="58"/>
      <c r="K68" s="58"/>
      <c r="L68" s="58"/>
      <c r="M68" s="58"/>
      <c r="N68" s="58"/>
      <c r="O68" s="58"/>
      <c r="P68" s="58"/>
      <c r="Q68" s="92"/>
      <c r="S68" s="87"/>
      <c r="T68" s="88"/>
      <c r="U68" s="88"/>
      <c r="V68" s="88"/>
      <c r="W68" s="88"/>
      <c r="X68" s="88"/>
      <c r="Y68" s="88"/>
      <c r="Z68" s="88"/>
      <c r="AA68" s="89"/>
      <c r="AB68" s="88"/>
      <c r="AC68" s="88"/>
      <c r="AD68" s="81"/>
      <c r="AE68" s="81"/>
      <c r="AF68" s="81"/>
    </row>
    <row r="69" spans="1:32" s="80" customFormat="1" ht="11.25" customHeight="1" x14ac:dyDescent="0.2">
      <c r="A69" s="102"/>
      <c r="B69" s="973"/>
      <c r="C69" s="974"/>
      <c r="D69" s="974"/>
      <c r="E69" s="974"/>
      <c r="F69" s="974"/>
      <c r="G69" s="974"/>
      <c r="H69" s="9"/>
      <c r="I69" s="58"/>
      <c r="J69" s="58"/>
      <c r="K69" s="58"/>
      <c r="L69" s="58"/>
      <c r="M69" s="58"/>
      <c r="N69" s="58"/>
      <c r="O69" s="58"/>
      <c r="P69" s="58"/>
      <c r="Q69" s="92"/>
      <c r="S69" s="87"/>
      <c r="T69" s="88"/>
      <c r="U69" s="88"/>
      <c r="V69" s="88"/>
      <c r="W69" s="88"/>
      <c r="X69" s="88"/>
      <c r="Y69" s="88"/>
      <c r="Z69" s="88"/>
      <c r="AA69" s="89"/>
      <c r="AB69" s="88"/>
      <c r="AC69" s="88"/>
      <c r="AD69" s="81"/>
      <c r="AE69" s="81"/>
      <c r="AF69" s="81"/>
    </row>
    <row r="70" spans="1:32" s="80" customFormat="1" ht="11.25" customHeight="1" x14ac:dyDescent="0.2">
      <c r="A70" s="102"/>
      <c r="B70" s="973" t="s">
        <v>22</v>
      </c>
      <c r="C70" s="974"/>
      <c r="D70" s="974"/>
      <c r="E70" s="974"/>
      <c r="F70" s="974"/>
      <c r="G70" s="974"/>
      <c r="H70" s="9"/>
      <c r="I70" s="58"/>
      <c r="J70" s="58"/>
      <c r="K70" s="58"/>
      <c r="L70" s="58"/>
      <c r="M70" s="58"/>
      <c r="N70" s="58"/>
      <c r="O70" s="58"/>
      <c r="P70" s="58"/>
      <c r="Q70" s="92"/>
      <c r="S70" s="87"/>
      <c r="T70" s="88"/>
      <c r="U70" s="88"/>
      <c r="V70" s="88"/>
      <c r="W70" s="88"/>
      <c r="X70" s="88"/>
      <c r="Y70" s="88"/>
      <c r="Z70" s="88"/>
      <c r="AA70" s="89"/>
      <c r="AB70" s="88"/>
      <c r="AC70" s="88"/>
      <c r="AD70" s="81"/>
      <c r="AE70" s="81"/>
      <c r="AF70" s="81"/>
    </row>
    <row r="71" spans="1:32" s="80" customFormat="1" ht="11.25" customHeight="1" x14ac:dyDescent="0.2">
      <c r="A71" s="102"/>
      <c r="B71" s="973"/>
      <c r="C71" s="974"/>
      <c r="D71" s="974"/>
      <c r="E71" s="974"/>
      <c r="F71" s="974"/>
      <c r="G71" s="974"/>
      <c r="H71" s="9"/>
      <c r="I71" s="58"/>
      <c r="J71" s="58"/>
      <c r="K71" s="58"/>
      <c r="L71" s="58"/>
      <c r="M71" s="58"/>
      <c r="N71" s="58"/>
      <c r="O71" s="58"/>
      <c r="P71" s="58"/>
      <c r="Q71" s="92"/>
      <c r="S71" s="87"/>
      <c r="T71" s="88"/>
      <c r="U71" s="88"/>
      <c r="V71" s="88"/>
      <c r="W71" s="88"/>
      <c r="X71" s="88"/>
      <c r="Y71" s="88"/>
      <c r="Z71" s="88"/>
      <c r="AA71" s="89"/>
      <c r="AB71" s="88"/>
      <c r="AC71" s="88"/>
      <c r="AD71" s="81"/>
      <c r="AE71" s="81"/>
      <c r="AF71" s="81"/>
    </row>
    <row r="72" spans="1:32" s="80" customFormat="1" ht="11.25" customHeight="1" x14ac:dyDescent="0.2">
      <c r="A72" s="102"/>
      <c r="B72" s="973" t="s">
        <v>874</v>
      </c>
      <c r="C72" s="975"/>
      <c r="D72" s="975"/>
      <c r="E72" s="975"/>
      <c r="F72" s="975"/>
      <c r="G72" s="975"/>
      <c r="H72" s="9"/>
      <c r="I72" s="58"/>
      <c r="J72" s="58"/>
      <c r="K72" s="58"/>
      <c r="L72" s="58"/>
      <c r="M72" s="58"/>
      <c r="N72" s="58"/>
      <c r="O72" s="58"/>
      <c r="P72" s="58"/>
      <c r="Q72" s="92"/>
      <c r="S72" s="87"/>
      <c r="T72" s="88"/>
      <c r="U72" s="88"/>
      <c r="V72" s="88"/>
      <c r="W72" s="88"/>
      <c r="X72" s="88"/>
      <c r="Y72" s="88"/>
      <c r="Z72" s="88"/>
      <c r="AA72" s="89"/>
      <c r="AB72" s="88"/>
      <c r="AC72" s="88"/>
      <c r="AD72" s="81"/>
      <c r="AE72" s="81"/>
      <c r="AF72" s="81"/>
    </row>
    <row r="73" spans="1:32" s="80" customFormat="1" ht="11.25" customHeight="1" x14ac:dyDescent="0.2">
      <c r="A73" s="102"/>
      <c r="B73" s="973"/>
      <c r="C73" s="975"/>
      <c r="D73" s="975"/>
      <c r="E73" s="975"/>
      <c r="F73" s="975"/>
      <c r="G73" s="975"/>
      <c r="H73" s="9"/>
      <c r="I73" s="58"/>
      <c r="J73" s="58"/>
      <c r="K73" s="58"/>
      <c r="L73" s="58"/>
      <c r="M73" s="58"/>
      <c r="N73" s="58"/>
      <c r="O73" s="58"/>
      <c r="P73" s="58"/>
      <c r="Q73" s="92"/>
      <c r="S73" s="87"/>
      <c r="T73" s="88"/>
      <c r="U73" s="88"/>
      <c r="V73" s="88"/>
      <c r="W73" s="88"/>
      <c r="X73" s="88"/>
      <c r="Y73" s="88"/>
      <c r="Z73" s="88"/>
      <c r="AA73" s="89"/>
      <c r="AB73" s="88"/>
      <c r="AC73" s="88"/>
      <c r="AD73" s="81"/>
      <c r="AE73" s="81"/>
      <c r="AF73" s="81"/>
    </row>
    <row r="74" spans="1:32" s="80" customFormat="1" ht="11.25" customHeight="1" x14ac:dyDescent="0.2">
      <c r="A74" s="102"/>
      <c r="B74" s="973"/>
      <c r="C74" s="973"/>
      <c r="D74" s="973"/>
      <c r="E74" s="973"/>
      <c r="F74" s="975"/>
      <c r="G74" s="975"/>
      <c r="H74" s="975"/>
      <c r="I74" s="58"/>
      <c r="J74" s="58"/>
      <c r="K74" s="58"/>
      <c r="L74" s="58"/>
      <c r="M74" s="58"/>
      <c r="N74" s="58"/>
      <c r="O74" s="58"/>
      <c r="P74" s="58"/>
      <c r="Q74" s="92"/>
      <c r="S74" s="87"/>
      <c r="T74" s="88"/>
      <c r="U74" s="88"/>
      <c r="V74" s="88"/>
      <c r="W74" s="88"/>
      <c r="X74" s="88"/>
      <c r="Y74" s="88"/>
      <c r="Z74" s="88"/>
      <c r="AA74" s="89"/>
      <c r="AB74" s="88"/>
      <c r="AC74" s="88"/>
      <c r="AD74" s="81"/>
      <c r="AE74" s="81"/>
      <c r="AF74" s="81"/>
    </row>
    <row r="75" spans="1:32" s="80" customFormat="1" ht="11.25" customHeight="1" x14ac:dyDescent="0.2">
      <c r="A75" s="102"/>
      <c r="B75" s="973"/>
      <c r="C75" s="973"/>
      <c r="D75" s="973"/>
      <c r="E75" s="973"/>
      <c r="F75" s="975"/>
      <c r="G75" s="975"/>
      <c r="H75" s="975"/>
      <c r="I75" s="58"/>
      <c r="J75" s="58"/>
      <c r="K75" s="58"/>
      <c r="L75" s="58"/>
      <c r="M75" s="58"/>
      <c r="N75" s="58"/>
      <c r="O75" s="58"/>
      <c r="P75" s="58"/>
      <c r="Q75" s="92"/>
      <c r="S75" s="87"/>
      <c r="T75" s="88"/>
      <c r="U75" s="88"/>
      <c r="V75" s="88"/>
      <c r="W75" s="88"/>
      <c r="X75" s="88"/>
      <c r="Y75" s="88"/>
      <c r="Z75" s="88"/>
      <c r="AA75" s="89"/>
      <c r="AB75" s="88"/>
      <c r="AC75" s="88"/>
      <c r="AD75" s="81"/>
      <c r="AE75" s="81"/>
      <c r="AF75" s="81"/>
    </row>
    <row r="76" spans="1:32" ht="22.5" customHeight="1" x14ac:dyDescent="0.2">
      <c r="A76" s="103"/>
      <c r="B76" s="104"/>
      <c r="C76" s="358"/>
      <c r="D76" s="358"/>
      <c r="E76" s="358"/>
      <c r="F76" s="358"/>
      <c r="G76" s="104"/>
      <c r="H76" s="104"/>
      <c r="I76" s="105"/>
      <c r="J76" s="105"/>
      <c r="K76" s="105"/>
      <c r="L76" s="105"/>
      <c r="M76" s="105"/>
      <c r="N76" s="105"/>
      <c r="O76" s="105"/>
      <c r="P76" s="105"/>
      <c r="Q76" s="265"/>
    </row>
    <row r="84" spans="23:25" ht="11.25" customHeight="1" x14ac:dyDescent="0.2">
      <c r="W84" s="80"/>
      <c r="X84" s="80"/>
    </row>
    <row r="85" spans="23:25" ht="11.25" customHeight="1" x14ac:dyDescent="0.2">
      <c r="W85" s="80"/>
      <c r="X85" s="80"/>
    </row>
    <row r="86" spans="23:25" ht="11.25" customHeight="1" x14ac:dyDescent="0.2">
      <c r="W86" s="80"/>
      <c r="X86" s="80"/>
    </row>
    <row r="89" spans="23:25" ht="11.25" customHeight="1" x14ac:dyDescent="0.2">
      <c r="W89" s="85"/>
      <c r="X89" s="85"/>
      <c r="Y89" s="85"/>
    </row>
    <row r="128" spans="23:24" ht="11.25" customHeight="1" x14ac:dyDescent="0.2">
      <c r="W128" s="80"/>
      <c r="X128" s="80"/>
    </row>
    <row r="129" spans="23:25" ht="11.25" customHeight="1" x14ac:dyDescent="0.2">
      <c r="W129" s="80"/>
      <c r="X129" s="80"/>
    </row>
    <row r="130" spans="23:25" ht="11.25" customHeight="1" x14ac:dyDescent="0.2">
      <c r="W130" s="80"/>
      <c r="X130" s="80"/>
    </row>
    <row r="133" spans="23:25" ht="11.25" customHeight="1" x14ac:dyDescent="0.2">
      <c r="W133" s="85"/>
      <c r="X133" s="85"/>
      <c r="Y133" s="85"/>
    </row>
    <row r="172" spans="23:24" ht="11.25" customHeight="1" x14ac:dyDescent="0.2">
      <c r="W172" s="80"/>
      <c r="X172" s="80"/>
    </row>
    <row r="173" spans="23:24" ht="11.25" customHeight="1" x14ac:dyDescent="0.2">
      <c r="W173" s="80"/>
      <c r="X173" s="80"/>
    </row>
    <row r="174" spans="23:24" ht="11.25" customHeight="1" x14ac:dyDescent="0.2">
      <c r="W174" s="80"/>
      <c r="X174" s="80"/>
    </row>
    <row r="177" spans="23:25" ht="11.25" customHeight="1" x14ac:dyDescent="0.2">
      <c r="W177" s="85"/>
      <c r="X177" s="85"/>
      <c r="Y177" s="85"/>
    </row>
    <row r="216" spans="23:25" ht="11.25" customHeight="1" x14ac:dyDescent="0.2">
      <c r="W216" s="80"/>
      <c r="X216" s="80"/>
    </row>
    <row r="217" spans="23:25" ht="11.25" customHeight="1" x14ac:dyDescent="0.2">
      <c r="W217" s="80"/>
      <c r="X217" s="80"/>
    </row>
    <row r="218" spans="23:25" ht="11.25" customHeight="1" x14ac:dyDescent="0.2">
      <c r="W218" s="80"/>
      <c r="X218" s="80"/>
    </row>
    <row r="221" spans="23:25" ht="11.25" customHeight="1" x14ac:dyDescent="0.2">
      <c r="W221" s="85"/>
      <c r="X221" s="85"/>
      <c r="Y221" s="85"/>
    </row>
    <row r="260" spans="23:25" ht="11.25" customHeight="1" x14ac:dyDescent="0.2">
      <c r="W260" s="80"/>
      <c r="X260" s="80"/>
    </row>
    <row r="261" spans="23:25" ht="11.25" customHeight="1" x14ac:dyDescent="0.2">
      <c r="W261" s="80"/>
      <c r="X261" s="80"/>
    </row>
    <row r="262" spans="23:25" ht="11.25" customHeight="1" x14ac:dyDescent="0.2">
      <c r="W262" s="80"/>
      <c r="X262" s="80"/>
    </row>
    <row r="265" spans="23:25" ht="11.25" customHeight="1" x14ac:dyDescent="0.2">
      <c r="W265" s="85"/>
      <c r="X265" s="85"/>
      <c r="Y265" s="85"/>
    </row>
    <row r="304" spans="23:24" ht="11.25" customHeight="1" x14ac:dyDescent="0.2">
      <c r="W304" s="80"/>
      <c r="X304" s="80"/>
    </row>
    <row r="305" spans="23:25" ht="11.25" customHeight="1" x14ac:dyDescent="0.2">
      <c r="W305" s="80"/>
      <c r="X305" s="80"/>
    </row>
    <row r="306" spans="23:25" ht="11.25" customHeight="1" x14ac:dyDescent="0.2">
      <c r="W306" s="80"/>
      <c r="X306" s="80"/>
    </row>
    <row r="309" spans="23:25" ht="11.25" customHeight="1" x14ac:dyDescent="0.2">
      <c r="W309" s="85"/>
      <c r="X309" s="85"/>
      <c r="Y309" s="85"/>
    </row>
    <row r="348" spans="23:24" ht="11.25" customHeight="1" x14ac:dyDescent="0.2">
      <c r="W348" s="80"/>
      <c r="X348" s="80"/>
    </row>
    <row r="349" spans="23:24" ht="11.25" customHeight="1" x14ac:dyDescent="0.2">
      <c r="W349" s="80"/>
      <c r="X349" s="80"/>
    </row>
    <row r="350" spans="23:24" ht="11.25" customHeight="1" x14ac:dyDescent="0.2">
      <c r="W350" s="80"/>
      <c r="X350" s="80"/>
    </row>
    <row r="353" spans="23:25" ht="11.25" customHeight="1" x14ac:dyDescent="0.2">
      <c r="W353" s="85"/>
      <c r="X353" s="85"/>
      <c r="Y353" s="85"/>
    </row>
    <row r="392" spans="23:25" ht="11.25" customHeight="1" x14ac:dyDescent="0.2">
      <c r="W392" s="80"/>
      <c r="X392" s="80"/>
    </row>
    <row r="393" spans="23:25" ht="11.25" customHeight="1" x14ac:dyDescent="0.2">
      <c r="W393" s="80"/>
      <c r="X393" s="80"/>
    </row>
    <row r="394" spans="23:25" ht="11.25" customHeight="1" x14ac:dyDescent="0.2">
      <c r="W394" s="80"/>
      <c r="X394" s="80"/>
    </row>
    <row r="397" spans="23:25" ht="11.25" customHeight="1" x14ac:dyDescent="0.2">
      <c r="W397" s="85"/>
      <c r="X397" s="85"/>
      <c r="Y397" s="85"/>
    </row>
  </sheetData>
  <sheetProtection selectLockedCells="1"/>
  <mergeCells count="21">
    <mergeCell ref="B5:H6"/>
    <mergeCell ref="B38:B39"/>
    <mergeCell ref="B32:H32"/>
    <mergeCell ref="B40:G41"/>
    <mergeCell ref="B42:G43"/>
    <mergeCell ref="B44:G45"/>
    <mergeCell ref="B46:F47"/>
    <mergeCell ref="B48:F49"/>
    <mergeCell ref="B50:F51"/>
    <mergeCell ref="B52:G53"/>
    <mergeCell ref="B54:G55"/>
    <mergeCell ref="B56:G57"/>
    <mergeCell ref="B58:G59"/>
    <mergeCell ref="B64:H65"/>
    <mergeCell ref="B60:G61"/>
    <mergeCell ref="B62:G63"/>
    <mergeCell ref="B74:H75"/>
    <mergeCell ref="B66:G67"/>
    <mergeCell ref="B68:G69"/>
    <mergeCell ref="B70:G71"/>
    <mergeCell ref="B72:G73"/>
  </mergeCells>
  <phoneticPr fontId="5" type="noConversion"/>
  <conditionalFormatting sqref="B30">
    <cfRule type="expression" dxfId="264" priority="3" stopIfTrue="1">
      <formula>$B30=$X$4</formula>
    </cfRule>
  </conditionalFormatting>
  <conditionalFormatting sqref="B8:G29">
    <cfRule type="expression" dxfId="263" priority="998" stopIfTrue="1">
      <formula>$B8=$S$4</formula>
    </cfRule>
  </conditionalFormatting>
  <conditionalFormatting sqref="A8:A29">
    <cfRule type="cellIs" dxfId="262" priority="2" operator="equal">
      <formula>0</formula>
    </cfRule>
  </conditionalFormatting>
  <conditionalFormatting sqref="A8:A31">
    <cfRule type="containsErrors" dxfId="261" priority="1">
      <formula>ISERROR(A8)</formula>
    </cfRule>
  </conditionalFormatting>
  <hyperlinks>
    <hyperlink ref="B40:B41" location="Coverage!A1" display="Participating LA's"/>
    <hyperlink ref="B42:B43" location="IDACI!A1" display="IDACI"/>
    <hyperlink ref="B72:B73" location="Adoption!A1" display="Adoption"/>
    <hyperlink ref="B70:B71" location="'Looked After Children'!A1" display="Looked After Children"/>
    <hyperlink ref="B68:B69" location="'Court Applications'!A1" display="Court Applications"/>
    <hyperlink ref="B66:B67" location="'Child Protection Plans'!A1" display="Child Protection Plans"/>
    <hyperlink ref="B64:B65" location="'Initial CP Conferences'!A1" display="Initial Child Protection Conferences"/>
    <hyperlink ref="B62:B63" location="'Section 47 Enquiries'!A1" display="Section 47 Enquiries"/>
    <hyperlink ref="B60:B61" location="'Children in Need'!A1" display="Children in Need"/>
    <hyperlink ref="B58:B59" location="Assessments!A1" display="Assessments"/>
    <hyperlink ref="B56:B57" location="'Re-referrals'!A1" display="Re-referrals"/>
    <hyperlink ref="B54:B55" location="Referral_Source!A1" display="Referral Source"/>
    <hyperlink ref="B52:B53" location="Referrals!A1" display="Referrals"/>
    <hyperlink ref="B44:B45" location="Population!A1" display="Population"/>
    <hyperlink ref="B42:G43" location="IDACI!A1" display="IDACI"/>
    <hyperlink ref="B46:B47" location="CAF_EHA!A1" display="CAF (EHA's)"/>
    <hyperlink ref="B50:B51" location="CAF_EHA!A1" display="CAF (EHA's)"/>
    <hyperlink ref="B48:B49" location="CAF_EHA!A1" display="CAF (EHA's)"/>
    <hyperlink ref="B46:F47" location="EH_Referrals!A1" display="Early Help Referrals"/>
    <hyperlink ref="B48:F49" location="EH_Assessments!A1" display="Early Help Assessments"/>
    <hyperlink ref="B50:F51" location="EH_Clients!A1" display="Early Help Clients"/>
    <hyperlink ref="B72:G73" location="Adoption!A1" display="Permanenc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ignoredErrors>
    <ignoredError sqref="A8:A31" evalError="1"/>
  </ignoredError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dimension ref="A1:BA308"/>
  <sheetViews>
    <sheetView showRowColHeaders="0" zoomScaleNormal="100" workbookViewId="0"/>
  </sheetViews>
  <sheetFormatPr defaultColWidth="9.140625" defaultRowHeight="11.25" customHeight="1" x14ac:dyDescent="0.2"/>
  <cols>
    <col min="1" max="1" width="2.140625" style="80" customWidth="1"/>
    <col min="2" max="2" width="17.140625" style="80" customWidth="1"/>
    <col min="3" max="3" width="1.42578125" style="80" customWidth="1"/>
    <col min="4" max="8" width="7.42578125" style="80" customWidth="1"/>
    <col min="9" max="9" width="7.7109375" style="80" customWidth="1"/>
    <col min="10" max="10" width="1.42578125" style="106" customWidth="1"/>
    <col min="11" max="15" width="7.42578125" style="80" customWidth="1"/>
    <col min="16" max="16" width="7.140625" style="80" customWidth="1"/>
    <col min="17" max="17" width="1.42578125" style="80" customWidth="1"/>
    <col min="18" max="18" width="7.140625" style="80" customWidth="1"/>
    <col min="19" max="19" width="8.140625" style="80" bestFit="1" customWidth="1"/>
    <col min="20" max="20" width="7.5703125" style="80" customWidth="1"/>
    <col min="21" max="21" width="2.140625" style="80" customWidth="1"/>
    <col min="22" max="22" width="6.42578125" style="87" customWidth="1"/>
    <col min="23" max="23" width="4.85546875" style="87" customWidth="1"/>
    <col min="24" max="24" width="17.85546875" style="88" hidden="1" customWidth="1"/>
    <col min="25" max="25" width="19.42578125" style="88" hidden="1" customWidth="1"/>
    <col min="26" max="26" width="19.85546875" style="88" hidden="1" customWidth="1"/>
    <col min="27" max="28" width="16.7109375" style="88" hidden="1" customWidth="1"/>
    <col min="29" max="30" width="8.5703125" style="88" hidden="1" customWidth="1"/>
    <col min="31" max="31" width="3.5703125" style="88" hidden="1" customWidth="1"/>
    <col min="32" max="32" width="17" style="88" hidden="1" customWidth="1"/>
    <col min="33" max="33" width="5.7109375" style="88" hidden="1" customWidth="1"/>
    <col min="34" max="34" width="7.140625" style="88" hidden="1" customWidth="1"/>
    <col min="35" max="35" width="5.7109375" style="80" hidden="1" customWidth="1"/>
    <col min="36" max="36" width="31.5703125" style="80" customWidth="1"/>
    <col min="37" max="37" width="17" style="80" hidden="1" customWidth="1"/>
    <col min="38" max="42" width="13.7109375" style="80" hidden="1" customWidth="1"/>
    <col min="43" max="53" width="9.140625" style="80" hidden="1" customWidth="1"/>
    <col min="54" max="54" width="9.140625" style="80" customWidth="1"/>
    <col min="55" max="16384" width="9.140625" style="80"/>
  </cols>
  <sheetData>
    <row r="1" spans="1:44" ht="18.75" customHeight="1" x14ac:dyDescent="0.2">
      <c r="A1" s="129"/>
      <c r="B1" s="130"/>
      <c r="C1" s="130"/>
      <c r="D1" s="130"/>
      <c r="E1" s="130"/>
      <c r="F1" s="130"/>
      <c r="G1" s="130"/>
      <c r="H1" s="130"/>
      <c r="I1" s="130"/>
      <c r="J1" s="131"/>
      <c r="K1" s="130"/>
      <c r="L1" s="130"/>
      <c r="M1" s="130"/>
      <c r="N1" s="130"/>
      <c r="O1" s="130"/>
      <c r="P1" s="130"/>
      <c r="Q1" s="130"/>
      <c r="R1" s="130"/>
      <c r="S1" s="130"/>
      <c r="T1" s="130"/>
      <c r="U1" s="132"/>
      <c r="V1" s="306"/>
      <c r="W1" s="173"/>
      <c r="X1" s="206"/>
      <c r="Y1" s="206"/>
      <c r="Z1" s="206"/>
      <c r="AA1" s="206"/>
      <c r="AB1" s="206"/>
      <c r="AC1" s="206"/>
      <c r="AD1" s="206"/>
      <c r="AE1" s="206"/>
      <c r="AF1" s="206"/>
      <c r="AG1" s="206"/>
      <c r="AH1" s="206"/>
      <c r="AI1" s="207"/>
      <c r="AJ1" s="174"/>
    </row>
    <row r="2" spans="1:44" ht="18.75" customHeight="1" x14ac:dyDescent="0.2">
      <c r="A2" s="135"/>
      <c r="B2" s="145" t="s">
        <v>80</v>
      </c>
      <c r="C2" s="9"/>
      <c r="D2" s="9"/>
      <c r="E2" s="9"/>
      <c r="F2" s="9"/>
      <c r="G2" s="9"/>
      <c r="H2" s="9"/>
      <c r="I2" s="9"/>
      <c r="J2" s="13"/>
      <c r="K2" s="9"/>
      <c r="L2" s="9"/>
      <c r="M2" s="9"/>
      <c r="N2" s="9"/>
      <c r="O2" s="9"/>
      <c r="P2" s="9"/>
      <c r="Q2" s="9"/>
      <c r="R2" s="9"/>
      <c r="S2" s="9"/>
      <c r="T2" s="9"/>
      <c r="U2" s="134"/>
      <c r="V2" s="179"/>
      <c r="W2" s="168"/>
      <c r="AI2" s="210"/>
      <c r="AJ2" s="175"/>
    </row>
    <row r="3" spans="1:44" ht="18.75" customHeight="1" x14ac:dyDescent="0.2">
      <c r="A3" s="141"/>
      <c r="B3" s="142"/>
      <c r="C3" s="142"/>
      <c r="D3" s="142"/>
      <c r="E3" s="142"/>
      <c r="F3" s="142"/>
      <c r="G3" s="142"/>
      <c r="H3" s="142"/>
      <c r="I3" s="298"/>
      <c r="J3" s="143"/>
      <c r="K3" s="142"/>
      <c r="L3" s="142"/>
      <c r="M3" s="142"/>
      <c r="N3" s="142"/>
      <c r="O3" s="142"/>
      <c r="P3" s="142"/>
      <c r="Q3" s="142"/>
      <c r="R3" s="142"/>
      <c r="S3" s="298"/>
      <c r="T3" s="142"/>
      <c r="U3" s="144"/>
      <c r="V3" s="179"/>
      <c r="W3" s="168"/>
      <c r="AI3" s="210"/>
      <c r="AJ3" s="175"/>
    </row>
    <row r="4" spans="1:44" ht="11.25" customHeight="1" x14ac:dyDescent="0.2">
      <c r="A4" s="129"/>
      <c r="B4" s="130"/>
      <c r="C4" s="130"/>
      <c r="D4" s="130"/>
      <c r="E4" s="130"/>
      <c r="F4" s="130"/>
      <c r="G4" s="130"/>
      <c r="H4" s="130"/>
      <c r="I4" s="130"/>
      <c r="J4" s="131"/>
      <c r="K4" s="130"/>
      <c r="L4" s="130"/>
      <c r="M4" s="130"/>
      <c r="N4" s="130"/>
      <c r="O4" s="130"/>
      <c r="P4" s="130"/>
      <c r="Q4" s="130"/>
      <c r="R4" s="130"/>
      <c r="S4" s="130"/>
      <c r="T4" s="130"/>
      <c r="U4" s="132"/>
      <c r="V4" s="152"/>
      <c r="W4" s="168"/>
      <c r="X4" s="212" t="e">
        <f>VLOOKUP(Y4,$X$9:$Y$30,2,FALSE)</f>
        <v>#N/A</v>
      </c>
      <c r="Y4" s="212" t="str">
        <f>Home!$D$10</f>
        <v>(none)</v>
      </c>
      <c r="Z4" s="43" t="str">
        <f>"Selected LA- "&amp;Y4</f>
        <v>Selected LA- (none)</v>
      </c>
      <c r="AI4" s="210"/>
      <c r="AJ4" s="175"/>
    </row>
    <row r="5" spans="1:44" s="82" customFormat="1" ht="15" customHeight="1" x14ac:dyDescent="0.2">
      <c r="A5" s="136"/>
      <c r="B5" s="1013" t="s">
        <v>135</v>
      </c>
      <c r="C5" s="930"/>
      <c r="D5" s="930"/>
      <c r="E5" s="930"/>
      <c r="F5" s="930"/>
      <c r="G5" s="930"/>
      <c r="H5" s="930"/>
      <c r="I5" s="930"/>
      <c r="J5" s="930"/>
      <c r="K5" s="930"/>
      <c r="L5" s="930"/>
      <c r="M5" s="930"/>
      <c r="N5" s="930"/>
      <c r="O5" s="70"/>
      <c r="P5" s="70"/>
      <c r="Q5" s="70"/>
      <c r="R5" s="70"/>
      <c r="S5" s="70"/>
      <c r="T5" s="70"/>
      <c r="U5" s="137"/>
      <c r="V5" s="153"/>
      <c r="W5" s="169"/>
      <c r="X5" s="215"/>
      <c r="Y5" s="215"/>
      <c r="Z5" s="215"/>
      <c r="AA5" s="215"/>
      <c r="AB5" s="215"/>
      <c r="AC5" s="215"/>
      <c r="AD5" s="215"/>
      <c r="AE5" s="215"/>
      <c r="AF5" s="215"/>
      <c r="AG5" s="215"/>
      <c r="AH5" s="215"/>
      <c r="AI5" s="215"/>
      <c r="AJ5" s="176"/>
    </row>
    <row r="6" spans="1:44" ht="13.5" customHeight="1" x14ac:dyDescent="0.2">
      <c r="A6" s="135"/>
      <c r="B6" s="930"/>
      <c r="C6" s="930"/>
      <c r="D6" s="930"/>
      <c r="E6" s="930"/>
      <c r="F6" s="930"/>
      <c r="G6" s="930"/>
      <c r="H6" s="930"/>
      <c r="I6" s="930"/>
      <c r="J6" s="930"/>
      <c r="K6" s="930"/>
      <c r="L6" s="930"/>
      <c r="M6" s="930"/>
      <c r="N6" s="930"/>
      <c r="O6" s="70"/>
      <c r="P6" s="70"/>
      <c r="Q6" s="70"/>
      <c r="R6" s="70"/>
      <c r="S6" s="70"/>
      <c r="T6" s="70"/>
      <c r="U6" s="134"/>
      <c r="V6" s="152"/>
      <c r="W6" s="168"/>
      <c r="Y6" s="217"/>
      <c r="AI6" s="210"/>
      <c r="AJ6" s="175"/>
    </row>
    <row r="7" spans="1:44" s="101" customFormat="1" ht="21" customHeight="1" x14ac:dyDescent="0.2">
      <c r="A7" s="138"/>
      <c r="B7" s="1050" t="s">
        <v>215</v>
      </c>
      <c r="C7" s="97"/>
      <c r="D7" s="982" t="s">
        <v>88</v>
      </c>
      <c r="E7" s="1042"/>
      <c r="F7" s="1042"/>
      <c r="G7" s="1042"/>
      <c r="H7" s="1043"/>
      <c r="I7" s="1044" t="str">
        <f>"% Change "&amp;E8&amp;"-"&amp;RIGHT(H8,2)</f>
        <v>% Change 2015-18</v>
      </c>
      <c r="J7" s="115"/>
      <c r="K7" s="1046" t="s">
        <v>89</v>
      </c>
      <c r="L7" s="1047"/>
      <c r="M7" s="1047"/>
      <c r="N7" s="1047"/>
      <c r="O7" s="1047"/>
      <c r="P7" s="1048" t="str">
        <f>"SE Rank "&amp;O8</f>
        <v>SE Rank 2018</v>
      </c>
      <c r="Q7" s="70"/>
      <c r="R7" s="1039" t="str">
        <f>"Distance from Expected "&amp;H8</f>
        <v>Distance from Expected 2018</v>
      </c>
      <c r="S7" s="1040"/>
      <c r="T7" s="1041"/>
      <c r="U7" s="139"/>
      <c r="V7" s="154"/>
      <c r="W7" s="170"/>
      <c r="X7" s="232"/>
      <c r="Y7" s="232"/>
      <c r="Z7" s="233" t="s">
        <v>79</v>
      </c>
      <c r="AA7" s="217"/>
      <c r="AB7" s="217"/>
      <c r="AC7" s="226"/>
      <c r="AD7" s="226"/>
      <c r="AE7" s="217"/>
      <c r="AF7" s="234" t="s">
        <v>92</v>
      </c>
      <c r="AG7" s="217"/>
      <c r="AH7" s="217"/>
      <c r="AI7" s="232"/>
      <c r="AJ7" s="178"/>
    </row>
    <row r="8" spans="1:44" s="101" customFormat="1" ht="13.5" customHeight="1" x14ac:dyDescent="0.2">
      <c r="A8" s="138"/>
      <c r="B8" s="1051"/>
      <c r="C8" s="97"/>
      <c r="D8" s="393">
        <v>2014</v>
      </c>
      <c r="E8" s="393">
        <v>2015</v>
      </c>
      <c r="F8" s="393">
        <v>2016</v>
      </c>
      <c r="G8" s="393">
        <v>2017</v>
      </c>
      <c r="H8" s="394">
        <v>2018</v>
      </c>
      <c r="I8" s="1045"/>
      <c r="J8" s="115"/>
      <c r="K8" s="395">
        <f>D8</f>
        <v>2014</v>
      </c>
      <c r="L8" s="395">
        <f t="shared" ref="L8:O8" si="0">E8</f>
        <v>2015</v>
      </c>
      <c r="M8" s="395">
        <f t="shared" si="0"/>
        <v>2016</v>
      </c>
      <c r="N8" s="395">
        <f t="shared" si="0"/>
        <v>2017</v>
      </c>
      <c r="O8" s="395">
        <f t="shared" si="0"/>
        <v>2018</v>
      </c>
      <c r="P8" s="1049"/>
      <c r="Q8" s="70"/>
      <c r="R8" s="328" t="s">
        <v>78</v>
      </c>
      <c r="S8" s="375" t="s">
        <v>131</v>
      </c>
      <c r="T8" s="376" t="s">
        <v>132</v>
      </c>
      <c r="U8" s="139"/>
      <c r="V8" s="154"/>
      <c r="W8" s="170"/>
      <c r="X8" s="232"/>
      <c r="Y8" s="232"/>
      <c r="Z8" s="44">
        <f>K8</f>
        <v>2014</v>
      </c>
      <c r="AA8" s="44">
        <f>L8</f>
        <v>2015</v>
      </c>
      <c r="AB8" s="44">
        <f>M8</f>
        <v>2016</v>
      </c>
      <c r="AC8" s="44">
        <f>N8</f>
        <v>2017</v>
      </c>
      <c r="AD8" s="44">
        <f>O8</f>
        <v>2018</v>
      </c>
      <c r="AE8" s="217"/>
      <c r="AF8" s="217"/>
      <c r="AG8" s="217"/>
      <c r="AH8" s="217"/>
      <c r="AI8" s="232"/>
      <c r="AJ8" s="178"/>
    </row>
    <row r="9" spans="1:44" s="101" customFormat="1" ht="13.5" customHeight="1" x14ac:dyDescent="0.2">
      <c r="A9" s="533">
        <f>VLOOKUP(B9,Sheet1!$B$4:$C$25,2,FALSE)</f>
        <v>0</v>
      </c>
      <c r="B9" s="112" t="s">
        <v>0</v>
      </c>
      <c r="C9" s="97"/>
      <c r="D9" s="113">
        <f>IF(Year1_Bracknell_Forest Year1_Referrals="","",Year1_Bracknell_Forest Year1_Referrals)</f>
        <v>1136</v>
      </c>
      <c r="E9" s="113">
        <f>IF(Year2_Bracknell_Forest Year2_Referrals="","",Year2_Bracknell_Forest Year2_Referrals)</f>
        <v>1060</v>
      </c>
      <c r="F9" s="113">
        <f>IF(Year3_Bracknell_Forest Year3_Referrals="","",Year3_Bracknell_Forest Year3_Referrals)</f>
        <v>1306</v>
      </c>
      <c r="G9" s="113">
        <f>IF(Year4_Bracknell_Forest Year4_Referrals="","",Year4_Bracknell_Forest Year4_Referrals)</f>
        <v>1644</v>
      </c>
      <c r="H9" s="114">
        <f>IF(Year5_Bracknell_Forest Year5_Referrals="","",Year5_Bracknell_Forest Year5_Referrals)</f>
        <v>1819</v>
      </c>
      <c r="I9" s="392">
        <f>IF(ISNUMBER(H9),(H9-E9)/E9,"")</f>
        <v>0.71603773584905661</v>
      </c>
      <c r="J9" s="115"/>
      <c r="K9" s="116">
        <f>IF(ISNUMBER(D9),D9/Population!C8*10000,NA())</f>
        <v>419.18819188191884</v>
      </c>
      <c r="L9" s="116">
        <f>IF(ISNUMBER(E9),E9/Population!D8*10000,NA())</f>
        <v>381.29496402877697</v>
      </c>
      <c r="M9" s="116">
        <f>IF(ISNUMBER(F9),F9/Population!E8*10000,NA())</f>
        <v>463.12056737588654</v>
      </c>
      <c r="N9" s="116">
        <f>IF(ISNUMBER(G9),G9/Population!F8*10000,NA())</f>
        <v>583.51671754099527</v>
      </c>
      <c r="O9" s="117">
        <f>IF(ISNUMBER(H9),H9/Population!G8*10000,NA())</f>
        <v>647.9997150083716</v>
      </c>
      <c r="P9" s="397">
        <f>IF(ISNA(VLOOKUP(B9,$AF$9:$AH$27,3,FALSE)),"--",IF(ISNUMBER(H9),VLOOKUP(B9,$AF$9:$AH$27,3,FALSE),NA()))</f>
        <v>15</v>
      </c>
      <c r="Q9" s="70"/>
      <c r="R9" s="387">
        <f>IDACI!C9</f>
        <v>11</v>
      </c>
      <c r="S9" s="388">
        <f>(R9*$Y$68)+$Z$68</f>
        <v>439.47578069435917</v>
      </c>
      <c r="T9" s="389">
        <f>O9-S9</f>
        <v>208.52393431401242</v>
      </c>
      <c r="U9" s="139"/>
      <c r="V9" s="154"/>
      <c r="W9" s="170"/>
      <c r="X9" s="72" t="str">
        <f t="shared" ref="X9:X32" si="1">B9</f>
        <v>Bracknell Forest</v>
      </c>
      <c r="Y9" s="235">
        <v>1</v>
      </c>
      <c r="Z9" s="236">
        <f>IF(D9&gt;0,Population!C8,"")</f>
        <v>27100</v>
      </c>
      <c r="AA9" s="236">
        <f>IF(E9&gt;0,Population!D8,"")</f>
        <v>27800</v>
      </c>
      <c r="AB9" s="236">
        <f>IF(F9&gt;0,Population!E8,"")</f>
        <v>28200</v>
      </c>
      <c r="AC9" s="236">
        <f>IF(G9&gt;0,Population!F8,"")</f>
        <v>28174</v>
      </c>
      <c r="AD9" s="236">
        <f>IF(H9&gt;0,Population!G8,"")</f>
        <v>28071</v>
      </c>
      <c r="AE9" s="217"/>
      <c r="AF9" s="112" t="str">
        <f>B9</f>
        <v>Bracknell Forest</v>
      </c>
      <c r="AG9" s="262">
        <f>IFERROR(VLOOKUP(AF9,$B$9:$O$30,14,FALSE),"")</f>
        <v>647.9997150083716</v>
      </c>
      <c r="AH9" s="237">
        <f>RANK(AG9,$AG$9:$AG$27,1)</f>
        <v>15</v>
      </c>
      <c r="AI9" s="232"/>
      <c r="AJ9" s="178"/>
    </row>
    <row r="10" spans="1:44" s="101" customFormat="1" ht="13.5" customHeight="1" x14ac:dyDescent="0.2">
      <c r="A10" s="533">
        <f>VLOOKUP(B10,Sheet1!$B$4:$C$25,2,FALSE)</f>
        <v>0</v>
      </c>
      <c r="B10" s="112" t="s">
        <v>32</v>
      </c>
      <c r="C10" s="97"/>
      <c r="D10" s="113">
        <f>IF(Year1_Brighton_Hove Year1_Referrals="","",Year1_Brighton_Hove Year1_Referrals)</f>
        <v>4232</v>
      </c>
      <c r="E10" s="113">
        <f>IF(Year2_Brighton_Hove Year2_Referrals="","",Year2_Brighton_Hove Year2_Referrals)</f>
        <v>7307</v>
      </c>
      <c r="F10" s="113">
        <f>IF(Year3_Brighton_Hove Year3_Referrals="","",Year3_Brighton_Hove Year3_Referrals)</f>
        <v>3426</v>
      </c>
      <c r="G10" s="113">
        <f>IF(Year4_Brighton_Hove Year4_Referrals="","",Year4_Brighton_Hove Year4_Referrals)</f>
        <v>3405</v>
      </c>
      <c r="H10" s="114">
        <f>IF(Year5_Brighton_Hove Year5_Referrals="","",Year5_Brighton_Hove Year5_Referrals)</f>
        <v>3344</v>
      </c>
      <c r="I10" s="392">
        <f>IF(ISNUMBER(H10),(H10-E10)/E10,"")</f>
        <v>-0.54235664431367181</v>
      </c>
      <c r="J10" s="115"/>
      <c r="K10" s="116">
        <f>IF(ISNUMBER(D10),D10/Population!C9*10000,NA())</f>
        <v>838.01980198019805</v>
      </c>
      <c r="L10" s="116">
        <f>IF(ISNUMBER(E10),E10/Population!D9*10000,NA())</f>
        <v>1432.7450980392157</v>
      </c>
      <c r="M10" s="116">
        <f>IF(ISNUMBER(F10),F10/Population!E9*10000,NA())</f>
        <v>669.140625</v>
      </c>
      <c r="N10" s="116">
        <f>IF(ISNUMBER(G10),G10/Population!F9*10000,NA())</f>
        <v>663.98861176654123</v>
      </c>
      <c r="O10" s="117">
        <f>IF(ISNUMBER(H10),H10/Population!G9*10000,NA())</f>
        <v>655.93064082697481</v>
      </c>
      <c r="P10" s="397">
        <f t="shared" ref="P10:P32" si="2">IF(ISNA(VLOOKUP(B10,$AF$9:$AH$27,3,FALSE)),"--",IF(ISNUMBER(H10),VLOOKUP(B10,$AF$9:$AH$27,3,FALSE),NA()))</f>
        <v>16</v>
      </c>
      <c r="Q10" s="70"/>
      <c r="R10" s="387">
        <f>IDACI!C10</f>
        <v>18.3</v>
      </c>
      <c r="S10" s="388">
        <f t="shared" ref="S10:S32" si="3">(R10*$Y$68)+$Z$68</f>
        <v>529.02830459118059</v>
      </c>
      <c r="T10" s="389">
        <f t="shared" ref="T10:T32" si="4">O10-S10</f>
        <v>126.90233623579422</v>
      </c>
      <c r="U10" s="139"/>
      <c r="V10" s="154"/>
      <c r="W10" s="170"/>
      <c r="X10" s="72" t="str">
        <f t="shared" si="1"/>
        <v>Brighton &amp; Hove</v>
      </c>
      <c r="Y10" s="235">
        <v>2</v>
      </c>
      <c r="Z10" s="236">
        <f>IF(D10&gt;0,Population!C9,"")</f>
        <v>50500</v>
      </c>
      <c r="AA10" s="236">
        <f>IF(E10&gt;0,Population!D9,"")</f>
        <v>51000</v>
      </c>
      <c r="AB10" s="236">
        <f>IF(F10&gt;0,Population!E9,"")</f>
        <v>51200</v>
      </c>
      <c r="AC10" s="236">
        <f>IF(G10&gt;0,Population!F9,"")</f>
        <v>51281</v>
      </c>
      <c r="AD10" s="236">
        <f>IF(H10&gt;0,Population!G9,"")</f>
        <v>50981</v>
      </c>
      <c r="AE10" s="217"/>
      <c r="AF10" s="112" t="s">
        <v>32</v>
      </c>
      <c r="AG10" s="262">
        <f t="shared" ref="AG10:AG27" si="5">IFERROR(VLOOKUP(AF10,$B$9:$O$30,14,FALSE),"")</f>
        <v>655.93064082697481</v>
      </c>
      <c r="AH10" s="237">
        <f t="shared" ref="AH10:AH27" si="6">RANK(AG10,$AG$9:$AG$27,1)</f>
        <v>16</v>
      </c>
      <c r="AI10" s="232"/>
      <c r="AJ10" s="178"/>
    </row>
    <row r="11" spans="1:44" s="101" customFormat="1" ht="13.5" customHeight="1" x14ac:dyDescent="0.2">
      <c r="A11" s="533">
        <f>VLOOKUP(B11,Sheet1!$B$4:$C$25,2,FALSE)</f>
        <v>0</v>
      </c>
      <c r="B11" s="112" t="s">
        <v>9</v>
      </c>
      <c r="C11" s="97"/>
      <c r="D11" s="113">
        <f>IF(Year1_Buckinghamshire Year1_Referrals="","",Year1_Buckinghamshire Year1_Referrals)</f>
        <v>7317</v>
      </c>
      <c r="E11" s="113">
        <f>IF(Year2_Buckinghamshire Year2_Referrals="","",Year2_Buckinghamshire Year2_Referrals)</f>
        <v>5129</v>
      </c>
      <c r="F11" s="113">
        <f>IF(Year3_Buckinghamshire Year3_Referrals="","",Year3_Buckinghamshire Year3_Referrals)</f>
        <v>6958</v>
      </c>
      <c r="G11" s="113">
        <f>IF(Year4_Buckinghamshire Year4_Referrals="","",Year4_Buckinghamshire Year4_Referrals)</f>
        <v>9204</v>
      </c>
      <c r="H11" s="114">
        <f>IF(Year5_Buckinghamshire Year5_Referrals="","",Year5_Buckinghamshire Year5_Referrals)</f>
        <v>10337</v>
      </c>
      <c r="I11" s="392">
        <f t="shared" ref="I11:I32" si="7">IF(ISNUMBER(H11),(H11-E11)/E11,"")</f>
        <v>1.0154026125950477</v>
      </c>
      <c r="J11" s="115"/>
      <c r="K11" s="116">
        <f>IF(ISNUMBER(D11),D11/Population!C10*10000,NA())</f>
        <v>622.19387755102036</v>
      </c>
      <c r="L11" s="116">
        <f>IF(ISNUMBER(E11),E11/Population!D10*10000,NA())</f>
        <v>431.37089991589573</v>
      </c>
      <c r="M11" s="116">
        <f>IF(ISNUMBER(F11),F11/Population!E10*10000,NA())</f>
        <v>576.94859038142624</v>
      </c>
      <c r="N11" s="116">
        <f>IF(ISNUMBER(G11),G11/Population!F10*10000,NA())</f>
        <v>753.1606726402357</v>
      </c>
      <c r="O11" s="117">
        <f>IF(ISNUMBER(H11),H11/Population!G10*10000,NA())</f>
        <v>839.89437334958347</v>
      </c>
      <c r="P11" s="397">
        <f t="shared" si="2"/>
        <v>18</v>
      </c>
      <c r="Q11" s="70"/>
      <c r="R11" s="387">
        <f>IDACI!C11</f>
        <v>9.8000000000000007</v>
      </c>
      <c r="S11" s="388">
        <f t="shared" si="3"/>
        <v>424.75481786200498</v>
      </c>
      <c r="T11" s="389">
        <f t="shared" si="4"/>
        <v>415.13955548757849</v>
      </c>
      <c r="U11" s="139"/>
      <c r="V11" s="154"/>
      <c r="W11" s="170"/>
      <c r="X11" s="72" t="str">
        <f t="shared" si="1"/>
        <v>Buckinghamshire</v>
      </c>
      <c r="Y11" s="235">
        <v>3</v>
      </c>
      <c r="Z11" s="236">
        <f>IF(D11&gt;0,Population!C10,"")</f>
        <v>117600</v>
      </c>
      <c r="AA11" s="236">
        <f>IF(E11&gt;0,Population!D10,"")</f>
        <v>118900</v>
      </c>
      <c r="AB11" s="236">
        <f>IF(F11&gt;0,Population!E10,"")</f>
        <v>120600</v>
      </c>
      <c r="AC11" s="236">
        <f>IF(G11&gt;0,Population!F10,"")</f>
        <v>122205</v>
      </c>
      <c r="AD11" s="236">
        <f>IF(H11&gt;0,Population!G10,"")</f>
        <v>123075</v>
      </c>
      <c r="AE11" s="217"/>
      <c r="AF11" s="112" t="s">
        <v>9</v>
      </c>
      <c r="AG11" s="262">
        <f t="shared" si="5"/>
        <v>839.89437334958347</v>
      </c>
      <c r="AH11" s="237">
        <f t="shared" si="6"/>
        <v>18</v>
      </c>
      <c r="AI11" s="232"/>
      <c r="AJ11" s="178"/>
    </row>
    <row r="12" spans="1:44" s="101" customFormat="1" ht="13.5" customHeight="1" x14ac:dyDescent="0.2">
      <c r="A12" s="533">
        <f>VLOOKUP(B12,Sheet1!$B$4:$C$25,2,FALSE)</f>
        <v>0</v>
      </c>
      <c r="B12" s="112" t="s">
        <v>4</v>
      </c>
      <c r="C12" s="97"/>
      <c r="D12" s="113">
        <f>IF(Year1_East_Sussex Year1_Referrals="","",Year1_East_Sussex Year1_Referrals)</f>
        <v>7430</v>
      </c>
      <c r="E12" s="118">
        <f>IF(Year2_East_Sussex Year2_Referrals="","",Year2_East_Sussex Year2_Referrals)</f>
        <v>3990</v>
      </c>
      <c r="F12" s="113">
        <f>IF(Year3_East_Sussex Year3_Referrals="","",Year3_East_Sussex Year3_Referrals)</f>
        <v>3198</v>
      </c>
      <c r="G12" s="113">
        <f>IF(Year4_East_Sussex Year4_Referrals="","",Year4_East_Sussex Year4_Referrals)</f>
        <v>3676</v>
      </c>
      <c r="H12" s="114">
        <f>IF(Year5_East_Sussex Year5_Referrals="","",Year5_East_Sussex Year5_Referrals)</f>
        <v>4367</v>
      </c>
      <c r="I12" s="392">
        <f t="shared" si="7"/>
        <v>9.4486215538847118E-2</v>
      </c>
      <c r="J12" s="115"/>
      <c r="K12" s="116">
        <f>IF(ISNUMBER(D12),D12/Population!C11*10000,NA())</f>
        <v>708.96946564885502</v>
      </c>
      <c r="L12" s="116">
        <f>IF(ISNUMBER(E12),E12/Population!D11*10000,NA())</f>
        <v>378.55787476280835</v>
      </c>
      <c r="M12" s="116">
        <f>IF(ISNUMBER(F12),F12/Population!E11*10000,NA())</f>
        <v>301.98300283286119</v>
      </c>
      <c r="N12" s="116">
        <f>IF(ISNUMBER(G12),G12/Population!F11*10000,NA())</f>
        <v>347.04455123061092</v>
      </c>
      <c r="O12" s="117">
        <f>IF(ISNUMBER(H12),H12/Population!G11*10000,NA())</f>
        <v>411.80630864255738</v>
      </c>
      <c r="P12" s="397">
        <f t="shared" si="2"/>
        <v>6</v>
      </c>
      <c r="Q12" s="70"/>
      <c r="R12" s="387">
        <f>IDACI!C12</f>
        <v>17.399999999999999</v>
      </c>
      <c r="S12" s="388">
        <f>(R12*$Y$68)+$Z$68</f>
        <v>517.987582466915</v>
      </c>
      <c r="T12" s="389">
        <f t="shared" si="4"/>
        <v>-106.18127382435762</v>
      </c>
      <c r="U12" s="139"/>
      <c r="V12" s="154"/>
      <c r="W12" s="170"/>
      <c r="X12" s="72" t="str">
        <f t="shared" si="1"/>
        <v>East Sussex</v>
      </c>
      <c r="Y12" s="235">
        <v>4</v>
      </c>
      <c r="Z12" s="236">
        <f>IF(D12&gt;0,Population!C11,"")</f>
        <v>104800</v>
      </c>
      <c r="AA12" s="236">
        <f>IF(E12&gt;0,Population!D11,"")</f>
        <v>105400</v>
      </c>
      <c r="AB12" s="236">
        <f>IF(F12&gt;0,Population!E11,"")</f>
        <v>105900</v>
      </c>
      <c r="AC12" s="236">
        <f>IF(G12&gt;0,Population!F11,"")</f>
        <v>105923</v>
      </c>
      <c r="AD12" s="236">
        <f>IF(H12&gt;0,Population!G11,"")</f>
        <v>106045</v>
      </c>
      <c r="AE12" s="217"/>
      <c r="AF12" s="112" t="s">
        <v>4</v>
      </c>
      <c r="AG12" s="262">
        <f t="shared" si="5"/>
        <v>411.80630864255738</v>
      </c>
      <c r="AH12" s="237">
        <f t="shared" si="6"/>
        <v>6</v>
      </c>
      <c r="AI12" s="232"/>
      <c r="AJ12" s="178"/>
    </row>
    <row r="13" spans="1:44" s="101" customFormat="1" ht="13.5" customHeight="1" x14ac:dyDescent="0.2">
      <c r="A13" s="533">
        <f>VLOOKUP(B13,Sheet1!$B$4:$C$25,2,FALSE)</f>
        <v>0</v>
      </c>
      <c r="B13" s="112" t="s">
        <v>6</v>
      </c>
      <c r="C13" s="97"/>
      <c r="D13" s="113">
        <f>IF(Year1_Hampshire Year1_Referrals="","",Year1_Hampshire Year1_Referrals)</f>
        <v>16212</v>
      </c>
      <c r="E13" s="113">
        <f>IF(Year2_Hampshire Year2_Referrals="","",Year2_Hampshire Year2_Referrals)</f>
        <v>16749</v>
      </c>
      <c r="F13" s="113">
        <f>IF(Year3_Hampshire Year3_Referrals="","",Year3_Hampshire Year3_Referrals)</f>
        <v>16666</v>
      </c>
      <c r="G13" s="113">
        <f>IF(Year4_Hampshire Year4_Referrals="","",Year4_Hampshire Year4_Referrals)</f>
        <v>19435</v>
      </c>
      <c r="H13" s="114">
        <f>IF(Year5_Hampshire Year5_Referrals="","",Year5_Hampshire Year5_Referrals)</f>
        <v>16115</v>
      </c>
      <c r="I13" s="392">
        <f t="shared" si="7"/>
        <v>-3.7853006149620873E-2</v>
      </c>
      <c r="J13" s="115"/>
      <c r="K13" s="116">
        <f>IF(ISNUMBER(D13),D13/Population!C12*10000,NA())</f>
        <v>575.09755232351893</v>
      </c>
      <c r="L13" s="116">
        <f>IF(ISNUMBER(E13),E13/Population!D12*10000,NA())</f>
        <v>594.99111900532853</v>
      </c>
      <c r="M13" s="116">
        <f>IF(ISNUMBER(F13),F13/Population!E12*10000,NA())</f>
        <v>591.20255409719766</v>
      </c>
      <c r="N13" s="116">
        <f>IF(ISNUMBER(G13),G13/Population!F12*10000,NA())</f>
        <v>687.25666658415582</v>
      </c>
      <c r="O13" s="117">
        <f>IF(ISNUMBER(H13),H13/Population!G12*10000,NA())</f>
        <v>568.80351835772319</v>
      </c>
      <c r="P13" s="397">
        <f t="shared" si="2"/>
        <v>11</v>
      </c>
      <c r="Q13" s="70"/>
      <c r="R13" s="387">
        <f>IDACI!C13</f>
        <v>11.799999999999999</v>
      </c>
      <c r="S13" s="388">
        <f t="shared" si="3"/>
        <v>449.28975591592859</v>
      </c>
      <c r="T13" s="389">
        <f t="shared" si="4"/>
        <v>119.5137624417946</v>
      </c>
      <c r="U13" s="139"/>
      <c r="V13" s="154"/>
      <c r="W13" s="170"/>
      <c r="X13" s="72" t="str">
        <f t="shared" si="1"/>
        <v>Hampshire</v>
      </c>
      <c r="Y13" s="235">
        <v>5</v>
      </c>
      <c r="Z13" s="236">
        <f>IF(D13&gt;0,Population!C12,"")</f>
        <v>281900</v>
      </c>
      <c r="AA13" s="236">
        <f>IF(E13&gt;0,Population!D12,"")</f>
        <v>281500</v>
      </c>
      <c r="AB13" s="236">
        <f>IF(F13&gt;0,Population!E12,"")</f>
        <v>281900</v>
      </c>
      <c r="AC13" s="236">
        <f>IF(G13&gt;0,Population!F12,"")</f>
        <v>282791</v>
      </c>
      <c r="AD13" s="236">
        <f>IF(H13&gt;0,Population!G12,"")</f>
        <v>283314</v>
      </c>
      <c r="AE13" s="217"/>
      <c r="AF13" s="112" t="s">
        <v>6</v>
      </c>
      <c r="AG13" s="262">
        <f t="shared" si="5"/>
        <v>568.80351835772319</v>
      </c>
      <c r="AH13" s="237">
        <f t="shared" si="6"/>
        <v>11</v>
      </c>
      <c r="AI13" s="232"/>
      <c r="AJ13" s="178"/>
    </row>
    <row r="14" spans="1:44" s="101" customFormat="1" ht="13.5" customHeight="1" x14ac:dyDescent="0.2">
      <c r="A14" s="533">
        <f>VLOOKUP(B14,Sheet1!$B$4:$C$25,2,FALSE)</f>
        <v>0</v>
      </c>
      <c r="B14" s="112" t="s">
        <v>1</v>
      </c>
      <c r="C14" s="97"/>
      <c r="D14" s="113">
        <f>IF(Year1_Isle_of_Wight Year1_Referrals="","",Year1_Isle_of_Wight Year1_Referrals)</f>
        <v>2211</v>
      </c>
      <c r="E14" s="113">
        <f>IF(Year2_Isle_of_Wight Year2_Referrals="","",Year2_Isle_of_Wight Year2_Referrals)</f>
        <v>2375</v>
      </c>
      <c r="F14" s="113">
        <f>IF(Year3_Isle_of_Wight Year3_Referrals="","",Year3_Isle_of_Wight Year3_Referrals)</f>
        <v>2389</v>
      </c>
      <c r="G14" s="113">
        <f>IF(Year4_Isle_of_Wight Year4_Referrals="","",Year4_Isle_of_Wight Year4_Referrals)</f>
        <v>2613</v>
      </c>
      <c r="H14" s="114">
        <f>IF(Year5_Isle_of_Wight Year5_Referrals="","",Year5_Isle_of_Wight Year5_Referrals)</f>
        <v>2212</v>
      </c>
      <c r="I14" s="392">
        <f t="shared" si="7"/>
        <v>-6.8631578947368418E-2</v>
      </c>
      <c r="J14" s="115"/>
      <c r="K14" s="116">
        <f>IF(ISNUMBER(D14),D14/Population!C13*10000,NA())</f>
        <v>856.97674418604652</v>
      </c>
      <c r="L14" s="116">
        <f>IF(ISNUMBER(E14),E14/Population!D13*10000,NA())</f>
        <v>931.37254901960785</v>
      </c>
      <c r="M14" s="116">
        <f>IF(ISNUMBER(F14),F14/Population!E13*10000,NA())</f>
        <v>944.26877470355737</v>
      </c>
      <c r="N14" s="116">
        <f>IF(ISNUMBER(G14),G14/Population!F13*10000,NA())</f>
        <v>1036.9047619047619</v>
      </c>
      <c r="O14" s="117">
        <f>IF(ISNUMBER(H14),H14/Population!G13*10000,NA())</f>
        <v>882.85771303133106</v>
      </c>
      <c r="P14" s="397">
        <f t="shared" si="2"/>
        <v>19</v>
      </c>
      <c r="Q14" s="70"/>
      <c r="R14" s="387">
        <f>IDACI!C14</f>
        <v>20.399999999999999</v>
      </c>
      <c r="S14" s="388">
        <f t="shared" si="3"/>
        <v>554.78998954780047</v>
      </c>
      <c r="T14" s="389">
        <f t="shared" si="4"/>
        <v>328.06772348353059</v>
      </c>
      <c r="U14" s="139"/>
      <c r="V14" s="154"/>
      <c r="W14" s="170"/>
      <c r="X14" s="72" t="str">
        <f t="shared" si="1"/>
        <v>Isle of Wight</v>
      </c>
      <c r="Y14" s="235">
        <v>6</v>
      </c>
      <c r="Z14" s="236">
        <f>IF(D14&gt;0,Population!C13,"")</f>
        <v>25800</v>
      </c>
      <c r="AA14" s="236">
        <f>IF(E14&gt;0,Population!D13,"")</f>
        <v>25500</v>
      </c>
      <c r="AB14" s="236">
        <f>IF(F14&gt;0,Population!E13,"")</f>
        <v>25300</v>
      </c>
      <c r="AC14" s="236">
        <f>IF(G14&gt;0,Population!F13,"")</f>
        <v>25200</v>
      </c>
      <c r="AD14" s="236">
        <f>IF(H14&gt;0,Population!G13,"")</f>
        <v>25055</v>
      </c>
      <c r="AE14" s="217"/>
      <c r="AF14" s="112" t="s">
        <v>1</v>
      </c>
      <c r="AG14" s="262">
        <f t="shared" si="5"/>
        <v>882.85771303133106</v>
      </c>
      <c r="AH14" s="237">
        <f t="shared" si="6"/>
        <v>19</v>
      </c>
      <c r="AI14" s="232"/>
      <c r="AJ14" s="178"/>
      <c r="AR14" s="101" t="s">
        <v>104</v>
      </c>
    </row>
    <row r="15" spans="1:44" s="101" customFormat="1" ht="13.5" customHeight="1" x14ac:dyDescent="0.2">
      <c r="A15" s="533">
        <f>VLOOKUP(B15,Sheet1!$B$4:$C$25,2,FALSE)</f>
        <v>0</v>
      </c>
      <c r="B15" s="112" t="s">
        <v>10</v>
      </c>
      <c r="C15" s="97"/>
      <c r="D15" s="113">
        <f>IF(Year1_Kent Year1_Referrals="","",Year1_Kent Year1_Referrals)</f>
        <v>19164</v>
      </c>
      <c r="E15" s="113">
        <f>IF(Year2_Kent Year2_Referrals="","",Year2_Kent Year2_Referrals)</f>
        <v>16529</v>
      </c>
      <c r="F15" s="113">
        <f>IF(Year3_Kent Year3_Referrals="","",Year3_Kent Year3_Referrals)</f>
        <v>15342</v>
      </c>
      <c r="G15" s="113">
        <f>IF(Year4_Kent Year4_Referrals="","",Year4_Kent Year4_Referrals)</f>
        <v>15805</v>
      </c>
      <c r="H15" s="114">
        <f>IF(Year5_Kent Year5_Referrals="","",Year5_Kent Year5_Referrals)</f>
        <v>19373</v>
      </c>
      <c r="I15" s="392">
        <f t="shared" si="7"/>
        <v>0.17206122572448423</v>
      </c>
      <c r="J15" s="115"/>
      <c r="K15" s="116">
        <f>IF(ISNUMBER(D15),D15/Population!C14*10000,NA())</f>
        <v>588.57493857493853</v>
      </c>
      <c r="L15" s="116">
        <f>IF(ISNUMBER(E15),E15/Population!D14*10000,NA())</f>
        <v>503.4724337496192</v>
      </c>
      <c r="M15" s="116">
        <f>IF(ISNUMBER(F15),F15/Population!E14*10000,NA())</f>
        <v>464.34624697336562</v>
      </c>
      <c r="N15" s="116">
        <f>IF(ISNUMBER(G15),G15/Population!F14*10000,NA())</f>
        <v>474.56049482802626</v>
      </c>
      <c r="O15" s="117">
        <f>IF(ISNUMBER(H15),H15/Population!G14*10000,NA())</f>
        <v>576.42298193936142</v>
      </c>
      <c r="P15" s="397">
        <f t="shared" si="2"/>
        <v>12</v>
      </c>
      <c r="Q15" s="70"/>
      <c r="R15" s="387">
        <f>IDACI!C15</f>
        <v>17.8</v>
      </c>
      <c r="S15" s="388">
        <f t="shared" si="3"/>
        <v>522.89457007769977</v>
      </c>
      <c r="T15" s="389">
        <f t="shared" si="4"/>
        <v>53.528411861661652</v>
      </c>
      <c r="U15" s="139"/>
      <c r="V15" s="154"/>
      <c r="W15" s="170"/>
      <c r="X15" s="72" t="str">
        <f t="shared" si="1"/>
        <v>Kent</v>
      </c>
      <c r="Y15" s="235">
        <v>7</v>
      </c>
      <c r="Z15" s="236">
        <f>IF(D15&gt;0,Population!C14,"")</f>
        <v>325600</v>
      </c>
      <c r="AA15" s="236">
        <f>IF(E15&gt;0,Population!D14,"")</f>
        <v>328300</v>
      </c>
      <c r="AB15" s="236">
        <f>IF(F15&gt;0,Population!E14,"")</f>
        <v>330400</v>
      </c>
      <c r="AC15" s="236">
        <f>IF(G15&gt;0,Population!F14,"")</f>
        <v>333045</v>
      </c>
      <c r="AD15" s="236">
        <f>IF(H15&gt;0,Population!G14,"")</f>
        <v>336090</v>
      </c>
      <c r="AE15" s="217"/>
      <c r="AF15" s="112" t="s">
        <v>10</v>
      </c>
      <c r="AG15" s="262">
        <f t="shared" si="5"/>
        <v>576.42298193936142</v>
      </c>
      <c r="AH15" s="237">
        <f t="shared" si="6"/>
        <v>12</v>
      </c>
      <c r="AI15" s="232"/>
      <c r="AJ15" s="178"/>
    </row>
    <row r="16" spans="1:44" s="101" customFormat="1" ht="13.5" customHeight="1" x14ac:dyDescent="0.2">
      <c r="A16" s="533">
        <f>VLOOKUP(B16,Sheet1!$B$4:$C$25,2,FALSE)</f>
        <v>0</v>
      </c>
      <c r="B16" s="112" t="s">
        <v>2</v>
      </c>
      <c r="C16" s="97"/>
      <c r="D16" s="113">
        <f>IF(Year1_Medway Year1_Referrals="","",Year1_Medway Year1_Referrals)</f>
        <v>4259</v>
      </c>
      <c r="E16" s="113">
        <f>IF(Year2_Medway Year2_Referrals="","",Year2_Medway Year2_Referrals)</f>
        <v>3080</v>
      </c>
      <c r="F16" s="113">
        <f>IF(Year3_Medway Year3_Referrals="","",Year3_Medway Year3_Referrals)</f>
        <v>3368</v>
      </c>
      <c r="G16" s="113">
        <f>IF(Year4_Medway Year4_Referrals="","",Year4_Medway Year4_Referrals)</f>
        <v>2732</v>
      </c>
      <c r="H16" s="114">
        <f>IF(Year5_Medway Year5_Referrals="","",Year5_Medway Year5_Referrals)</f>
        <v>2612</v>
      </c>
      <c r="I16" s="392">
        <f t="shared" si="7"/>
        <v>-0.15194805194805194</v>
      </c>
      <c r="J16" s="115"/>
      <c r="K16" s="116">
        <f>IF(ISNUMBER(D16),D16/Population!C15*10000,NA())</f>
        <v>691.39610389610391</v>
      </c>
      <c r="L16" s="116">
        <f>IF(ISNUMBER(E16),E16/Population!D15*10000,NA())</f>
        <v>492.79999999999995</v>
      </c>
      <c r="M16" s="116">
        <f>IF(ISNUMBER(F16),F16/Population!E15*10000,NA())</f>
        <v>532.91139240506334</v>
      </c>
      <c r="N16" s="116">
        <f>IF(ISNUMBER(G16),G16/Population!F15*10000,NA())</f>
        <v>428.90559994976212</v>
      </c>
      <c r="O16" s="117">
        <f>IF(ISNUMBER(H16),H16/Population!G15*10000,NA())</f>
        <v>408.48881034671507</v>
      </c>
      <c r="P16" s="397">
        <f t="shared" si="2"/>
        <v>5</v>
      </c>
      <c r="Q16" s="70"/>
      <c r="R16" s="387">
        <f>IDACI!C16</f>
        <v>22</v>
      </c>
      <c r="S16" s="388">
        <f t="shared" si="3"/>
        <v>574.41793999093943</v>
      </c>
      <c r="T16" s="389">
        <f t="shared" si="4"/>
        <v>-165.92912964422436</v>
      </c>
      <c r="U16" s="139"/>
      <c r="V16" s="154"/>
      <c r="W16" s="170"/>
      <c r="X16" s="72" t="str">
        <f t="shared" si="1"/>
        <v>Medway</v>
      </c>
      <c r="Y16" s="235">
        <v>8</v>
      </c>
      <c r="Z16" s="236">
        <f>IF(D16&gt;0,Population!C15,"")</f>
        <v>61600</v>
      </c>
      <c r="AA16" s="236">
        <f>IF(E16&gt;0,Population!D15,"")</f>
        <v>62500</v>
      </c>
      <c r="AB16" s="236">
        <f>IF(F16&gt;0,Population!E15,"")</f>
        <v>63200</v>
      </c>
      <c r="AC16" s="236">
        <f>IF(G16&gt;0,Population!F15,"")</f>
        <v>63697</v>
      </c>
      <c r="AD16" s="236">
        <f>IF(H16&gt;0,Population!G15,"")</f>
        <v>63943</v>
      </c>
      <c r="AE16" s="217"/>
      <c r="AF16" s="112" t="s">
        <v>2</v>
      </c>
      <c r="AG16" s="262">
        <f t="shared" si="5"/>
        <v>408.48881034671507</v>
      </c>
      <c r="AH16" s="237">
        <f t="shared" si="6"/>
        <v>5</v>
      </c>
      <c r="AI16" s="232"/>
      <c r="AJ16" s="178"/>
    </row>
    <row r="17" spans="1:36" s="101" customFormat="1" ht="13.5" customHeight="1" x14ac:dyDescent="0.2">
      <c r="A17" s="533">
        <f>VLOOKUP(B17,Sheet1!$B$4:$C$25,2,FALSE)</f>
        <v>0</v>
      </c>
      <c r="B17" s="112" t="s">
        <v>11</v>
      </c>
      <c r="C17" s="97"/>
      <c r="D17" s="113">
        <f>IF(Year1_Milton_Keynes Year1_Referrals="","",Year1_Milton_Keynes Year1_Referrals)</f>
        <v>3138</v>
      </c>
      <c r="E17" s="113">
        <f>IF(Year2_Milton_Keynes Year2_Referrals="","",Year2_Milton_Keynes Year2_Referrals)</f>
        <v>2569</v>
      </c>
      <c r="F17" s="113">
        <f>IF(Year3_Milton_Keynes Year3_Referrals="","",Year3_Milton_Keynes Year3_Referrals)</f>
        <v>2769</v>
      </c>
      <c r="G17" s="113">
        <f>IF(Year4_Milton_Keynes Year4_Referrals="","",Year4_Milton_Keynes Year4_Referrals)</f>
        <v>3083</v>
      </c>
      <c r="H17" s="114">
        <f>IF(Year5_Milton_Keynes Year5_Referrals="","",Year5_Milton_Keynes Year5_Referrals)</f>
        <v>2359</v>
      </c>
      <c r="I17" s="392">
        <f t="shared" si="7"/>
        <v>-8.1743869209809264E-2</v>
      </c>
      <c r="J17" s="115"/>
      <c r="K17" s="116">
        <f>IF(ISNUMBER(D17),D17/Population!C16*10000,NA())</f>
        <v>490.3125</v>
      </c>
      <c r="L17" s="116">
        <f>IF(ISNUMBER(E17),E17/Population!D16*10000,NA())</f>
        <v>394.01840490797548</v>
      </c>
      <c r="M17" s="116">
        <f>IF(ISNUMBER(F17),F17/Population!E16*10000,NA())</f>
        <v>418.91074130105898</v>
      </c>
      <c r="N17" s="116">
        <f>IF(ISNUMBER(G17),G17/Population!F16*10000,NA())</f>
        <v>459.14872069818006</v>
      </c>
      <c r="O17" s="117">
        <f>IF(ISNUMBER(H17),H17/Population!G16*10000,NA())</f>
        <v>348.72204236699338</v>
      </c>
      <c r="P17" s="397">
        <f t="shared" si="2"/>
        <v>2</v>
      </c>
      <c r="Q17" s="70"/>
      <c r="R17" s="387">
        <f>IDACI!C17</f>
        <v>19.7</v>
      </c>
      <c r="S17" s="388">
        <f t="shared" si="3"/>
        <v>546.20276122892722</v>
      </c>
      <c r="T17" s="389">
        <f t="shared" si="4"/>
        <v>-197.48071886193384</v>
      </c>
      <c r="U17" s="139"/>
      <c r="V17" s="154"/>
      <c r="W17" s="170"/>
      <c r="X17" s="72" t="str">
        <f t="shared" si="1"/>
        <v>Milton Keynes</v>
      </c>
      <c r="Y17" s="235">
        <v>9</v>
      </c>
      <c r="Z17" s="236">
        <f>IF(D17&gt;0,Population!C16,"")</f>
        <v>64000</v>
      </c>
      <c r="AA17" s="236">
        <f>IF(E17&gt;0,Population!D16,"")</f>
        <v>65200</v>
      </c>
      <c r="AB17" s="236">
        <f>IF(F17&gt;0,Population!E16,"")</f>
        <v>66100</v>
      </c>
      <c r="AC17" s="236">
        <f>IF(G17&gt;0,Population!F16,"")</f>
        <v>67146</v>
      </c>
      <c r="AD17" s="236">
        <f>IF(H17&gt;0,Population!G16,"")</f>
        <v>67647</v>
      </c>
      <c r="AE17" s="217"/>
      <c r="AF17" s="112" t="s">
        <v>11</v>
      </c>
      <c r="AG17" s="262">
        <f t="shared" si="5"/>
        <v>348.72204236699338</v>
      </c>
      <c r="AH17" s="237">
        <f t="shared" si="6"/>
        <v>2</v>
      </c>
      <c r="AI17" s="232"/>
      <c r="AJ17" s="178"/>
    </row>
    <row r="18" spans="1:36" s="101" customFormat="1" ht="13.5" customHeight="1" x14ac:dyDescent="0.2">
      <c r="A18" s="533">
        <f>VLOOKUP(B18,Sheet1!$B$4:$C$25,2,FALSE)</f>
        <v>0</v>
      </c>
      <c r="B18" s="112" t="s">
        <v>12</v>
      </c>
      <c r="C18" s="97"/>
      <c r="D18" s="113">
        <f>IF(Year1_Oxfordshire Year1_Referrals="","",Year1_Oxfordshire Year1_Referrals)</f>
        <v>5905</v>
      </c>
      <c r="E18" s="113">
        <f>IF(Year2_Oxfordshire Year2_Referrals="","",Year2_Oxfordshire Year2_Referrals)</f>
        <v>5663</v>
      </c>
      <c r="F18" s="113">
        <f>IF(Year3_Oxfordshire Year3_Referrals="","",Year3_Oxfordshire Year3_Referrals)</f>
        <v>6750</v>
      </c>
      <c r="G18" s="113">
        <f>IF(Year4_Oxfordshire Year4_Referrals="","",Year4_Oxfordshire Year4_Referrals)</f>
        <v>7066</v>
      </c>
      <c r="H18" s="114">
        <f>IF(Year5_Oxfordshire Year5_Referrals="","",Year5_Oxfordshire Year5_Referrals)</f>
        <v>6814</v>
      </c>
      <c r="I18" s="392">
        <f t="shared" si="7"/>
        <v>0.20324916122196715</v>
      </c>
      <c r="J18" s="115"/>
      <c r="K18" s="116">
        <f>IF(ISNUMBER(D18),D18/Population!C17*10000,NA())</f>
        <v>420.88382038488953</v>
      </c>
      <c r="L18" s="116">
        <f>IF(ISNUMBER(E18),E18/Population!D17*10000,NA())</f>
        <v>401.06232294617564</v>
      </c>
      <c r="M18" s="116">
        <f>IF(ISNUMBER(F18),F18/Population!E17*10000,NA())</f>
        <v>476.02256699576873</v>
      </c>
      <c r="N18" s="116">
        <f>IF(ISNUMBER(G18),G18/Population!F17*10000,NA())</f>
        <v>494.48203951097639</v>
      </c>
      <c r="O18" s="117">
        <f>IF(ISNUMBER(H18),H18/Population!G17*10000,NA())</f>
        <v>475.02858258275006</v>
      </c>
      <c r="P18" s="397">
        <f t="shared" si="2"/>
        <v>8</v>
      </c>
      <c r="Q18" s="70"/>
      <c r="R18" s="387">
        <f>IDACI!C18</f>
        <v>11.799999999999999</v>
      </c>
      <c r="S18" s="388">
        <f t="shared" si="3"/>
        <v>449.28975591592859</v>
      </c>
      <c r="T18" s="389">
        <f t="shared" si="4"/>
        <v>25.738826666821467</v>
      </c>
      <c r="U18" s="139"/>
      <c r="V18" s="154"/>
      <c r="W18" s="170"/>
      <c r="X18" s="72" t="str">
        <f t="shared" si="1"/>
        <v>Oxfordshire</v>
      </c>
      <c r="Y18" s="235">
        <v>10</v>
      </c>
      <c r="Z18" s="236">
        <f>IF(D18&gt;0,Population!C17,"")</f>
        <v>140300</v>
      </c>
      <c r="AA18" s="236">
        <f>IF(E18&gt;0,Population!D17,"")</f>
        <v>141200</v>
      </c>
      <c r="AB18" s="236">
        <f>IF(F18&gt;0,Population!E17,"")</f>
        <v>141800</v>
      </c>
      <c r="AC18" s="236">
        <f>IF(G18&gt;0,Population!F17,"")</f>
        <v>142897</v>
      </c>
      <c r="AD18" s="236">
        <f>IF(H18&gt;0,Population!G17,"")</f>
        <v>143444</v>
      </c>
      <c r="AE18" s="217"/>
      <c r="AF18" s="112" t="s">
        <v>12</v>
      </c>
      <c r="AG18" s="262">
        <f t="shared" si="5"/>
        <v>475.02858258275006</v>
      </c>
      <c r="AH18" s="237">
        <f t="shared" si="6"/>
        <v>8</v>
      </c>
      <c r="AI18" s="232"/>
      <c r="AJ18" s="178"/>
    </row>
    <row r="19" spans="1:36" s="101" customFormat="1" ht="13.5" customHeight="1" x14ac:dyDescent="0.2">
      <c r="A19" s="533">
        <f>VLOOKUP(B19,Sheet1!$B$4:$C$25,2,FALSE)</f>
        <v>0</v>
      </c>
      <c r="B19" s="112" t="s">
        <v>13</v>
      </c>
      <c r="C19" s="97"/>
      <c r="D19" s="113">
        <f>IF(Year1_Portsmouth Year1_Referrals="","",Year1_Portsmouth Year1_Referrals)</f>
        <v>1822</v>
      </c>
      <c r="E19" s="113">
        <f>IF(Year2_Portsmouth Year2_Referrals="","",Year2_Portsmouth Year2_Referrals)</f>
        <v>1921</v>
      </c>
      <c r="F19" s="113">
        <f>IF(Year3_Portsmouth Year3_Referrals="","",Year3_Portsmouth Year3_Referrals)</f>
        <v>2093</v>
      </c>
      <c r="G19" s="113">
        <f>IF(Year4_Portsmouth Year4_Referrals="","",Year4_Portsmouth Year4_Referrals)</f>
        <v>2487</v>
      </c>
      <c r="H19" s="114">
        <f>IF(Year5_Portsmouth Year5_Referrals="","",Year5_Portsmouth Year5_Referrals)</f>
        <v>2845</v>
      </c>
      <c r="I19" s="392">
        <f t="shared" si="7"/>
        <v>0.48099947943779281</v>
      </c>
      <c r="J19" s="115"/>
      <c r="K19" s="116">
        <f>IF(ISNUMBER(D19),D19/Population!C18*10000,NA())</f>
        <v>427.69953051643188</v>
      </c>
      <c r="L19" s="116">
        <f>IF(ISNUMBER(E19),E19/Population!D18*10000,NA())</f>
        <v>442.62672811059912</v>
      </c>
      <c r="M19" s="116">
        <f>IF(ISNUMBER(F19),F19/Population!E18*10000,NA())</f>
        <v>477.85388127853878</v>
      </c>
      <c r="N19" s="116">
        <f>IF(ISNUMBER(G19),G19/Population!F18*10000,NA())</f>
        <v>565.22727272727275</v>
      </c>
      <c r="O19" s="117">
        <f>IF(ISNUMBER(H19),H19/Population!G18*10000,NA())</f>
        <v>643.78167994207092</v>
      </c>
      <c r="P19" s="397">
        <f t="shared" si="2"/>
        <v>14</v>
      </c>
      <c r="Q19" s="70"/>
      <c r="R19" s="387">
        <f>IDACI!C19</f>
        <v>23.799999999999997</v>
      </c>
      <c r="S19" s="388">
        <f t="shared" si="3"/>
        <v>596.49938423947083</v>
      </c>
      <c r="T19" s="389">
        <f t="shared" si="4"/>
        <v>47.282295702600095</v>
      </c>
      <c r="U19" s="139"/>
      <c r="V19" s="154"/>
      <c r="W19" s="170"/>
      <c r="X19" s="72" t="str">
        <f t="shared" si="1"/>
        <v>Portsmouth</v>
      </c>
      <c r="Y19" s="235">
        <v>11</v>
      </c>
      <c r="Z19" s="236">
        <f>IF(D19&gt;0,Population!C18,"")</f>
        <v>42600</v>
      </c>
      <c r="AA19" s="236">
        <f>IF(E19&gt;0,Population!D18,"")</f>
        <v>43400</v>
      </c>
      <c r="AB19" s="236">
        <f>IF(F19&gt;0,Population!E18,"")</f>
        <v>43800</v>
      </c>
      <c r="AC19" s="236">
        <f>IF(G19&gt;0,Population!F18,"")</f>
        <v>44000</v>
      </c>
      <c r="AD19" s="236">
        <f>IF(H19&gt;0,Population!G18,"")</f>
        <v>44192</v>
      </c>
      <c r="AE19" s="217"/>
      <c r="AF19" s="112" t="s">
        <v>13</v>
      </c>
      <c r="AG19" s="262">
        <f t="shared" si="5"/>
        <v>643.78167994207092</v>
      </c>
      <c r="AH19" s="237">
        <f t="shared" si="6"/>
        <v>14</v>
      </c>
      <c r="AI19" s="232"/>
      <c r="AJ19" s="178"/>
    </row>
    <row r="20" spans="1:36" s="101" customFormat="1" ht="13.5" customHeight="1" x14ac:dyDescent="0.2">
      <c r="A20" s="533">
        <f>VLOOKUP(B20,Sheet1!$B$4:$C$25,2,FALSE)</f>
        <v>0</v>
      </c>
      <c r="B20" s="112" t="s">
        <v>3</v>
      </c>
      <c r="C20" s="97"/>
      <c r="D20" s="113">
        <f>IF(Year1_Reading Year1_Referrals="","",Year1_Reading Year1_Referrals)</f>
        <v>1732</v>
      </c>
      <c r="E20" s="113">
        <f>IF(Year2_Reading Year2_Referrals="","",Year2_Reading Year2_Referrals)</f>
        <v>1673</v>
      </c>
      <c r="F20" s="113">
        <f>IF(Year3_Reading Year3_Referrals="","",Year3_Reading Year3_Referrals)</f>
        <v>3078</v>
      </c>
      <c r="G20" s="113">
        <f>IF(Year4_Reading Year4_Referrals="","",Year4_Reading Year4_Referrals)</f>
        <v>3267</v>
      </c>
      <c r="H20" s="114">
        <f>IF(Year5_Reading Year5_Referrals="","",Year5_Reading Year5_Referrals)</f>
        <v>2628</v>
      </c>
      <c r="I20" s="392">
        <f t="shared" si="7"/>
        <v>0.57083084279736995</v>
      </c>
      <c r="J20" s="115"/>
      <c r="K20" s="116">
        <f>IF(ISNUMBER(D20),D20/Population!C19*10000,NA())</f>
        <v>499.135446685879</v>
      </c>
      <c r="L20" s="116">
        <f>IF(ISNUMBER(E20),E20/Population!D19*10000,NA())</f>
        <v>466.01671309192204</v>
      </c>
      <c r="M20" s="116">
        <f>IF(ISNUMBER(F20),F20/Population!E19*10000,NA())</f>
        <v>845.60439560439556</v>
      </c>
      <c r="N20" s="116">
        <f>IF(ISNUMBER(G20),G20/Population!F19*10000,NA())</f>
        <v>891.62413689582706</v>
      </c>
      <c r="O20" s="117">
        <f>IF(ISNUMBER(H20),H20/Population!G19*10000,NA())</f>
        <v>708.48947240719269</v>
      </c>
      <c r="P20" s="397">
        <f t="shared" si="2"/>
        <v>17</v>
      </c>
      <c r="Q20" s="70"/>
      <c r="R20" s="387">
        <f>IDACI!C20</f>
        <v>19.8</v>
      </c>
      <c r="S20" s="388">
        <f t="shared" si="3"/>
        <v>547.42950813162338</v>
      </c>
      <c r="T20" s="389">
        <f t="shared" si="4"/>
        <v>161.05996427556931</v>
      </c>
      <c r="U20" s="139"/>
      <c r="V20" s="154"/>
      <c r="W20" s="170"/>
      <c r="X20" s="72" t="str">
        <f t="shared" si="1"/>
        <v>Reading</v>
      </c>
      <c r="Y20" s="235">
        <v>12</v>
      </c>
      <c r="Z20" s="236">
        <f>IF(D20&gt;0,Population!C19,"")</f>
        <v>34700</v>
      </c>
      <c r="AA20" s="236">
        <f>IF(E20&gt;0,Population!D19,"")</f>
        <v>35900</v>
      </c>
      <c r="AB20" s="236">
        <f>IF(F20&gt;0,Population!E19,"")</f>
        <v>36400</v>
      </c>
      <c r="AC20" s="236">
        <f>IF(G20&gt;0,Population!F19,"")</f>
        <v>36641</v>
      </c>
      <c r="AD20" s="236">
        <f>IF(H20&gt;0,Population!G19,"")</f>
        <v>37093</v>
      </c>
      <c r="AE20" s="217"/>
      <c r="AF20" s="112" t="s">
        <v>3</v>
      </c>
      <c r="AG20" s="262">
        <f t="shared" si="5"/>
        <v>708.48947240719269</v>
      </c>
      <c r="AH20" s="237">
        <f t="shared" si="6"/>
        <v>17</v>
      </c>
      <c r="AI20" s="232"/>
      <c r="AJ20" s="178"/>
    </row>
    <row r="21" spans="1:36" s="101" customFormat="1" ht="13.5" customHeight="1" x14ac:dyDescent="0.2">
      <c r="A21" s="533">
        <f>VLOOKUP(B21,Sheet1!$B$4:$C$25,2,FALSE)</f>
        <v>0</v>
      </c>
      <c r="B21" s="112" t="s">
        <v>14</v>
      </c>
      <c r="C21" s="97"/>
      <c r="D21" s="113">
        <f>IF(Year1_Slough Year1_Referrals="","",Year1_Slough Year1_Referrals)</f>
        <v>2507</v>
      </c>
      <c r="E21" s="113">
        <f>IF(Year2_Slough Year2_Referrals="","",Year2_Slough Year2_Referrals)</f>
        <v>2282</v>
      </c>
      <c r="F21" s="113">
        <f>IF(Year3_Slough Year3_Referrals="","",Year3_Slough Year3_Referrals)</f>
        <v>2774</v>
      </c>
      <c r="G21" s="113">
        <f>IF(Year4_Slough Year4_Referrals="","",Year4_Slough Year4_Referrals)</f>
        <v>5688</v>
      </c>
      <c r="H21" s="114">
        <f>IF(Year5_Slough Year5_Referrals="","",Year5_Slough Year5_Referrals)</f>
        <v>1591</v>
      </c>
      <c r="I21" s="392">
        <f t="shared" si="7"/>
        <v>-0.30280455740578438</v>
      </c>
      <c r="J21" s="115"/>
      <c r="K21" s="116">
        <f>IF(ISNUMBER(D21),D21/Population!C20*10000,NA())</f>
        <v>644.47300771208222</v>
      </c>
      <c r="L21" s="116">
        <f>IF(ISNUMBER(E21),E21/Population!D20*10000,NA())</f>
        <v>571.92982456140351</v>
      </c>
      <c r="M21" s="116">
        <f>IF(ISNUMBER(F21),F21/Population!E20*10000,NA())</f>
        <v>683.25123152709364</v>
      </c>
      <c r="N21" s="116">
        <f>IF(ISNUMBER(G21),G21/Population!F20*10000,NA())</f>
        <v>1373.7139544993479</v>
      </c>
      <c r="O21" s="117">
        <f>IF(ISNUMBER(H21),H21/Population!G20*10000,NA())</f>
        <v>377.19298245614033</v>
      </c>
      <c r="P21" s="397">
        <f t="shared" si="2"/>
        <v>4</v>
      </c>
      <c r="Q21" s="70"/>
      <c r="R21" s="387">
        <f>IDACI!C21</f>
        <v>19.5</v>
      </c>
      <c r="S21" s="388">
        <f t="shared" si="3"/>
        <v>543.74926742353489</v>
      </c>
      <c r="T21" s="389">
        <f t="shared" si="4"/>
        <v>-166.55628496739456</v>
      </c>
      <c r="U21" s="139"/>
      <c r="V21" s="154"/>
      <c r="W21" s="170"/>
      <c r="X21" s="72" t="str">
        <f t="shared" si="1"/>
        <v>Slough</v>
      </c>
      <c r="Y21" s="235">
        <v>13</v>
      </c>
      <c r="Z21" s="236">
        <f>IF(D21&gt;0,Population!C20,"")</f>
        <v>38900</v>
      </c>
      <c r="AA21" s="236">
        <f>IF(E21&gt;0,Population!D20,"")</f>
        <v>39900</v>
      </c>
      <c r="AB21" s="236">
        <f>IF(F21&gt;0,Population!E20,"")</f>
        <v>40600</v>
      </c>
      <c r="AC21" s="236">
        <f>IF(G21&gt;0,Population!F20,"")</f>
        <v>41406</v>
      </c>
      <c r="AD21" s="236">
        <f>IF(H21&gt;0,Population!G20,"")</f>
        <v>42180</v>
      </c>
      <c r="AE21" s="217"/>
      <c r="AF21" s="112" t="s">
        <v>14</v>
      </c>
      <c r="AG21" s="262">
        <f t="shared" si="5"/>
        <v>377.19298245614033</v>
      </c>
      <c r="AH21" s="237">
        <f t="shared" si="6"/>
        <v>4</v>
      </c>
      <c r="AI21" s="232"/>
      <c r="AJ21" s="178"/>
    </row>
    <row r="22" spans="1:36" s="101" customFormat="1" ht="13.5" customHeight="1" x14ac:dyDescent="0.2">
      <c r="A22" s="533">
        <f>VLOOKUP(B22,Sheet1!$B$4:$C$25,2,FALSE)</f>
        <v>0</v>
      </c>
      <c r="B22" s="112" t="s">
        <v>93</v>
      </c>
      <c r="C22" s="97"/>
      <c r="D22" s="113">
        <f>IF(Year1_Somerset Year1_Referrals="","",Year1_Somerset Year1_Referrals)</f>
        <v>7338</v>
      </c>
      <c r="E22" s="113">
        <f>IF(Year2_Somerset Year2_Referrals="","",Year2_Somerset Year2_Referrals)</f>
        <v>5591</v>
      </c>
      <c r="F22" s="113">
        <f>IF(Year3_Somerset Year3_Referrals="","",Year3_Somerset Year3_Referrals)</f>
        <v>4133</v>
      </c>
      <c r="G22" s="113">
        <f>IF(Year4_Somerset Year4_Referrals="","",Year4_Somerset Year4_Referrals)</f>
        <v>4777</v>
      </c>
      <c r="H22" s="114">
        <f>IF(Year5_Somerset Year5_Referrals="","",Year5_Somerset Year5_Referrals)</f>
        <v>5165</v>
      </c>
      <c r="I22" s="392">
        <f t="shared" si="7"/>
        <v>-7.619388302629225E-2</v>
      </c>
      <c r="J22" s="115"/>
      <c r="K22" s="116">
        <f>IF(ISNUMBER(D22),D22/Population!C21*10000,NA())</f>
        <v>674.44852941176475</v>
      </c>
      <c r="L22" s="116">
        <f>IF(ISNUMBER(E22),E22/Population!D21*10000,NA())</f>
        <v>513.40679522497703</v>
      </c>
      <c r="M22" s="116">
        <f>IF(ISNUMBER(F22),F22/Population!E21*10000,NA())</f>
        <v>378.47985347985349</v>
      </c>
      <c r="N22" s="116">
        <f>IF(ISNUMBER(G22),G22/Population!F21*10000,NA())</f>
        <v>435.63110426146989</v>
      </c>
      <c r="O22" s="117">
        <f>IF(ISNUMBER(H22),H22/Population!G21*10000,NA())</f>
        <v>469.1871661640202</v>
      </c>
      <c r="P22" s="422" t="str">
        <f t="shared" si="2"/>
        <v>--</v>
      </c>
      <c r="Q22" s="70"/>
      <c r="R22" s="387">
        <f>IDACI!C22</f>
        <v>14.8</v>
      </c>
      <c r="S22" s="388">
        <f t="shared" si="3"/>
        <v>486.09216299681418</v>
      </c>
      <c r="T22" s="389">
        <f t="shared" si="4"/>
        <v>-16.904996832793984</v>
      </c>
      <c r="U22" s="139"/>
      <c r="V22" s="154"/>
      <c r="W22" s="170"/>
      <c r="X22" s="72" t="str">
        <f t="shared" si="1"/>
        <v>Somerset</v>
      </c>
      <c r="Y22" s="235">
        <v>14</v>
      </c>
      <c r="Z22" s="236">
        <f>IF(D22&gt;0,Population!C21,"")</f>
        <v>108800</v>
      </c>
      <c r="AA22" s="236">
        <f>IF(E22&gt;0,Population!D21,"")</f>
        <v>108900</v>
      </c>
      <c r="AB22" s="236">
        <f>IF(F22&gt;0,Population!E21,"")</f>
        <v>109200</v>
      </c>
      <c r="AC22" s="236">
        <f>IF(G22&gt;0,Population!F21,"")</f>
        <v>109657</v>
      </c>
      <c r="AD22" s="236">
        <f>IF(H22&gt;0,Population!G21,"")</f>
        <v>110084</v>
      </c>
      <c r="AE22" s="217"/>
      <c r="AF22" s="112" t="s">
        <v>15</v>
      </c>
      <c r="AG22" s="262">
        <f t="shared" si="5"/>
        <v>519.43146804492596</v>
      </c>
      <c r="AH22" s="237">
        <f t="shared" si="6"/>
        <v>9</v>
      </c>
      <c r="AI22" s="232"/>
      <c r="AJ22" s="178"/>
    </row>
    <row r="23" spans="1:36" s="101" customFormat="1" ht="13.5" customHeight="1" x14ac:dyDescent="0.2">
      <c r="A23" s="533">
        <f>VLOOKUP(B23,Sheet1!$B$4:$C$25,2,FALSE)</f>
        <v>0</v>
      </c>
      <c r="B23" s="112" t="s">
        <v>15</v>
      </c>
      <c r="C23" s="97"/>
      <c r="D23" s="113">
        <f>IF(Year1_Southampton Year1_Referrals="","",Year1_Southampton Year1_Referrals)</f>
        <v>3471</v>
      </c>
      <c r="E23" s="113">
        <f>IF(Year2_Southampton Year2_Referrals="","",Year2_Southampton Year2_Referrals)</f>
        <v>6407</v>
      </c>
      <c r="F23" s="113">
        <f>IF(Year3_Southampton Year3_Referrals="","",Year3_Southampton Year3_Referrals)</f>
        <v>4116</v>
      </c>
      <c r="G23" s="113">
        <f>IF(Year4_Southampton Year4_Referrals="","",Year4_Southampton Year4_Referrals)</f>
        <v>3044</v>
      </c>
      <c r="H23" s="114">
        <f>IF(Year5_Southampton Year5_Referrals="","",Year5_Southampton Year5_Referrals)</f>
        <v>2613</v>
      </c>
      <c r="I23" s="392">
        <f t="shared" si="7"/>
        <v>-0.59216481972842205</v>
      </c>
      <c r="J23" s="115"/>
      <c r="K23" s="116">
        <f>IF(ISNUMBER(D23),D23/Population!C22*10000,NA())</f>
        <v>732.27848101265829</v>
      </c>
      <c r="L23" s="116">
        <f>IF(ISNUMBER(E23),E23/Population!D22*10000,NA())</f>
        <v>1318.3127572016463</v>
      </c>
      <c r="M23" s="116">
        <f>IF(ISNUMBER(F23),F23/Population!E22*10000,NA())</f>
        <v>836.58536585365857</v>
      </c>
      <c r="N23" s="116">
        <f>IF(ISNUMBER(G23),G23/Population!F22*10000,NA())</f>
        <v>610.00781547463976</v>
      </c>
      <c r="O23" s="117">
        <f>IF(ISNUMBER(H23),H23/Population!G22*10000,NA())</f>
        <v>519.43146804492596</v>
      </c>
      <c r="P23" s="397">
        <f t="shared" si="2"/>
        <v>9</v>
      </c>
      <c r="Q23" s="70"/>
      <c r="R23" s="387">
        <f>IDACI!C23</f>
        <v>25</v>
      </c>
      <c r="S23" s="388">
        <f t="shared" si="3"/>
        <v>611.22034707182502</v>
      </c>
      <c r="T23" s="389">
        <f t="shared" si="4"/>
        <v>-91.788879026899053</v>
      </c>
      <c r="U23" s="139"/>
      <c r="V23" s="154"/>
      <c r="W23" s="170"/>
      <c r="X23" s="72" t="str">
        <f t="shared" si="1"/>
        <v>Southampton</v>
      </c>
      <c r="Y23" s="235">
        <v>15</v>
      </c>
      <c r="Z23" s="236">
        <f>IF(D23&gt;0,Population!C22,"")</f>
        <v>47400</v>
      </c>
      <c r="AA23" s="236">
        <f>IF(E23&gt;0,Population!D22,"")</f>
        <v>48600</v>
      </c>
      <c r="AB23" s="236">
        <f>IF(F23&gt;0,Population!E22,"")</f>
        <v>49200</v>
      </c>
      <c r="AC23" s="236">
        <f>IF(G23&gt;0,Population!F22,"")</f>
        <v>49901</v>
      </c>
      <c r="AD23" s="236">
        <f>IF(H23&gt;0,Population!G22,"")</f>
        <v>50305</v>
      </c>
      <c r="AE23" s="217"/>
      <c r="AF23" s="112" t="s">
        <v>7</v>
      </c>
      <c r="AG23" s="262">
        <f t="shared" si="5"/>
        <v>523.46286087474311</v>
      </c>
      <c r="AH23" s="237">
        <f t="shared" si="6"/>
        <v>10</v>
      </c>
      <c r="AI23" s="232"/>
      <c r="AJ23" s="178"/>
    </row>
    <row r="24" spans="1:36" s="101" customFormat="1" ht="13.5" customHeight="1" x14ac:dyDescent="0.2">
      <c r="A24" s="533">
        <f>VLOOKUP(B24,Sheet1!$B$4:$C$25,2,FALSE)</f>
        <v>0</v>
      </c>
      <c r="B24" s="112" t="s">
        <v>7</v>
      </c>
      <c r="C24" s="97"/>
      <c r="D24" s="113">
        <f>IF(Year1_Surrey Year1_Referrals="","",Year1_Surrey Year1_Referrals)</f>
        <v>11776</v>
      </c>
      <c r="E24" s="113">
        <f>IF(Year2_Surrey Year2_Referrals="","",Year2_Surrey Year2_Referrals)</f>
        <v>9979</v>
      </c>
      <c r="F24" s="113">
        <f>IF(Year3_Surrey Year3_Referrals="","",Year3_Surrey Year3_Referrals)</f>
        <v>11768</v>
      </c>
      <c r="G24" s="113">
        <f>IF(Year4_Surrey Year4_Referrals="","",Year4_Surrey Year4_Referrals)</f>
        <v>11679</v>
      </c>
      <c r="H24" s="114">
        <f>IF(Year5_Surrey Year5_Referrals="","",Year5_Surrey Year5_Referrals)</f>
        <v>13626</v>
      </c>
      <c r="I24" s="392">
        <f t="shared" si="7"/>
        <v>0.36546748171159432</v>
      </c>
      <c r="J24" s="115"/>
      <c r="K24" s="116">
        <f>IF(ISNUMBER(D24),D24/Population!C23*10000,NA())</f>
        <v>467.30158730158735</v>
      </c>
      <c r="L24" s="116">
        <f>IF(ISNUMBER(E24),E24/Population!D23*10000,NA())</f>
        <v>391.9481539670071</v>
      </c>
      <c r="M24" s="116">
        <f>IF(ISNUMBER(F24),F24/Population!E23*10000,NA())</f>
        <v>458.97035881435261</v>
      </c>
      <c r="N24" s="116">
        <f>IF(ISNUMBER(G24),G24/Population!F23*10000,NA())</f>
        <v>450.92838196286471</v>
      </c>
      <c r="O24" s="117">
        <f>IF(ISNUMBER(H24),H24/Population!G23*10000,NA())</f>
        <v>523.46286087474311</v>
      </c>
      <c r="P24" s="397">
        <f t="shared" si="2"/>
        <v>10</v>
      </c>
      <c r="Q24" s="70"/>
      <c r="R24" s="387">
        <f>IDACI!C24</f>
        <v>9.7000000000000011</v>
      </c>
      <c r="S24" s="388">
        <f t="shared" si="3"/>
        <v>423.52807095930876</v>
      </c>
      <c r="T24" s="389">
        <f t="shared" si="4"/>
        <v>99.934789915434351</v>
      </c>
      <c r="U24" s="139"/>
      <c r="V24" s="154"/>
      <c r="W24" s="170"/>
      <c r="X24" s="72" t="str">
        <f t="shared" si="1"/>
        <v>Surrey</v>
      </c>
      <c r="Y24" s="235">
        <v>16</v>
      </c>
      <c r="Z24" s="236">
        <f>IF(D24&gt;0,Population!C23,"")</f>
        <v>252000</v>
      </c>
      <c r="AA24" s="236">
        <f>IF(E24&gt;0,Population!D23,"")</f>
        <v>254600</v>
      </c>
      <c r="AB24" s="236">
        <f>IF(F24&gt;0,Population!E23,"")</f>
        <v>256400</v>
      </c>
      <c r="AC24" s="236">
        <f>IF(G24&gt;0,Population!F23,"")</f>
        <v>258999</v>
      </c>
      <c r="AD24" s="236">
        <f>IF(H24&gt;0,Population!G23,"")</f>
        <v>260305</v>
      </c>
      <c r="AE24" s="217"/>
      <c r="AF24" s="112" t="s">
        <v>16</v>
      </c>
      <c r="AG24" s="262">
        <f t="shared" si="5"/>
        <v>422.46437552388937</v>
      </c>
      <c r="AH24" s="237">
        <f t="shared" si="6"/>
        <v>7</v>
      </c>
      <c r="AI24" s="232"/>
      <c r="AJ24" s="178"/>
    </row>
    <row r="25" spans="1:36" s="101" customFormat="1" ht="13.5" customHeight="1" x14ac:dyDescent="0.2">
      <c r="A25" s="533">
        <f>VLOOKUP(B25,Sheet1!$B$4:$C$25,2,FALSE)</f>
        <v>0</v>
      </c>
      <c r="B25" s="112" t="s">
        <v>116</v>
      </c>
      <c r="C25" s="97"/>
      <c r="D25" s="113">
        <f>IF(Year1_Swindon Year1_Referrals="","",Year1_Swindon Year1_Referrals)</f>
        <v>2254</v>
      </c>
      <c r="E25" s="113">
        <f>IF(Year2_Swindon Year2_Referrals="","",Year2_Swindon Year2_Referrals)</f>
        <v>2650</v>
      </c>
      <c r="F25" s="113">
        <f>IF(Year3_Swindon Year3_Referrals="","",Year3_Swindon Year3_Referrals)</f>
        <v>3405</v>
      </c>
      <c r="G25" s="113">
        <f>IF(Year4_Swindon Year4_Referrals="","",Year4_Swindon Year4_Referrals)</f>
        <v>3021</v>
      </c>
      <c r="H25" s="114">
        <f>IF(Year5_Swindon Year5_Referrals="","",Year5_Swindon Year5_Referrals)</f>
        <v>3627</v>
      </c>
      <c r="I25" s="392">
        <f t="shared" si="7"/>
        <v>0.36867924528301887</v>
      </c>
      <c r="J25" s="115"/>
      <c r="K25" s="116">
        <f>IF(ISNUMBER(D25),D25/Population!C24*10000,NA())</f>
        <v>470.56367432150313</v>
      </c>
      <c r="L25" s="116">
        <f>IF(ISNUMBER(E25),E25/Population!D24*10000,NA())</f>
        <v>545.26748971193422</v>
      </c>
      <c r="M25" s="116">
        <f>IF(ISNUMBER(F25),F25/Population!E24*10000,NA())</f>
        <v>694.89795918367349</v>
      </c>
      <c r="N25" s="116">
        <f>IF(ISNUMBER(G25),G25/Population!F24*10000,NA())</f>
        <v>610.77190570539005</v>
      </c>
      <c r="O25" s="117">
        <f>IF(ISNUMBER(H25),H25/Population!G24*10000,NA())</f>
        <v>726.50428651550362</v>
      </c>
      <c r="P25" s="422" t="str">
        <f t="shared" si="2"/>
        <v>--</v>
      </c>
      <c r="Q25" s="70"/>
      <c r="R25" s="387">
        <f>IDACI!C25</f>
        <v>17.2</v>
      </c>
      <c r="S25" s="388">
        <f t="shared" si="3"/>
        <v>515.53408866152267</v>
      </c>
      <c r="T25" s="389">
        <f t="shared" si="4"/>
        <v>210.97019785398095</v>
      </c>
      <c r="U25" s="139"/>
      <c r="V25" s="154"/>
      <c r="W25" s="170"/>
      <c r="X25" s="72" t="str">
        <f t="shared" si="1"/>
        <v>Swindon</v>
      </c>
      <c r="Y25" s="235">
        <v>17</v>
      </c>
      <c r="Z25" s="236">
        <f>IF(D25&gt;0,Population!C24,"")</f>
        <v>47900</v>
      </c>
      <c r="AA25" s="236">
        <f>IF(E25&gt;0,Population!D24,"")</f>
        <v>48600</v>
      </c>
      <c r="AB25" s="236">
        <f>IF(F25&gt;0,Population!E24,"")</f>
        <v>49000</v>
      </c>
      <c r="AC25" s="236">
        <f>IF(G25&gt;0,Population!F24,"")</f>
        <v>49462</v>
      </c>
      <c r="AD25" s="236">
        <f>IF(H25&gt;0,Population!G24,"")</f>
        <v>49924</v>
      </c>
      <c r="AE25" s="217"/>
      <c r="AF25" s="112" t="s">
        <v>5</v>
      </c>
      <c r="AG25" s="262">
        <f t="shared" si="5"/>
        <v>576.80876726242343</v>
      </c>
      <c r="AH25" s="237">
        <f t="shared" si="6"/>
        <v>13</v>
      </c>
      <c r="AI25" s="232"/>
      <c r="AJ25" s="178"/>
    </row>
    <row r="26" spans="1:36" s="101" customFormat="1" ht="13.5" customHeight="1" x14ac:dyDescent="0.2">
      <c r="A26" s="533">
        <f>VLOOKUP(B26,Sheet1!$B$4:$C$25,2,FALSE)</f>
        <v>0</v>
      </c>
      <c r="B26" s="112" t="s">
        <v>117</v>
      </c>
      <c r="C26" s="97"/>
      <c r="D26" s="113">
        <f>IF(Year1_Torbay Year1_Referrals="","",Year1_Torbay Year1_Referrals)</f>
        <v>2408</v>
      </c>
      <c r="E26" s="113">
        <f>IF(Year2_Torbay Year2_Referrals="","",Year2_Torbay Year2_Referrals)</f>
        <v>2134</v>
      </c>
      <c r="F26" s="113">
        <f>IF(Year3_Torbay Year3_Referrals="","",Year3_Torbay Year3_Referrals)</f>
        <v>1988</v>
      </c>
      <c r="G26" s="113">
        <f>IF(Year4_Torbay Year4_Referrals="","",Year4_Torbay Year4_Referrals)</f>
        <v>1616</v>
      </c>
      <c r="H26" s="114">
        <f>IF(Year5_Torbay Year5_Referrals="","",Year5_Torbay Year5_Referrals)</f>
        <v>1805</v>
      </c>
      <c r="I26" s="392">
        <f t="shared" si="7"/>
        <v>-0.1541705716963449</v>
      </c>
      <c r="J26" s="115"/>
      <c r="K26" s="116">
        <f>IF(ISNUMBER(D26),D26/Population!C25*10000,NA())</f>
        <v>970.96774193548379</v>
      </c>
      <c r="L26" s="116">
        <f>IF(ISNUMBER(E26),E26/Population!D25*10000,NA())</f>
        <v>850.19920318725099</v>
      </c>
      <c r="M26" s="116">
        <f>IF(ISNUMBER(F26),F26/Population!E25*10000,NA())</f>
        <v>788.8888888888888</v>
      </c>
      <c r="N26" s="116">
        <f>IF(ISNUMBER(G26),G26/Population!F25*10000,NA())</f>
        <v>636.89748945729707</v>
      </c>
      <c r="O26" s="117">
        <f>IF(ISNUMBER(H26),H26/Population!G25*10000,NA())</f>
        <v>710.15462092300436</v>
      </c>
      <c r="P26" s="422" t="str">
        <f t="shared" si="2"/>
        <v>--</v>
      </c>
      <c r="Q26" s="70"/>
      <c r="R26" s="387">
        <f>IDACI!C26</f>
        <v>24.1</v>
      </c>
      <c r="S26" s="388">
        <f t="shared" si="3"/>
        <v>600.17962494755943</v>
      </c>
      <c r="T26" s="389">
        <f t="shared" si="4"/>
        <v>109.97499597544493</v>
      </c>
      <c r="U26" s="139"/>
      <c r="V26" s="154"/>
      <c r="W26" s="170"/>
      <c r="X26" s="72" t="str">
        <f t="shared" si="1"/>
        <v>Torbay</v>
      </c>
      <c r="Y26" s="235">
        <v>18</v>
      </c>
      <c r="Z26" s="236">
        <f>IF(D26&gt;0,Population!C25,"")</f>
        <v>24800</v>
      </c>
      <c r="AA26" s="236">
        <f>IF(E26&gt;0,Population!D25,"")</f>
        <v>25100</v>
      </c>
      <c r="AB26" s="236">
        <f>IF(F26&gt;0,Population!E25,"")</f>
        <v>25200</v>
      </c>
      <c r="AC26" s="236">
        <f>IF(G26&gt;0,Population!F25,"")</f>
        <v>25373</v>
      </c>
      <c r="AD26" s="236">
        <f>IF(H26&gt;0,Population!G25,"")</f>
        <v>25417</v>
      </c>
      <c r="AE26" s="217"/>
      <c r="AF26" s="112" t="s">
        <v>31</v>
      </c>
      <c r="AG26" s="262">
        <f t="shared" si="5"/>
        <v>308.8612016767583</v>
      </c>
      <c r="AH26" s="237">
        <f t="shared" si="6"/>
        <v>1</v>
      </c>
      <c r="AI26" s="232"/>
      <c r="AJ26" s="178"/>
    </row>
    <row r="27" spans="1:36" s="101" customFormat="1" ht="13.5" customHeight="1" x14ac:dyDescent="0.2">
      <c r="A27" s="533">
        <f>VLOOKUP(B27,Sheet1!$B$4:$C$25,2,FALSE)</f>
        <v>0</v>
      </c>
      <c r="B27" s="112" t="s">
        <v>16</v>
      </c>
      <c r="C27" s="97"/>
      <c r="D27" s="113">
        <f>IF(Year1_West_Berkshire Year1_Referrals="","",Year1_West_Berkshire Year1_Referrals)</f>
        <v>1243</v>
      </c>
      <c r="E27" s="118">
        <f>IF(Year2_West_Berkshire Year2_Referrals="","",Year2_West_Berkshire Year2_Referrals)</f>
        <v>1259</v>
      </c>
      <c r="F27" s="113">
        <f>IF(Year3_West_Berkshire Year3_Referrals="","",Year3_West_Berkshire Year3_Referrals)</f>
        <v>1365</v>
      </c>
      <c r="G27" s="113">
        <f>IF(Year4_West_Berkshire Year4_Referrals="","",Year4_West_Berkshire Year4_Referrals)</f>
        <v>1652</v>
      </c>
      <c r="H27" s="114">
        <f>IF(Year5_West_Berkshire Year5_Referrals="","",Year5_West_Berkshire Year5_Referrals)</f>
        <v>1512</v>
      </c>
      <c r="I27" s="392">
        <f t="shared" si="7"/>
        <v>0.20095313741064336</v>
      </c>
      <c r="J27" s="115"/>
      <c r="K27" s="116">
        <f>IF(ISNUMBER(D27),D27/Population!C26*10000,NA())</f>
        <v>348.17927170868347</v>
      </c>
      <c r="L27" s="116">
        <f>IF(ISNUMBER(E27),E27/Population!D26*10000,NA())</f>
        <v>353.65168539325845</v>
      </c>
      <c r="M27" s="116">
        <f>IF(ISNUMBER(F27),F27/Population!E26*10000,NA())</f>
        <v>382.35294117647061</v>
      </c>
      <c r="N27" s="116">
        <f>IF(ISNUMBER(G27),G27/Population!F26*10000,NA())</f>
        <v>459.77011494252872</v>
      </c>
      <c r="O27" s="117">
        <f>IF(ISNUMBER(H27),H27/Population!G26*10000,NA())</f>
        <v>422.46437552388937</v>
      </c>
      <c r="P27" s="397">
        <f t="shared" si="2"/>
        <v>7</v>
      </c>
      <c r="Q27" s="70"/>
      <c r="R27" s="387">
        <f>IDACI!C27</f>
        <v>10.4</v>
      </c>
      <c r="S27" s="388">
        <f t="shared" si="3"/>
        <v>432.11529927818208</v>
      </c>
      <c r="T27" s="389">
        <f t="shared" si="4"/>
        <v>-9.6509237542927053</v>
      </c>
      <c r="U27" s="139"/>
      <c r="V27" s="154"/>
      <c r="W27" s="170"/>
      <c r="X27" s="72" t="str">
        <f t="shared" si="1"/>
        <v>West Berkshire</v>
      </c>
      <c r="Y27" s="235">
        <v>19</v>
      </c>
      <c r="Z27" s="236">
        <f>IF(D27&gt;0,Population!C26,"")</f>
        <v>35700</v>
      </c>
      <c r="AA27" s="236">
        <f>IF(E27&gt;0,Population!D26,"")</f>
        <v>35600</v>
      </c>
      <c r="AB27" s="236">
        <f>IF(F27&gt;0,Population!E26,"")</f>
        <v>35700</v>
      </c>
      <c r="AC27" s="236">
        <f>IF(G27&gt;0,Population!F26,"")</f>
        <v>35931</v>
      </c>
      <c r="AD27" s="236">
        <f>IF(H27&gt;0,Population!G26,"")</f>
        <v>35790</v>
      </c>
      <c r="AE27" s="232"/>
      <c r="AF27" s="112" t="s">
        <v>17</v>
      </c>
      <c r="AG27" s="262">
        <f t="shared" si="5"/>
        <v>354.24525864296419</v>
      </c>
      <c r="AH27" s="237">
        <f t="shared" si="6"/>
        <v>3</v>
      </c>
      <c r="AI27" s="232"/>
      <c r="AJ27" s="178"/>
    </row>
    <row r="28" spans="1:36" s="101" customFormat="1" ht="13.5" customHeight="1" x14ac:dyDescent="0.2">
      <c r="A28" s="533">
        <f>VLOOKUP(B28,Sheet1!$B$4:$C$25,2,FALSE)</f>
        <v>0</v>
      </c>
      <c r="B28" s="112" t="s">
        <v>5</v>
      </c>
      <c r="C28" s="97"/>
      <c r="D28" s="113">
        <f>IF(Year1_West_Sussex Year1_Referrals="","",Year1_West_Sussex Year1_Referrals)</f>
        <v>6605</v>
      </c>
      <c r="E28" s="118">
        <f>IF(Year2_West_Sussex Year2_Referrals="","",Year2_West_Sussex Year2_Referrals)</f>
        <v>6917</v>
      </c>
      <c r="F28" s="113">
        <f>IF(Year3_West_Sussex Year3_Referrals="","",Year3_West_Sussex Year3_Referrals)</f>
        <v>8147</v>
      </c>
      <c r="G28" s="113">
        <f>IF(Year4_West_Sussex Year4_Referrals="","",Year4_West_Sussex Year4_Referrals)</f>
        <v>8741</v>
      </c>
      <c r="H28" s="114">
        <f>IF(Year5_West_Sussex Year5_Referrals="","",Year5_West_Sussex Year5_Referrals)</f>
        <v>9995</v>
      </c>
      <c r="I28" s="392">
        <f t="shared" si="7"/>
        <v>0.44499060286251263</v>
      </c>
      <c r="J28" s="115"/>
      <c r="K28" s="116">
        <f>IF(ISNUMBER(D28),D28/Population!C27*10000,NA())</f>
        <v>395.50898203592817</v>
      </c>
      <c r="L28" s="116">
        <f>IF(ISNUMBER(E28),E28/Population!D27*10000,NA())</f>
        <v>409.7748815165877</v>
      </c>
      <c r="M28" s="116">
        <f>IF(ISNUMBER(F28),F28/Population!E27*10000,NA())</f>
        <v>478.11032863849766</v>
      </c>
      <c r="N28" s="116">
        <f>IF(ISNUMBER(G28),G28/Population!F27*10000,NA())</f>
        <v>508.90481541211335</v>
      </c>
      <c r="O28" s="117">
        <f>IF(ISNUMBER(H28),H28/Population!G27*10000,NA())</f>
        <v>576.80876726242343</v>
      </c>
      <c r="P28" s="397">
        <f t="shared" si="2"/>
        <v>13</v>
      </c>
      <c r="Q28" s="70"/>
      <c r="R28" s="387">
        <f>IDACI!C28</f>
        <v>12.9</v>
      </c>
      <c r="S28" s="388">
        <f t="shared" si="3"/>
        <v>462.78397184558668</v>
      </c>
      <c r="T28" s="389">
        <f t="shared" si="4"/>
        <v>114.02479541683675</v>
      </c>
      <c r="U28" s="139"/>
      <c r="V28" s="154"/>
      <c r="W28" s="170"/>
      <c r="X28" s="72" t="str">
        <f t="shared" si="1"/>
        <v>West Sussex</v>
      </c>
      <c r="Y28" s="235">
        <v>20</v>
      </c>
      <c r="Z28" s="236">
        <f>IF(D28&gt;0,Population!C27,"")</f>
        <v>167000</v>
      </c>
      <c r="AA28" s="236">
        <f>IF(E28&gt;0,Population!D27,"")</f>
        <v>168800</v>
      </c>
      <c r="AB28" s="236">
        <f>IF(F28&gt;0,Population!E27,"")</f>
        <v>170400</v>
      </c>
      <c r="AC28" s="236">
        <f>IF(G28&gt;0,Population!F27,"")</f>
        <v>171761</v>
      </c>
      <c r="AD28" s="236">
        <f>IF(H28&gt;0,Population!G27,"")</f>
        <v>173281</v>
      </c>
      <c r="AE28" s="232"/>
      <c r="AF28" s="232"/>
      <c r="AG28" s="232"/>
      <c r="AH28" s="217"/>
      <c r="AI28" s="232"/>
      <c r="AJ28" s="178"/>
    </row>
    <row r="29" spans="1:36" s="101" customFormat="1" ht="13.5" customHeight="1" x14ac:dyDescent="0.2">
      <c r="A29" s="533">
        <f>VLOOKUP(B29,Sheet1!$B$4:$C$25,2,FALSE)</f>
        <v>0</v>
      </c>
      <c r="B29" s="112" t="s">
        <v>31</v>
      </c>
      <c r="C29" s="97"/>
      <c r="D29" s="118">
        <f>IF(Year1_Windsor_Maidenhead Year1_Referrals="","",Year1_Windsor_Maidenhead Year1_Referrals)</f>
        <v>1043</v>
      </c>
      <c r="E29" s="113">
        <f>IF(Year2_Windsor_Maidenhead Year2_Referrals="","",Year2_Windsor_Maidenhead Year2_Referrals)</f>
        <v>1048</v>
      </c>
      <c r="F29" s="113">
        <f>IF(Year3_Windsor_Maidenhead Year3_Referrals="","",Year3_Windsor_Maidenhead Year3_Referrals)</f>
        <v>1115</v>
      </c>
      <c r="G29" s="113">
        <f>IF(Year4_Windsor_Maidenhead Year4_Referrals="","",Year4_Windsor_Maidenhead Year4_Referrals)</f>
        <v>992</v>
      </c>
      <c r="H29" s="114">
        <f>IF(Year5_Windsor_Maidenhead Year5_Referrals="","",Year5_Windsor_Maidenhead Year5_Referrals)</f>
        <v>1061</v>
      </c>
      <c r="I29" s="392">
        <f t="shared" si="7"/>
        <v>1.2404580152671756E-2</v>
      </c>
      <c r="J29" s="115"/>
      <c r="K29" s="116">
        <f>IF(ISNUMBER(D29),D29/Population!C28*10000,NA())</f>
        <v>313.21321321321324</v>
      </c>
      <c r="L29" s="116">
        <f>IF(ISNUMBER(E29),E29/Population!D28*10000,NA())</f>
        <v>313.77245508982037</v>
      </c>
      <c r="M29" s="116">
        <f>IF(ISNUMBER(F29),F29/Population!E28*10000,NA())</f>
        <v>330.86053412462905</v>
      </c>
      <c r="N29" s="116">
        <f>IF(ISNUMBER(G29),G29/Population!F28*10000,NA())</f>
        <v>290.26217228464424</v>
      </c>
      <c r="O29" s="117">
        <f>IF(ISNUMBER(H29),H29/Population!G28*10000,NA())</f>
        <v>308.8612016767583</v>
      </c>
      <c r="P29" s="397">
        <f t="shared" si="2"/>
        <v>1</v>
      </c>
      <c r="Q29" s="70"/>
      <c r="R29" s="387">
        <f>IDACI!C29</f>
        <v>8.4</v>
      </c>
      <c r="S29" s="388">
        <f t="shared" si="3"/>
        <v>407.58036122425835</v>
      </c>
      <c r="T29" s="389">
        <f t="shared" si="4"/>
        <v>-98.719159547500055</v>
      </c>
      <c r="U29" s="139"/>
      <c r="V29" s="154"/>
      <c r="W29" s="170"/>
      <c r="X29" s="72" t="str">
        <f t="shared" si="1"/>
        <v>Windsor &amp; Maidenhead</v>
      </c>
      <c r="Y29" s="235">
        <v>21</v>
      </c>
      <c r="Z29" s="236">
        <f>IF(D29&gt;0,Population!C28,"")</f>
        <v>33300</v>
      </c>
      <c r="AA29" s="236">
        <f>IF(E29&gt;0,Population!D28,"")</f>
        <v>33400</v>
      </c>
      <c r="AB29" s="236">
        <f>IF(F29&gt;0,Population!E28,"")</f>
        <v>33700</v>
      </c>
      <c r="AC29" s="236">
        <f>IF(G29&gt;0,Population!F28,"")</f>
        <v>34176</v>
      </c>
      <c r="AD29" s="236">
        <f>IF(H29&gt;0,Population!G28,"")</f>
        <v>34352</v>
      </c>
      <c r="AE29" s="232"/>
      <c r="AF29" s="232"/>
      <c r="AG29" s="232"/>
      <c r="AH29" s="217"/>
      <c r="AI29" s="232"/>
      <c r="AJ29" s="178"/>
    </row>
    <row r="30" spans="1:36" s="101" customFormat="1" ht="13.5" customHeight="1" x14ac:dyDescent="0.2">
      <c r="A30" s="533">
        <f>VLOOKUP(B30,Sheet1!$B$4:$C$25,2,FALSE)</f>
        <v>0</v>
      </c>
      <c r="B30" s="112" t="s">
        <v>17</v>
      </c>
      <c r="C30" s="97"/>
      <c r="D30" s="118">
        <f>IF(Year1_Wokingham Year1_Referrals="","",Year1_Wokingham Year1_Referrals)</f>
        <v>1416</v>
      </c>
      <c r="E30" s="113">
        <f>IF(Year2_Wokingham Year2_Referrals="","",Year2_Wokingham Year2_Referrals)</f>
        <v>990</v>
      </c>
      <c r="F30" s="113">
        <f>IF(Year3_Wokingham Year3_Referrals="","",Year3_Wokingham Year3_Referrals)</f>
        <v>1131</v>
      </c>
      <c r="G30" s="113">
        <f>IF(Year4_Wokingham Year4_Referrals="","",Year4_Wokingham Year4_Referrals)</f>
        <v>907</v>
      </c>
      <c r="H30" s="114">
        <f>IF(Year5_Wokingham Year5_Referrals="","",Year5_Wokingham Year5_Referrals)</f>
        <v>1371</v>
      </c>
      <c r="I30" s="392">
        <f t="shared" si="7"/>
        <v>0.38484848484848483</v>
      </c>
      <c r="J30" s="115"/>
      <c r="K30" s="116">
        <f>IF(ISNUMBER(D30),D30/Population!C29*10000,NA())</f>
        <v>391.16022099447514</v>
      </c>
      <c r="L30" s="116">
        <f>IF(ISNUMBER(E30),E30/Population!D29*10000,NA())</f>
        <v>268.29268292682929</v>
      </c>
      <c r="M30" s="116">
        <f>IF(ISNUMBER(F30),F30/Population!E29*10000,NA())</f>
        <v>303.21715817694371</v>
      </c>
      <c r="N30" s="116">
        <f>IF(ISNUMBER(G30),G30/Population!F29*10000,NA())</f>
        <v>238.56492806228465</v>
      </c>
      <c r="O30" s="117">
        <f>IF(ISNUMBER(H30),H30/Population!G29*10000,NA())</f>
        <v>354.24525864296419</v>
      </c>
      <c r="P30" s="397">
        <f t="shared" si="2"/>
        <v>3</v>
      </c>
      <c r="Q30" s="70"/>
      <c r="R30" s="387">
        <f>IDACI!C30</f>
        <v>6.8000000000000007</v>
      </c>
      <c r="S30" s="388">
        <f t="shared" si="3"/>
        <v>387.9524107811194</v>
      </c>
      <c r="T30" s="389">
        <f t="shared" si="4"/>
        <v>-33.707152138155209</v>
      </c>
      <c r="U30" s="139"/>
      <c r="V30" s="154"/>
      <c r="W30" s="170"/>
      <c r="X30" s="72" t="str">
        <f t="shared" si="1"/>
        <v>Wokingham</v>
      </c>
      <c r="Y30" s="235">
        <v>22</v>
      </c>
      <c r="Z30" s="236">
        <f>IF(D30&gt;0,Population!C29,"")</f>
        <v>36200</v>
      </c>
      <c r="AA30" s="236">
        <f>IF(E30&gt;0,Population!D29,"")</f>
        <v>36900</v>
      </c>
      <c r="AB30" s="236">
        <f>IF(F30&gt;0,Population!E29,"")</f>
        <v>37300</v>
      </c>
      <c r="AC30" s="236">
        <f>IF(G30&gt;0,Population!F29,"")</f>
        <v>38019</v>
      </c>
      <c r="AD30" s="236">
        <f>IF(H30&gt;0,Population!G29,"")</f>
        <v>38702</v>
      </c>
      <c r="AE30" s="232"/>
      <c r="AF30" s="232"/>
      <c r="AG30" s="232"/>
      <c r="AH30" s="217"/>
      <c r="AI30" s="232"/>
      <c r="AJ30" s="178"/>
    </row>
    <row r="31" spans="1:36" s="101" customFormat="1" ht="13.5" customHeight="1" x14ac:dyDescent="0.2">
      <c r="A31" s="138"/>
      <c r="B31" s="146" t="s">
        <v>74</v>
      </c>
      <c r="C31" s="97"/>
      <c r="D31" s="147">
        <f>IF(Year1_SouthEast Year1_Referrals="","",Year1_SouthEast Year1_Referrals)</f>
        <v>102619</v>
      </c>
      <c r="E31" s="147">
        <f>IF(Year2_SouthEast Year2_Referrals="","",Year2_SouthEast Year2_Referrals)</f>
        <v>96900</v>
      </c>
      <c r="F31" s="147">
        <f>IF(Year3_SouthEast Year3_Referrals="","",Year3_SouthEast Year3_Referrals)</f>
        <v>97760</v>
      </c>
      <c r="G31" s="147">
        <f>IF(Year4_SouthEast Year4_Referrals="","",Year4_SouthEast Year4_Referrals)</f>
        <v>107120</v>
      </c>
      <c r="H31" s="486">
        <f>IF(Year5_SouthEast Year5_Referrals="","",Year5_SouthEast Year5_Referrals)</f>
        <v>106590</v>
      </c>
      <c r="I31" s="407">
        <f t="shared" si="7"/>
        <v>0.1</v>
      </c>
      <c r="J31" s="115"/>
      <c r="K31" s="149">
        <f>IF(ISNUMBER(D31),D31/Z31*10000,NA())</f>
        <v>543.87852448590206</v>
      </c>
      <c r="L31" s="149">
        <f>IF(ISNUMBER(E31),E31/AA31*10000,NA())</f>
        <v>508.87511815985715</v>
      </c>
      <c r="M31" s="149">
        <f t="shared" ref="M31:O31" si="8">IF(ISNUMBER(F31),F31/AB31*10000,NA())</f>
        <v>509.67102862207395</v>
      </c>
      <c r="N31" s="149">
        <f t="shared" si="8"/>
        <v>554.10918620127427</v>
      </c>
      <c r="O31" s="150">
        <f t="shared" si="8"/>
        <v>548.34054834054837</v>
      </c>
      <c r="P31" s="383" t="str">
        <f t="shared" si="2"/>
        <v>--</v>
      </c>
      <c r="Q31" s="70"/>
      <c r="R31" s="385">
        <f>IDACI!C31</f>
        <v>14.45223640702325</v>
      </c>
      <c r="S31" s="149">
        <f t="shared" si="3"/>
        <v>481.8259838912669</v>
      </c>
      <c r="T31" s="390">
        <f t="shared" si="4"/>
        <v>66.514564449281465</v>
      </c>
      <c r="U31" s="139"/>
      <c r="V31" s="154"/>
      <c r="W31" s="170"/>
      <c r="X31" s="72" t="str">
        <f t="shared" si="1"/>
        <v>South East</v>
      </c>
      <c r="Y31" s="235">
        <v>23</v>
      </c>
      <c r="Z31" s="236">
        <f>IF(D31&gt;0,Population!C30,"")</f>
        <v>1886800</v>
      </c>
      <c r="AA31" s="236">
        <f>IF(E31&gt;0,Population!D30,"")</f>
        <v>1904200</v>
      </c>
      <c r="AB31" s="236">
        <f>IF(F31&gt;0,Population!E30,"")</f>
        <v>1918100</v>
      </c>
      <c r="AC31" s="236">
        <f>IF(G31&gt;0,Population!F30,"")</f>
        <v>1933193</v>
      </c>
      <c r="AD31" s="236">
        <f>SUM(AD9:AD21,AD23:AD24,AD27:AD30)</f>
        <v>1943865</v>
      </c>
      <c r="AE31" s="232"/>
      <c r="AF31" s="232"/>
      <c r="AG31" s="232"/>
      <c r="AH31" s="217"/>
      <c r="AI31" s="232"/>
      <c r="AJ31" s="178"/>
    </row>
    <row r="32" spans="1:36" s="101" customFormat="1" ht="13.5" customHeight="1" x14ac:dyDescent="0.2">
      <c r="A32" s="324"/>
      <c r="B32" s="370" t="s">
        <v>130</v>
      </c>
      <c r="C32" s="97"/>
      <c r="D32" s="371">
        <f>IF(Year1_England Year1_Referrals="","",Year1_England Year1_Referrals)</f>
        <v>657800</v>
      </c>
      <c r="E32" s="371">
        <f>IF(Year2_England Year2_Referrals="","",Year2_England Year2_Referrals)</f>
        <v>635600</v>
      </c>
      <c r="F32" s="371">
        <f>IF(Year3_England Year3_Referrals="","",Year3_England Year3_Referrals)</f>
        <v>621470</v>
      </c>
      <c r="G32" s="371">
        <f>IF(Year4_England Year4_Referrals="","",Year4_England Year4_Referrals)</f>
        <v>646120</v>
      </c>
      <c r="H32" s="487">
        <f>IF(Year5_England Year5_Referrals="","",Year5_England Year5_Referrals)</f>
        <v>655630</v>
      </c>
      <c r="I32" s="408">
        <f t="shared" si="7"/>
        <v>3.1513530522341092E-2</v>
      </c>
      <c r="J32" s="115"/>
      <c r="K32" s="373">
        <f>IF(ISNUMBER(D32),D32/Population!C31*10000,NA())</f>
        <v>573.05142478808943</v>
      </c>
      <c r="L32" s="373">
        <f>IF(ISNUMBER(E32),E32/Population!D31*10000,NA())</f>
        <v>548.32336930734925</v>
      </c>
      <c r="M32" s="373">
        <f>IF(ISNUMBER(F32),F32/Population!E31*10000,NA())</f>
        <v>532.17616180991445</v>
      </c>
      <c r="N32" s="373">
        <f>IF(ISNUMBER(G32),G32/Population!F31*10000,NA())</f>
        <v>548.24337179346742</v>
      </c>
      <c r="O32" s="374">
        <f>IF(ISNUMBER(H32),H32/Population!G31*10000,NA())</f>
        <v>552.48367378427349</v>
      </c>
      <c r="P32" s="384" t="str">
        <f t="shared" si="2"/>
        <v>--</v>
      </c>
      <c r="Q32" s="70"/>
      <c r="R32" s="386">
        <f>IDACI!C32</f>
        <v>19.902611588091716</v>
      </c>
      <c r="S32" s="373">
        <f t="shared" si="3"/>
        <v>548.68829261034591</v>
      </c>
      <c r="T32" s="709">
        <f t="shared" si="4"/>
        <v>3.7953811739275807</v>
      </c>
      <c r="U32" s="139"/>
      <c r="V32" s="154"/>
      <c r="W32" s="170"/>
      <c r="X32" s="72" t="str">
        <f t="shared" si="1"/>
        <v>England</v>
      </c>
      <c r="Y32" s="235">
        <v>24</v>
      </c>
      <c r="Z32" s="236">
        <f>IF(D32&gt;0,Population!C31,"")</f>
        <v>11478900</v>
      </c>
      <c r="AA32" s="236">
        <f>IF(E32&gt;0,Population!D31,"")</f>
        <v>11591700</v>
      </c>
      <c r="AB32" s="236">
        <f>IF(F32&gt;0,Population!E31,"")</f>
        <v>11677900</v>
      </c>
      <c r="AC32" s="236">
        <f>IF(G32&gt;0,Population!F31,"")</f>
        <v>11785277</v>
      </c>
      <c r="AD32" s="236">
        <f>IF(H32&gt;0,Population!G31,"")</f>
        <v>11866957</v>
      </c>
      <c r="AE32" s="232"/>
      <c r="AF32" s="232"/>
      <c r="AG32" s="232"/>
      <c r="AH32" s="217"/>
      <c r="AI32" s="232"/>
      <c r="AJ32" s="178"/>
    </row>
    <row r="33" spans="1:53" s="88" customFormat="1" ht="13.5" customHeight="1" x14ac:dyDescent="0.2">
      <c r="A33" s="135"/>
      <c r="B33" s="140" t="s">
        <v>90</v>
      </c>
      <c r="C33" s="64"/>
      <c r="D33" s="64"/>
      <c r="E33" s="64"/>
      <c r="F33" s="64"/>
      <c r="G33" s="64"/>
      <c r="H33" s="64"/>
      <c r="I33" s="64"/>
      <c r="J33" s="64"/>
      <c r="K33" s="64"/>
      <c r="L33" s="64"/>
      <c r="M33" s="64"/>
      <c r="N33" s="64"/>
      <c r="O33" s="64"/>
      <c r="P33" s="151" t="s">
        <v>111</v>
      </c>
      <c r="R33" s="64"/>
      <c r="S33" s="64"/>
      <c r="T33" s="64"/>
      <c r="U33" s="134"/>
      <c r="V33" s="152"/>
      <c r="W33" s="168"/>
      <c r="X33" s="87"/>
      <c r="Y33" s="210"/>
      <c r="Z33" s="210"/>
      <c r="AA33" s="210"/>
      <c r="AB33" s="210"/>
      <c r="AC33" s="210"/>
      <c r="AD33" s="210"/>
      <c r="AE33" s="210"/>
      <c r="AF33" s="210"/>
      <c r="AG33" s="210"/>
      <c r="AI33" s="210"/>
      <c r="AJ33" s="179"/>
    </row>
    <row r="34" spans="1:53" s="88" customFormat="1" ht="29.25" customHeight="1" x14ac:dyDescent="0.2">
      <c r="A34" s="135"/>
      <c r="B34" s="1024"/>
      <c r="C34" s="1025"/>
      <c r="D34" s="1025"/>
      <c r="E34" s="1025"/>
      <c r="F34" s="1025"/>
      <c r="G34" s="1025"/>
      <c r="H34" s="1025"/>
      <c r="I34" s="1025"/>
      <c r="J34" s="1025"/>
      <c r="K34" s="1025"/>
      <c r="L34" s="1025"/>
      <c r="M34" s="1025"/>
      <c r="N34" s="1025"/>
      <c r="O34" s="1025"/>
      <c r="P34" s="1025"/>
      <c r="Q34" s="1025"/>
      <c r="R34" s="1025"/>
      <c r="S34" s="1025"/>
      <c r="T34" s="1026"/>
      <c r="U34" s="134"/>
      <c r="V34" s="152"/>
      <c r="W34" s="168"/>
      <c r="X34" s="87"/>
      <c r="Y34" s="210"/>
      <c r="Z34" s="210"/>
      <c r="AA34" s="210"/>
      <c r="AB34" s="210"/>
      <c r="AC34" s="210"/>
      <c r="AD34" s="210"/>
      <c r="AE34" s="210"/>
      <c r="AF34" s="210"/>
      <c r="AG34" s="210"/>
      <c r="AI34" s="210"/>
      <c r="AJ34" s="175"/>
      <c r="AK34" s="80"/>
      <c r="AL34" s="80"/>
      <c r="AM34" s="80"/>
      <c r="AN34" s="80"/>
      <c r="AO34" s="80"/>
      <c r="AP34" s="80"/>
      <c r="AQ34" s="80"/>
    </row>
    <row r="35" spans="1:53" s="88" customFormat="1" ht="7.5" customHeight="1" x14ac:dyDescent="0.2">
      <c r="A35" s="135"/>
      <c r="B35" s="18"/>
      <c r="C35" s="18"/>
      <c r="D35" s="17"/>
      <c r="E35" s="17"/>
      <c r="F35" s="17"/>
      <c r="G35" s="17"/>
      <c r="H35" s="17"/>
      <c r="I35" s="17"/>
      <c r="J35" s="13"/>
      <c r="K35" s="19"/>
      <c r="L35" s="19"/>
      <c r="M35" s="19"/>
      <c r="N35" s="19"/>
      <c r="O35" s="19"/>
      <c r="P35" s="19"/>
      <c r="Q35" s="19"/>
      <c r="R35" s="19"/>
      <c r="S35" s="19"/>
      <c r="T35" s="20"/>
      <c r="U35" s="134"/>
      <c r="V35" s="152"/>
      <c r="W35" s="168"/>
      <c r="Y35" s="217"/>
      <c r="AI35" s="210"/>
      <c r="AJ35" s="175"/>
      <c r="AK35" s="80"/>
      <c r="AL35" s="80"/>
      <c r="AM35" s="80"/>
      <c r="AN35" s="80"/>
      <c r="AO35" s="80"/>
      <c r="AP35" s="80"/>
      <c r="AQ35" s="80"/>
    </row>
    <row r="36" spans="1:53" s="88" customFormat="1" ht="15" customHeight="1" x14ac:dyDescent="0.2">
      <c r="A36" s="1010"/>
      <c r="B36" s="1018"/>
      <c r="C36" s="1018"/>
      <c r="D36" s="1018"/>
      <c r="E36" s="1018"/>
      <c r="F36" s="1018"/>
      <c r="G36" s="1018"/>
      <c r="H36" s="1018"/>
      <c r="I36" s="1018"/>
      <c r="J36" s="1018"/>
      <c r="K36" s="1018"/>
      <c r="L36" s="1018"/>
      <c r="M36" s="1018"/>
      <c r="N36" s="1018"/>
      <c r="O36" s="1018"/>
      <c r="P36" s="1018"/>
      <c r="Q36" s="1018"/>
      <c r="R36" s="1018"/>
      <c r="S36" s="1018"/>
      <c r="T36" s="1018"/>
      <c r="U36" s="1019"/>
      <c r="V36" s="152"/>
      <c r="W36" s="168"/>
      <c r="Y36" s="217"/>
      <c r="AJ36" s="179"/>
      <c r="AL36" s="88">
        <v>10</v>
      </c>
      <c r="AM36" s="88">
        <v>11</v>
      </c>
      <c r="AN36" s="88">
        <v>12</v>
      </c>
      <c r="AO36" s="88">
        <v>13</v>
      </c>
      <c r="AP36" s="88">
        <v>14</v>
      </c>
      <c r="AR36" s="88">
        <v>3</v>
      </c>
      <c r="AS36" s="25">
        <v>4</v>
      </c>
      <c r="AT36" s="25">
        <v>5</v>
      </c>
      <c r="AU36" s="25">
        <v>6</v>
      </c>
      <c r="AV36" s="24">
        <v>7</v>
      </c>
      <c r="AW36" s="88">
        <v>3</v>
      </c>
      <c r="AX36" s="25">
        <v>4</v>
      </c>
      <c r="AY36" s="25">
        <v>5</v>
      </c>
      <c r="AZ36" s="25">
        <v>6</v>
      </c>
      <c r="BA36" s="24">
        <v>7</v>
      </c>
    </row>
    <row r="37" spans="1:53" s="88" customFormat="1" ht="11.25" customHeight="1" x14ac:dyDescent="0.2">
      <c r="A37" s="1020" t="str">
        <f>Home!$A$35</f>
        <v>LA's provide quarterly data on the condition that it is used by the benchmarking group for internal reporting only. Please DO NOT share other LA's data with any external partners or the public</v>
      </c>
      <c r="B37" s="1021"/>
      <c r="C37" s="1021"/>
      <c r="D37" s="1021"/>
      <c r="E37" s="1021"/>
      <c r="F37" s="1021"/>
      <c r="G37" s="1021"/>
      <c r="H37" s="1021"/>
      <c r="I37" s="1022"/>
      <c r="J37" s="1021"/>
      <c r="K37" s="1021"/>
      <c r="L37" s="1021"/>
      <c r="M37" s="1021"/>
      <c r="N37" s="1021"/>
      <c r="O37" s="1021"/>
      <c r="P37" s="1021"/>
      <c r="Q37" s="1021"/>
      <c r="R37" s="1021"/>
      <c r="S37" s="1022"/>
      <c r="T37" s="1021"/>
      <c r="U37" s="1023"/>
      <c r="V37" s="152"/>
      <c r="W37" s="168"/>
      <c r="Y37" s="217"/>
      <c r="AI37" s="210"/>
      <c r="AJ37" s="178"/>
      <c r="AK37" s="101"/>
      <c r="AL37" s="162" t="s">
        <v>89</v>
      </c>
      <c r="AM37" s="163"/>
      <c r="AN37" s="163"/>
      <c r="AO37" s="163"/>
      <c r="AP37" s="163"/>
      <c r="AQ37" s="341" t="s">
        <v>95</v>
      </c>
      <c r="AR37" s="56" t="s">
        <v>86</v>
      </c>
      <c r="AS37" s="25"/>
      <c r="AT37" s="25"/>
      <c r="AU37" s="25"/>
      <c r="AV37" s="24"/>
      <c r="AW37" s="56" t="s">
        <v>263</v>
      </c>
      <c r="AX37" s="25"/>
      <c r="AY37" s="25"/>
      <c r="AZ37" s="25"/>
      <c r="BA37" s="24"/>
    </row>
    <row r="38" spans="1:53" s="88" customFormat="1" ht="11.25" customHeight="1" x14ac:dyDescent="0.2">
      <c r="A38" s="129"/>
      <c r="B38" s="130"/>
      <c r="C38" s="130"/>
      <c r="D38" s="130"/>
      <c r="E38" s="130"/>
      <c r="F38" s="130"/>
      <c r="G38" s="130"/>
      <c r="H38" s="130"/>
      <c r="I38" s="130"/>
      <c r="J38" s="131"/>
      <c r="K38" s="130"/>
      <c r="L38" s="130"/>
      <c r="M38" s="130"/>
      <c r="N38" s="130"/>
      <c r="O38" s="130"/>
      <c r="P38" s="130"/>
      <c r="Q38" s="130"/>
      <c r="R38" s="130"/>
      <c r="S38" s="130"/>
      <c r="T38" s="130"/>
      <c r="U38" s="132"/>
      <c r="V38" s="152"/>
      <c r="W38" s="167" t="s">
        <v>102</v>
      </c>
      <c r="X38" s="224"/>
      <c r="Y38" s="224"/>
      <c r="Z38" s="224"/>
      <c r="AA38" s="224"/>
      <c r="AB38" s="224"/>
      <c r="AI38" s="210"/>
      <c r="AJ38" s="178"/>
      <c r="AK38" s="101"/>
      <c r="AL38" s="162"/>
      <c r="AM38" s="308"/>
      <c r="AN38" s="308"/>
      <c r="AO38" s="308"/>
      <c r="AP38" s="308"/>
      <c r="AQ38" s="342"/>
      <c r="AR38" s="308"/>
      <c r="AS38" s="308"/>
      <c r="AT38" s="308"/>
      <c r="AU38" s="308"/>
      <c r="AV38" s="308"/>
      <c r="AW38" s="545"/>
      <c r="AX38" s="545"/>
      <c r="AY38" s="545"/>
      <c r="AZ38" s="545"/>
      <c r="BA38" s="545"/>
    </row>
    <row r="39" spans="1:53" s="88" customFormat="1" ht="8.25" customHeight="1" x14ac:dyDescent="0.25">
      <c r="A39" s="133"/>
      <c r="B39" s="9"/>
      <c r="C39" s="9"/>
      <c r="D39" s="9"/>
      <c r="E39" s="9"/>
      <c r="F39" s="9"/>
      <c r="G39" s="9"/>
      <c r="H39" s="9"/>
      <c r="I39" s="9"/>
      <c r="J39" s="13"/>
      <c r="K39" s="9"/>
      <c r="L39" s="9"/>
      <c r="M39" s="9"/>
      <c r="N39" s="9"/>
      <c r="O39" s="9"/>
      <c r="P39" s="9"/>
      <c r="Q39" s="9"/>
      <c r="R39" s="9"/>
      <c r="S39" s="9"/>
      <c r="T39" s="9"/>
      <c r="U39" s="134"/>
      <c r="V39" s="152"/>
      <c r="W39" s="326"/>
      <c r="X39" s="646" t="s">
        <v>30</v>
      </c>
      <c r="Y39" s="259" t="s">
        <v>8</v>
      </c>
      <c r="Z39" s="259" t="s">
        <v>103</v>
      </c>
      <c r="AA39" s="1033" t="s">
        <v>76</v>
      </c>
      <c r="AB39" s="1033" t="s">
        <v>77</v>
      </c>
      <c r="AJ39" s="178"/>
      <c r="AK39" s="101"/>
      <c r="AL39" s="308">
        <f>D8</f>
        <v>2014</v>
      </c>
      <c r="AM39" s="308">
        <f>E8</f>
        <v>2015</v>
      </c>
      <c r="AN39" s="308">
        <f>F8</f>
        <v>2016</v>
      </c>
      <c r="AO39" s="308">
        <f>G8</f>
        <v>2017</v>
      </c>
      <c r="AP39" s="308">
        <f>H8</f>
        <v>2018</v>
      </c>
      <c r="AQ39" s="342"/>
      <c r="AR39" s="308">
        <f>K8</f>
        <v>2014</v>
      </c>
      <c r="AS39" s="308">
        <f>L8</f>
        <v>2015</v>
      </c>
      <c r="AT39" s="308">
        <f>M8</f>
        <v>2016</v>
      </c>
      <c r="AU39" s="308">
        <f>N8</f>
        <v>2017</v>
      </c>
      <c r="AV39" s="308">
        <f>O8</f>
        <v>2018</v>
      </c>
      <c r="AW39" s="545">
        <f>AR39</f>
        <v>2014</v>
      </c>
      <c r="AX39" s="545">
        <f t="shared" ref="AX39:BA39" si="9">AS39</f>
        <v>2015</v>
      </c>
      <c r="AY39" s="545">
        <f t="shared" si="9"/>
        <v>2016</v>
      </c>
      <c r="AZ39" s="545">
        <f t="shared" si="9"/>
        <v>2017</v>
      </c>
      <c r="BA39" s="545">
        <f t="shared" si="9"/>
        <v>2018</v>
      </c>
    </row>
    <row r="40" spans="1:53" s="88" customFormat="1" ht="14.25" customHeight="1" x14ac:dyDescent="0.2">
      <c r="A40" s="135"/>
      <c r="B40" s="9"/>
      <c r="C40" s="9"/>
      <c r="D40" s="9"/>
      <c r="E40" s="9"/>
      <c r="F40" s="9"/>
      <c r="G40" s="9"/>
      <c r="H40" s="9"/>
      <c r="I40" s="9"/>
      <c r="J40" s="13"/>
      <c r="K40" s="9"/>
      <c r="L40" s="9"/>
      <c r="M40" s="9"/>
      <c r="N40" s="9"/>
      <c r="O40" s="9"/>
      <c r="P40" s="9"/>
      <c r="Q40" s="9"/>
      <c r="R40" s="9"/>
      <c r="S40" s="9"/>
      <c r="T40" s="9"/>
      <c r="U40" s="134"/>
      <c r="V40" s="152"/>
      <c r="W40" s="326"/>
      <c r="X40" s="647" t="e">
        <f ca="1">OFFSET(B8,$X$4,0)</f>
        <v>#N/A</v>
      </c>
      <c r="Y40" s="238" t="e">
        <f ca="1">OFFSET(R7,(VLOOKUP(X40,$Y$41:$Z$62,2,FALSE)),0)</f>
        <v>#N/A</v>
      </c>
      <c r="Z40" s="238" t="e">
        <f ca="1">(OFFSET(O7,(VLOOKUP(X40,$Y$41:$Z$62,2,FALSE)),0))</f>
        <v>#N/A</v>
      </c>
      <c r="AA40" s="1034"/>
      <c r="AB40" s="1034"/>
      <c r="AI40" s="642" t="b">
        <v>1</v>
      </c>
      <c r="AJ40" s="178" t="s">
        <v>0</v>
      </c>
      <c r="AK40" s="101" t="str">
        <f t="shared" ref="AK40:AK63" si="10">IF(AI40=TRUE,B9,"")</f>
        <v>Bracknell Forest</v>
      </c>
      <c r="AL40" s="164">
        <f t="shared" ref="AL40:AP62" si="11">VLOOKUP($AK40,$B$9:$O$32,AL$36,FALSE)</f>
        <v>419.18819188191884</v>
      </c>
      <c r="AM40" s="164">
        <f t="shared" si="11"/>
        <v>381.29496402877697</v>
      </c>
      <c r="AN40" s="164">
        <f t="shared" si="11"/>
        <v>463.12056737588654</v>
      </c>
      <c r="AO40" s="164">
        <f t="shared" si="11"/>
        <v>583.51671754099527</v>
      </c>
      <c r="AP40" s="164">
        <f t="shared" si="11"/>
        <v>647.9997150083716</v>
      </c>
      <c r="AQ40" s="165">
        <f>VLOOKUP(AK40,$B$9:$T$32,17,FALSE)</f>
        <v>11</v>
      </c>
      <c r="AR40" s="398">
        <f t="shared" ref="AR40:AV49" si="12">VLOOKUP($AK40,$B$110:$H$133,AR$36,FALSE)</f>
        <v>0.83714788732394363</v>
      </c>
      <c r="AS40" s="398">
        <f t="shared" si="12"/>
        <v>0.89339622641509431</v>
      </c>
      <c r="AT40" s="398">
        <f t="shared" si="12"/>
        <v>0.82695252679938747</v>
      </c>
      <c r="AU40" s="398">
        <f t="shared" si="12"/>
        <v>0.87591240875912413</v>
      </c>
      <c r="AV40" s="398">
        <f t="shared" si="12"/>
        <v>0.9279824079164376</v>
      </c>
      <c r="AW40" s="398" t="e">
        <f>VLOOKUP($AK40,#REF!,AW$36,FALSE)</f>
        <v>#REF!</v>
      </c>
      <c r="AX40" s="398" t="e">
        <f>VLOOKUP($AK40,#REF!,AX$36,FALSE)</f>
        <v>#REF!</v>
      </c>
      <c r="AY40" s="398" t="e">
        <f>VLOOKUP($AK40,#REF!,AY$36,FALSE)</f>
        <v>#REF!</v>
      </c>
      <c r="AZ40" s="398" t="e">
        <f>VLOOKUP($AK40,#REF!,AZ$36,FALSE)</f>
        <v>#REF!</v>
      </c>
      <c r="BA40" s="398" t="e">
        <f>VLOOKUP($AK40,#REF!,BA$36,FALSE)</f>
        <v>#REF!</v>
      </c>
    </row>
    <row r="41" spans="1:53" s="88" customFormat="1" ht="14.25" customHeight="1" x14ac:dyDescent="0.2">
      <c r="A41" s="135"/>
      <c r="B41" s="9"/>
      <c r="C41" s="9"/>
      <c r="D41" s="9"/>
      <c r="E41" s="9"/>
      <c r="F41" s="9"/>
      <c r="G41" s="9"/>
      <c r="H41" s="9"/>
      <c r="I41" s="9"/>
      <c r="J41" s="13"/>
      <c r="K41" s="9"/>
      <c r="L41" s="9"/>
      <c r="M41" s="9"/>
      <c r="N41" s="9"/>
      <c r="O41" s="9"/>
      <c r="P41" s="9"/>
      <c r="Q41" s="9"/>
      <c r="R41" s="9"/>
      <c r="S41" s="9"/>
      <c r="T41" s="9"/>
      <c r="U41" s="134"/>
      <c r="V41" s="152"/>
      <c r="W41" s="326"/>
      <c r="X41" s="647">
        <v>1</v>
      </c>
      <c r="Y41" s="50" t="str">
        <f t="shared" ref="Y41:Y64" si="13">B9</f>
        <v>Bracknell Forest</v>
      </c>
      <c r="Z41" s="45">
        <v>2</v>
      </c>
      <c r="AA41" s="46">
        <f>IF(H9&gt;0,IDACI!D9,0)</f>
        <v>23799</v>
      </c>
      <c r="AB41" s="46">
        <f>IF(H9&gt;0,IDACI!E9,0)</f>
        <v>2617.89</v>
      </c>
      <c r="AI41" s="642" t="b">
        <v>1</v>
      </c>
      <c r="AJ41" s="178" t="s">
        <v>32</v>
      </c>
      <c r="AK41" s="101" t="str">
        <f t="shared" si="10"/>
        <v>Brighton &amp; Hove</v>
      </c>
      <c r="AL41" s="164">
        <f t="shared" si="11"/>
        <v>838.01980198019805</v>
      </c>
      <c r="AM41" s="164">
        <f t="shared" si="11"/>
        <v>1432.7450980392157</v>
      </c>
      <c r="AN41" s="164">
        <f t="shared" si="11"/>
        <v>669.140625</v>
      </c>
      <c r="AO41" s="164">
        <f t="shared" si="11"/>
        <v>663.98861176654123</v>
      </c>
      <c r="AP41" s="164">
        <f t="shared" si="11"/>
        <v>655.93064082697481</v>
      </c>
      <c r="AQ41" s="165">
        <f t="shared" ref="AQ41:AQ55" si="14">VLOOKUP(AK41,$B$9:$T$31,17,FALSE)</f>
        <v>18.3</v>
      </c>
      <c r="AR41" s="398">
        <f t="shared" si="12"/>
        <v>0.64555765595463133</v>
      </c>
      <c r="AS41" s="398">
        <f t="shared" si="12"/>
        <v>0.48816203640344874</v>
      </c>
      <c r="AT41" s="398">
        <f t="shared" si="12"/>
        <v>0.90455341506129594</v>
      </c>
      <c r="AU41" s="398">
        <f t="shared" si="12"/>
        <v>0.90249632892804699</v>
      </c>
      <c r="AV41" s="398">
        <f t="shared" si="12"/>
        <v>0.9087918660287081</v>
      </c>
      <c r="AW41" s="398" t="e">
        <f>VLOOKUP($AK41,#REF!,AW$36,FALSE)</f>
        <v>#REF!</v>
      </c>
      <c r="AX41" s="398" t="e">
        <f>VLOOKUP($AK41,#REF!,AX$36,FALSE)</f>
        <v>#REF!</v>
      </c>
      <c r="AY41" s="398" t="e">
        <f>VLOOKUP($AK41,#REF!,AY$36,FALSE)</f>
        <v>#REF!</v>
      </c>
      <c r="AZ41" s="398" t="e">
        <f>VLOOKUP($AK41,#REF!,AZ$36,FALSE)</f>
        <v>#REF!</v>
      </c>
      <c r="BA41" s="398" t="e">
        <f>VLOOKUP($AK41,#REF!,BA$36,FALSE)</f>
        <v>#REF!</v>
      </c>
    </row>
    <row r="42" spans="1:53" ht="14.25" customHeight="1" x14ac:dyDescent="0.2">
      <c r="A42" s="135"/>
      <c r="B42" s="9"/>
      <c r="C42" s="9"/>
      <c r="D42" s="9"/>
      <c r="E42" s="9"/>
      <c r="F42" s="9"/>
      <c r="G42" s="9"/>
      <c r="H42" s="9"/>
      <c r="I42" s="9"/>
      <c r="J42" s="13"/>
      <c r="K42" s="9"/>
      <c r="L42" s="9"/>
      <c r="M42" s="9"/>
      <c r="N42" s="9"/>
      <c r="O42" s="9"/>
      <c r="P42" s="9"/>
      <c r="Q42" s="9"/>
      <c r="R42" s="9"/>
      <c r="S42" s="9"/>
      <c r="T42" s="9"/>
      <c r="U42" s="134"/>
      <c r="V42" s="152"/>
      <c r="W42" s="326"/>
      <c r="X42" s="647">
        <v>2</v>
      </c>
      <c r="Y42" s="50" t="str">
        <f t="shared" si="13"/>
        <v>Brighton &amp; Hove</v>
      </c>
      <c r="Z42" s="45">
        <v>3</v>
      </c>
      <c r="AA42" s="46">
        <f>IF(H10&gt;0,IDACI!D10,0)</f>
        <v>44814</v>
      </c>
      <c r="AB42" s="46">
        <f>IF(H10&gt;0,IDACI!E10,0)</f>
        <v>8200.9619999999995</v>
      </c>
      <c r="AI42" s="642" t="b">
        <v>1</v>
      </c>
      <c r="AJ42" s="178" t="s">
        <v>9</v>
      </c>
      <c r="AK42" s="101" t="str">
        <f t="shared" si="10"/>
        <v>Buckinghamshire</v>
      </c>
      <c r="AL42" s="164">
        <f t="shared" si="11"/>
        <v>622.19387755102036</v>
      </c>
      <c r="AM42" s="164">
        <f t="shared" si="11"/>
        <v>431.37089991589573</v>
      </c>
      <c r="AN42" s="164">
        <f t="shared" si="11"/>
        <v>576.94859038142624</v>
      </c>
      <c r="AO42" s="164">
        <f t="shared" si="11"/>
        <v>753.1606726402357</v>
      </c>
      <c r="AP42" s="164">
        <f t="shared" si="11"/>
        <v>839.89437334958347</v>
      </c>
      <c r="AQ42" s="165">
        <f t="shared" si="14"/>
        <v>9.8000000000000007</v>
      </c>
      <c r="AR42" s="398">
        <f t="shared" si="12"/>
        <v>0.55637556375563757</v>
      </c>
      <c r="AS42" s="398">
        <f t="shared" si="12"/>
        <v>0.97426398908169232</v>
      </c>
      <c r="AT42" s="398">
        <f t="shared" si="12"/>
        <v>0.83702213279678073</v>
      </c>
      <c r="AU42" s="398">
        <f t="shared" si="12"/>
        <v>0.89710995219469791</v>
      </c>
      <c r="AV42" s="398">
        <f t="shared" si="12"/>
        <v>0.74102737738221924</v>
      </c>
      <c r="AW42" s="398" t="e">
        <f>VLOOKUP($AK42,#REF!,AW$36,FALSE)</f>
        <v>#REF!</v>
      </c>
      <c r="AX42" s="398" t="e">
        <f>VLOOKUP($AK42,#REF!,AX$36,FALSE)</f>
        <v>#REF!</v>
      </c>
      <c r="AY42" s="398" t="e">
        <f>VLOOKUP($AK42,#REF!,AY$36,FALSE)</f>
        <v>#REF!</v>
      </c>
      <c r="AZ42" s="398" t="e">
        <f>VLOOKUP($AK42,#REF!,AZ$36,FALSE)</f>
        <v>#REF!</v>
      </c>
      <c r="BA42" s="398" t="e">
        <f>VLOOKUP($AK42,#REF!,BA$36,FALSE)</f>
        <v>#REF!</v>
      </c>
    </row>
    <row r="43" spans="1:53" ht="14.25" customHeight="1" x14ac:dyDescent="0.2">
      <c r="A43" s="135"/>
      <c r="B43" s="9"/>
      <c r="C43" s="9"/>
      <c r="D43" s="9"/>
      <c r="E43" s="9"/>
      <c r="F43" s="9"/>
      <c r="G43" s="9"/>
      <c r="H43" s="9"/>
      <c r="I43" s="9"/>
      <c r="J43" s="13"/>
      <c r="K43" s="14"/>
      <c r="L43" s="14"/>
      <c r="M43" s="14"/>
      <c r="N43" s="14"/>
      <c r="O43" s="15"/>
      <c r="P43" s="15"/>
      <c r="Q43" s="15"/>
      <c r="R43" s="15"/>
      <c r="S43" s="15"/>
      <c r="T43" s="15"/>
      <c r="U43" s="134"/>
      <c r="V43" s="152"/>
      <c r="W43" s="326"/>
      <c r="X43" s="647">
        <v>3</v>
      </c>
      <c r="Y43" s="50" t="str">
        <f t="shared" si="13"/>
        <v>Buckinghamshire</v>
      </c>
      <c r="Z43" s="45">
        <v>4</v>
      </c>
      <c r="AA43" s="46">
        <f>IF(H11&gt;0,IDACI!D11,0)</f>
        <v>103548</v>
      </c>
      <c r="AB43" s="46">
        <f>IF(H11&gt;0,IDACI!E11,0)</f>
        <v>10147.704</v>
      </c>
      <c r="AI43" s="642" t="b">
        <v>1</v>
      </c>
      <c r="AJ43" s="178" t="s">
        <v>4</v>
      </c>
      <c r="AK43" s="101" t="str">
        <f t="shared" si="10"/>
        <v>East Sussex</v>
      </c>
      <c r="AL43" s="164">
        <f t="shared" si="11"/>
        <v>708.96946564885502</v>
      </c>
      <c r="AM43" s="164">
        <f t="shared" si="11"/>
        <v>378.55787476280835</v>
      </c>
      <c r="AN43" s="164">
        <f t="shared" si="11"/>
        <v>301.98300283286119</v>
      </c>
      <c r="AO43" s="164">
        <f t="shared" si="11"/>
        <v>347.04455123061092</v>
      </c>
      <c r="AP43" s="164">
        <f t="shared" si="11"/>
        <v>411.80630864255738</v>
      </c>
      <c r="AQ43" s="165">
        <f t="shared" si="14"/>
        <v>17.399999999999999</v>
      </c>
      <c r="AR43" s="398">
        <f t="shared" si="12"/>
        <v>0.84024226110363387</v>
      </c>
      <c r="AS43" s="398">
        <f t="shared" si="12"/>
        <v>0.94260651629072678</v>
      </c>
      <c r="AT43" s="398">
        <f t="shared" si="12"/>
        <v>0.97467166979362097</v>
      </c>
      <c r="AU43" s="398">
        <f t="shared" si="12"/>
        <v>0.98150163220892273</v>
      </c>
      <c r="AV43" s="398">
        <f t="shared" si="12"/>
        <v>0.9814517975727044</v>
      </c>
      <c r="AW43" s="398" t="e">
        <f>VLOOKUP($AK43,#REF!,AW$36,FALSE)</f>
        <v>#REF!</v>
      </c>
      <c r="AX43" s="398" t="e">
        <f>VLOOKUP($AK43,#REF!,AX$36,FALSE)</f>
        <v>#REF!</v>
      </c>
      <c r="AY43" s="398" t="e">
        <f>VLOOKUP($AK43,#REF!,AY$36,FALSE)</f>
        <v>#REF!</v>
      </c>
      <c r="AZ43" s="398" t="e">
        <f>VLOOKUP($AK43,#REF!,AZ$36,FALSE)</f>
        <v>#REF!</v>
      </c>
      <c r="BA43" s="398" t="e">
        <f>VLOOKUP($AK43,#REF!,BA$36,FALSE)</f>
        <v>#REF!</v>
      </c>
    </row>
    <row r="44" spans="1:53" s="82" customFormat="1" ht="14.25" customHeight="1" x14ac:dyDescent="0.2">
      <c r="A44" s="136"/>
      <c r="B44" s="124"/>
      <c r="C44" s="124"/>
      <c r="D44" s="125"/>
      <c r="E44" s="125"/>
      <c r="F44" s="125"/>
      <c r="G44" s="125"/>
      <c r="H44" s="125"/>
      <c r="I44" s="257"/>
      <c r="J44" s="16"/>
      <c r="K44" s="9"/>
      <c r="L44" s="9"/>
      <c r="M44" s="9"/>
      <c r="N44" s="9"/>
      <c r="O44" s="9"/>
      <c r="P44" s="9"/>
      <c r="Q44" s="9"/>
      <c r="R44" s="9"/>
      <c r="S44" s="9"/>
      <c r="T44" s="9"/>
      <c r="U44" s="137"/>
      <c r="V44" s="153"/>
      <c r="W44" s="327"/>
      <c r="X44" s="647">
        <v>4</v>
      </c>
      <c r="Y44" s="50" t="str">
        <f t="shared" si="13"/>
        <v>East Sussex</v>
      </c>
      <c r="Z44" s="45">
        <v>5</v>
      </c>
      <c r="AA44" s="46">
        <f>IF(H12&gt;0,IDACI!D12,0)</f>
        <v>91918</v>
      </c>
      <c r="AB44" s="46">
        <f>IF(H12&gt;0,IDACI!E12,0)</f>
        <v>15993.731999999998</v>
      </c>
      <c r="AC44" s="88"/>
      <c r="AD44" s="88"/>
      <c r="AE44" s="88"/>
      <c r="AF44" s="88"/>
      <c r="AG44" s="88"/>
      <c r="AH44" s="88"/>
      <c r="AI44" s="642" t="b">
        <v>1</v>
      </c>
      <c r="AJ44" s="178" t="s">
        <v>6</v>
      </c>
      <c r="AK44" s="101" t="str">
        <f t="shared" si="10"/>
        <v>Hampshire</v>
      </c>
      <c r="AL44" s="164">
        <f t="shared" si="11"/>
        <v>575.09755232351893</v>
      </c>
      <c r="AM44" s="164">
        <f t="shared" si="11"/>
        <v>594.99111900532853</v>
      </c>
      <c r="AN44" s="164">
        <f t="shared" si="11"/>
        <v>591.20255409719766</v>
      </c>
      <c r="AO44" s="164">
        <f t="shared" si="11"/>
        <v>687.25666658415582</v>
      </c>
      <c r="AP44" s="164">
        <f t="shared" si="11"/>
        <v>568.80351835772319</v>
      </c>
      <c r="AQ44" s="165">
        <f t="shared" si="14"/>
        <v>11.799999999999999</v>
      </c>
      <c r="AR44" s="398">
        <f t="shared" si="12"/>
        <v>0.9092647421662966</v>
      </c>
      <c r="AS44" s="398">
        <f t="shared" si="12"/>
        <v>0.89671025135829008</v>
      </c>
      <c r="AT44" s="398">
        <f t="shared" si="12"/>
        <v>0.89961598463938552</v>
      </c>
      <c r="AU44" s="398">
        <f t="shared" si="12"/>
        <v>0.82588114226910214</v>
      </c>
      <c r="AV44" s="398">
        <f t="shared" si="12"/>
        <v>0.83599131244182434</v>
      </c>
      <c r="AW44" s="398" t="e">
        <f>VLOOKUP($AK44,#REF!,AW$36,FALSE)</f>
        <v>#REF!</v>
      </c>
      <c r="AX44" s="398" t="e">
        <f>VLOOKUP($AK44,#REF!,AX$36,FALSE)</f>
        <v>#REF!</v>
      </c>
      <c r="AY44" s="398" t="e">
        <f>VLOOKUP($AK44,#REF!,AY$36,FALSE)</f>
        <v>#REF!</v>
      </c>
      <c r="AZ44" s="398" t="e">
        <f>VLOOKUP($AK44,#REF!,AZ$36,FALSE)</f>
        <v>#REF!</v>
      </c>
      <c r="BA44" s="398" t="e">
        <f>VLOOKUP($AK44,#REF!,BA$36,FALSE)</f>
        <v>#REF!</v>
      </c>
    </row>
    <row r="45" spans="1:53" ht="14.25" customHeight="1" x14ac:dyDescent="0.2">
      <c r="A45" s="135"/>
      <c r="B45" s="125"/>
      <c r="C45" s="125"/>
      <c r="D45" s="125"/>
      <c r="E45" s="125"/>
      <c r="F45" s="125"/>
      <c r="G45" s="125"/>
      <c r="H45" s="125"/>
      <c r="I45" s="257"/>
      <c r="J45" s="13"/>
      <c r="K45" s="15"/>
      <c r="L45" s="15"/>
      <c r="M45" s="15"/>
      <c r="N45" s="15"/>
      <c r="O45" s="9"/>
      <c r="P45" s="9"/>
      <c r="Q45" s="9"/>
      <c r="R45" s="9"/>
      <c r="S45" s="9"/>
      <c r="T45" s="9"/>
      <c r="U45" s="134"/>
      <c r="V45" s="152"/>
      <c r="W45" s="326"/>
      <c r="X45" s="647">
        <v>5</v>
      </c>
      <c r="Y45" s="50" t="str">
        <f t="shared" si="13"/>
        <v>Hampshire</v>
      </c>
      <c r="Z45" s="45">
        <v>6</v>
      </c>
      <c r="AA45" s="46">
        <f>IF(H13&gt;0,IDACI!D13,0)</f>
        <v>247800</v>
      </c>
      <c r="AB45" s="46">
        <f>IF(H13&gt;0,IDACI!E13,0)</f>
        <v>29240.399999999998</v>
      </c>
      <c r="AI45" s="642" t="b">
        <v>1</v>
      </c>
      <c r="AJ45" s="178" t="s">
        <v>1</v>
      </c>
      <c r="AK45" s="101" t="str">
        <f t="shared" si="10"/>
        <v>Isle of Wight</v>
      </c>
      <c r="AL45" s="164">
        <f t="shared" si="11"/>
        <v>856.97674418604652</v>
      </c>
      <c r="AM45" s="164">
        <f t="shared" si="11"/>
        <v>931.37254901960785</v>
      </c>
      <c r="AN45" s="164">
        <f t="shared" si="11"/>
        <v>944.26877470355737</v>
      </c>
      <c r="AO45" s="164">
        <f t="shared" si="11"/>
        <v>1036.9047619047619</v>
      </c>
      <c r="AP45" s="164">
        <f t="shared" si="11"/>
        <v>882.85771303133106</v>
      </c>
      <c r="AQ45" s="165">
        <f t="shared" si="14"/>
        <v>20.399999999999999</v>
      </c>
      <c r="AR45" s="398">
        <f t="shared" si="12"/>
        <v>0.80325644504748983</v>
      </c>
      <c r="AS45" s="398">
        <f t="shared" si="12"/>
        <v>0.85978947368421055</v>
      </c>
      <c r="AT45" s="398">
        <f t="shared" si="12"/>
        <v>0.89284219338635418</v>
      </c>
      <c r="AU45" s="398">
        <f t="shared" si="12"/>
        <v>0.83773440489858397</v>
      </c>
      <c r="AV45" s="398">
        <f t="shared" si="12"/>
        <v>0.80605786618444841</v>
      </c>
      <c r="AW45" s="398" t="e">
        <f>VLOOKUP($AK45,#REF!,AW$36,FALSE)</f>
        <v>#REF!</v>
      </c>
      <c r="AX45" s="398" t="e">
        <f>VLOOKUP($AK45,#REF!,AX$36,FALSE)</f>
        <v>#REF!</v>
      </c>
      <c r="AY45" s="398" t="e">
        <f>VLOOKUP($AK45,#REF!,AY$36,FALSE)</f>
        <v>#REF!</v>
      </c>
      <c r="AZ45" s="398" t="e">
        <f>VLOOKUP($AK45,#REF!,AZ$36,FALSE)</f>
        <v>#REF!</v>
      </c>
      <c r="BA45" s="398" t="e">
        <f>VLOOKUP($AK45,#REF!,BA$36,FALSE)</f>
        <v>#REF!</v>
      </c>
    </row>
    <row r="46" spans="1:53" ht="14.25" customHeight="1" x14ac:dyDescent="0.2">
      <c r="A46" s="135"/>
      <c r="B46" s="125"/>
      <c r="C46" s="125"/>
      <c r="D46" s="125"/>
      <c r="E46" s="125"/>
      <c r="F46" s="125"/>
      <c r="G46" s="125"/>
      <c r="H46" s="125"/>
      <c r="I46" s="257"/>
      <c r="J46" s="13"/>
      <c r="K46" s="15"/>
      <c r="L46" s="15"/>
      <c r="M46" s="15"/>
      <c r="N46" s="15"/>
      <c r="O46" s="9"/>
      <c r="P46" s="9"/>
      <c r="Q46" s="9"/>
      <c r="R46" s="9"/>
      <c r="S46" s="9"/>
      <c r="T46" s="9"/>
      <c r="U46" s="134"/>
      <c r="V46" s="152"/>
      <c r="W46" s="326"/>
      <c r="X46" s="647">
        <v>6</v>
      </c>
      <c r="Y46" s="50" t="str">
        <f t="shared" si="13"/>
        <v>Isle of Wight</v>
      </c>
      <c r="Z46" s="45">
        <v>7</v>
      </c>
      <c r="AA46" s="46">
        <f>IF(H14&gt;0,IDACI!D14,0)</f>
        <v>22502</v>
      </c>
      <c r="AB46" s="46">
        <f>IF(H14&gt;0,IDACI!E14,0)</f>
        <v>4590.4079999999994</v>
      </c>
      <c r="AC46" s="239"/>
      <c r="AI46" s="642" t="b">
        <v>1</v>
      </c>
      <c r="AJ46" s="178" t="s">
        <v>10</v>
      </c>
      <c r="AK46" s="101" t="str">
        <f t="shared" si="10"/>
        <v>Kent</v>
      </c>
      <c r="AL46" s="164">
        <f t="shared" si="11"/>
        <v>588.57493857493853</v>
      </c>
      <c r="AM46" s="164">
        <f t="shared" si="11"/>
        <v>503.4724337496192</v>
      </c>
      <c r="AN46" s="164">
        <f t="shared" si="11"/>
        <v>464.34624697336562</v>
      </c>
      <c r="AO46" s="164">
        <f t="shared" si="11"/>
        <v>474.56049482802626</v>
      </c>
      <c r="AP46" s="164">
        <f t="shared" si="11"/>
        <v>576.42298193936142</v>
      </c>
      <c r="AQ46" s="165">
        <f t="shared" si="14"/>
        <v>17.8</v>
      </c>
      <c r="AR46" s="398">
        <f t="shared" si="12"/>
        <v>0.689939469839282</v>
      </c>
      <c r="AS46" s="398">
        <f t="shared" si="12"/>
        <v>0.72127775425010587</v>
      </c>
      <c r="AT46" s="398">
        <f t="shared" si="12"/>
        <v>0.99302568113674883</v>
      </c>
      <c r="AU46" s="398">
        <f t="shared" si="12"/>
        <v>0.99462195507750717</v>
      </c>
      <c r="AV46" s="398">
        <f t="shared" si="12"/>
        <v>0.99236050172921075</v>
      </c>
      <c r="AW46" s="398" t="e">
        <f>VLOOKUP($AK46,#REF!,AW$36,FALSE)</f>
        <v>#REF!</v>
      </c>
      <c r="AX46" s="398" t="e">
        <f>VLOOKUP($AK46,#REF!,AX$36,FALSE)</f>
        <v>#REF!</v>
      </c>
      <c r="AY46" s="398" t="e">
        <f>VLOOKUP($AK46,#REF!,AY$36,FALSE)</f>
        <v>#REF!</v>
      </c>
      <c r="AZ46" s="398" t="e">
        <f>VLOOKUP($AK46,#REF!,AZ$36,FALSE)</f>
        <v>#REF!</v>
      </c>
      <c r="BA46" s="398" t="e">
        <f>VLOOKUP($AK46,#REF!,BA$36,FALSE)</f>
        <v>#REF!</v>
      </c>
    </row>
    <row r="47" spans="1:53" ht="14.25" customHeight="1" x14ac:dyDescent="0.2">
      <c r="A47" s="135"/>
      <c r="B47" s="58"/>
      <c r="C47" s="58"/>
      <c r="D47" s="58"/>
      <c r="E47" s="58"/>
      <c r="F47" s="58"/>
      <c r="G47" s="58"/>
      <c r="H47" s="58"/>
      <c r="I47" s="58"/>
      <c r="J47" s="13"/>
      <c r="K47" s="15"/>
      <c r="L47" s="15"/>
      <c r="M47" s="15"/>
      <c r="N47" s="15"/>
      <c r="O47" s="9"/>
      <c r="P47" s="9"/>
      <c r="Q47" s="9"/>
      <c r="R47" s="9"/>
      <c r="S47" s="9"/>
      <c r="T47" s="9"/>
      <c r="U47" s="134"/>
      <c r="V47" s="152"/>
      <c r="W47" s="326"/>
      <c r="X47" s="647">
        <v>7</v>
      </c>
      <c r="Y47" s="50" t="str">
        <f t="shared" si="13"/>
        <v>Kent</v>
      </c>
      <c r="Z47" s="45">
        <v>8</v>
      </c>
      <c r="AA47" s="46">
        <f>IF(H15&gt;0,IDACI!D15,0)</f>
        <v>286168</v>
      </c>
      <c r="AB47" s="46">
        <f>IF(H15&gt;0,IDACI!E15,0)</f>
        <v>50937.904000000002</v>
      </c>
      <c r="AC47" s="210"/>
      <c r="AI47" s="642" t="b">
        <v>1</v>
      </c>
      <c r="AJ47" s="178" t="s">
        <v>2</v>
      </c>
      <c r="AK47" s="101" t="str">
        <f t="shared" si="10"/>
        <v>Medway</v>
      </c>
      <c r="AL47" s="164">
        <f t="shared" si="11"/>
        <v>691.39610389610391</v>
      </c>
      <c r="AM47" s="164">
        <f t="shared" si="11"/>
        <v>492.79999999999995</v>
      </c>
      <c r="AN47" s="164">
        <f t="shared" si="11"/>
        <v>532.91139240506334</v>
      </c>
      <c r="AO47" s="164">
        <f t="shared" si="11"/>
        <v>428.90559994976212</v>
      </c>
      <c r="AP47" s="164">
        <f t="shared" si="11"/>
        <v>408.48881034671507</v>
      </c>
      <c r="AQ47" s="165">
        <f t="shared" si="14"/>
        <v>22</v>
      </c>
      <c r="AR47" s="398">
        <f t="shared" si="12"/>
        <v>0.87884479924864989</v>
      </c>
      <c r="AS47" s="398">
        <f t="shared" si="12"/>
        <v>0.95292207792207795</v>
      </c>
      <c r="AT47" s="398">
        <f t="shared" si="12"/>
        <v>0.88004750593824232</v>
      </c>
      <c r="AU47" s="398">
        <f t="shared" si="12"/>
        <v>0.91617862371888725</v>
      </c>
      <c r="AV47" s="398">
        <f t="shared" si="12"/>
        <v>0.92534456355283312</v>
      </c>
      <c r="AW47" s="398" t="e">
        <f>VLOOKUP($AK47,#REF!,AW$36,FALSE)</f>
        <v>#REF!</v>
      </c>
      <c r="AX47" s="398" t="e">
        <f>VLOOKUP($AK47,#REF!,AX$36,FALSE)</f>
        <v>#REF!</v>
      </c>
      <c r="AY47" s="398" t="e">
        <f>VLOOKUP($AK47,#REF!,AY$36,FALSE)</f>
        <v>#REF!</v>
      </c>
      <c r="AZ47" s="398" t="e">
        <f>VLOOKUP($AK47,#REF!,AZ$36,FALSE)</f>
        <v>#REF!</v>
      </c>
      <c r="BA47" s="398" t="e">
        <f>VLOOKUP($AK47,#REF!,BA$36,FALSE)</f>
        <v>#REF!</v>
      </c>
    </row>
    <row r="48" spans="1:53" ht="14.25" customHeight="1" x14ac:dyDescent="0.2">
      <c r="A48" s="135"/>
      <c r="B48" s="58"/>
      <c r="C48" s="58"/>
      <c r="D48" s="69"/>
      <c r="E48" s="70"/>
      <c r="F48" s="69"/>
      <c r="G48" s="70"/>
      <c r="H48" s="70"/>
      <c r="I48" s="70"/>
      <c r="J48" s="13"/>
      <c r="K48" s="15"/>
      <c r="L48" s="15"/>
      <c r="M48" s="15"/>
      <c r="N48" s="15"/>
      <c r="O48" s="9"/>
      <c r="P48" s="9"/>
      <c r="Q48" s="9"/>
      <c r="R48" s="9"/>
      <c r="S48" s="9"/>
      <c r="T48" s="9"/>
      <c r="U48" s="134"/>
      <c r="V48" s="152"/>
      <c r="W48" s="326"/>
      <c r="X48" s="647">
        <v>8</v>
      </c>
      <c r="Y48" s="50" t="str">
        <f t="shared" si="13"/>
        <v>Medway</v>
      </c>
      <c r="Z48" s="45">
        <v>9</v>
      </c>
      <c r="AA48" s="46">
        <f>IF(H16&gt;0,IDACI!D16,0)</f>
        <v>54280</v>
      </c>
      <c r="AB48" s="46">
        <f>IF(H16&gt;0,IDACI!E16,0)</f>
        <v>11941.6</v>
      </c>
      <c r="AI48" s="642" t="b">
        <v>1</v>
      </c>
      <c r="AJ48" s="178" t="s">
        <v>11</v>
      </c>
      <c r="AK48" s="101" t="str">
        <f t="shared" si="10"/>
        <v>Milton Keynes</v>
      </c>
      <c r="AL48" s="164">
        <f t="shared" si="11"/>
        <v>490.3125</v>
      </c>
      <c r="AM48" s="164">
        <f t="shared" si="11"/>
        <v>394.01840490797548</v>
      </c>
      <c r="AN48" s="164">
        <f t="shared" si="11"/>
        <v>418.91074130105898</v>
      </c>
      <c r="AO48" s="164">
        <f t="shared" si="11"/>
        <v>459.14872069818006</v>
      </c>
      <c r="AP48" s="164">
        <f t="shared" si="11"/>
        <v>348.72204236699338</v>
      </c>
      <c r="AQ48" s="165">
        <f t="shared" si="14"/>
        <v>19.7</v>
      </c>
      <c r="AR48" s="398">
        <f t="shared" si="12"/>
        <v>0.65232632249840661</v>
      </c>
      <c r="AS48" s="398">
        <f t="shared" si="12"/>
        <v>0.79174776177500972</v>
      </c>
      <c r="AT48" s="398">
        <f t="shared" si="12"/>
        <v>0.76778620440592271</v>
      </c>
      <c r="AU48" s="398">
        <f t="shared" si="12"/>
        <v>0.81673694453454426</v>
      </c>
      <c r="AV48" s="398">
        <f t="shared" si="12"/>
        <v>0.81644764730818142</v>
      </c>
      <c r="AW48" s="398" t="e">
        <f>VLOOKUP($AK48,#REF!,AW$36,FALSE)</f>
        <v>#REF!</v>
      </c>
      <c r="AX48" s="398" t="e">
        <f>VLOOKUP($AK48,#REF!,AX$36,FALSE)</f>
        <v>#REF!</v>
      </c>
      <c r="AY48" s="398" t="e">
        <f>VLOOKUP($AK48,#REF!,AY$36,FALSE)</f>
        <v>#REF!</v>
      </c>
      <c r="AZ48" s="398" t="e">
        <f>VLOOKUP($AK48,#REF!,AZ$36,FALSE)</f>
        <v>#REF!</v>
      </c>
      <c r="BA48" s="398" t="e">
        <f>VLOOKUP($AK48,#REF!,BA$36,FALSE)</f>
        <v>#REF!</v>
      </c>
    </row>
    <row r="49" spans="1:53" ht="14.25" customHeight="1" x14ac:dyDescent="0.2">
      <c r="A49" s="135"/>
      <c r="B49" s="58"/>
      <c r="C49" s="58"/>
      <c r="D49" s="62"/>
      <c r="E49" s="62"/>
      <c r="F49" s="62"/>
      <c r="G49" s="62"/>
      <c r="H49" s="62"/>
      <c r="I49" s="62"/>
      <c r="J49" s="13"/>
      <c r="K49" s="15"/>
      <c r="L49" s="15"/>
      <c r="M49" s="15"/>
      <c r="N49" s="15"/>
      <c r="O49" s="9"/>
      <c r="P49" s="9"/>
      <c r="Q49" s="9"/>
      <c r="R49" s="9"/>
      <c r="S49" s="9"/>
      <c r="T49" s="9"/>
      <c r="U49" s="134"/>
      <c r="V49" s="152"/>
      <c r="W49" s="326"/>
      <c r="X49" s="647">
        <v>9</v>
      </c>
      <c r="Y49" s="50" t="str">
        <f t="shared" si="13"/>
        <v>Milton Keynes</v>
      </c>
      <c r="Z49" s="45">
        <v>10</v>
      </c>
      <c r="AA49" s="46">
        <f>IF(H17&gt;0,IDACI!D17,0)</f>
        <v>56637</v>
      </c>
      <c r="AB49" s="46">
        <f>IF(H17&gt;0,IDACI!E17,0)</f>
        <v>11157.489</v>
      </c>
      <c r="AI49" s="642" t="b">
        <v>1</v>
      </c>
      <c r="AJ49" s="178" t="s">
        <v>12</v>
      </c>
      <c r="AK49" s="101" t="str">
        <f t="shared" si="10"/>
        <v>Oxfordshire</v>
      </c>
      <c r="AL49" s="164">
        <f t="shared" si="11"/>
        <v>420.88382038488953</v>
      </c>
      <c r="AM49" s="164">
        <f t="shared" si="11"/>
        <v>401.06232294617564</v>
      </c>
      <c r="AN49" s="164">
        <f t="shared" si="11"/>
        <v>476.02256699576873</v>
      </c>
      <c r="AO49" s="164">
        <f t="shared" si="11"/>
        <v>494.48203951097639</v>
      </c>
      <c r="AP49" s="164">
        <f t="shared" si="11"/>
        <v>475.02858258275006</v>
      </c>
      <c r="AQ49" s="165">
        <f t="shared" si="14"/>
        <v>11.799999999999999</v>
      </c>
      <c r="AR49" s="398">
        <f t="shared" si="12"/>
        <v>0.61574936494496191</v>
      </c>
      <c r="AS49" s="398">
        <f t="shared" si="12"/>
        <v>0.70174819000529753</v>
      </c>
      <c r="AT49" s="398">
        <f t="shared" si="12"/>
        <v>0.91629629629629628</v>
      </c>
      <c r="AU49" s="398">
        <f t="shared" si="12"/>
        <v>0.93362581375601472</v>
      </c>
      <c r="AV49" s="398">
        <f t="shared" si="12"/>
        <v>0.79439389492221901</v>
      </c>
      <c r="AW49" s="398" t="e">
        <f>VLOOKUP($AK49,#REF!,AW$36,FALSE)</f>
        <v>#REF!</v>
      </c>
      <c r="AX49" s="398" t="e">
        <f>VLOOKUP($AK49,#REF!,AX$36,FALSE)</f>
        <v>#REF!</v>
      </c>
      <c r="AY49" s="398" t="e">
        <f>VLOOKUP($AK49,#REF!,AY$36,FALSE)</f>
        <v>#REF!</v>
      </c>
      <c r="AZ49" s="398" t="e">
        <f>VLOOKUP($AK49,#REF!,AZ$36,FALSE)</f>
        <v>#REF!</v>
      </c>
      <c r="BA49" s="398" t="e">
        <f>VLOOKUP($AK49,#REF!,BA$36,FALSE)</f>
        <v>#REF!</v>
      </c>
    </row>
    <row r="50" spans="1:53" ht="14.25" customHeight="1" x14ac:dyDescent="0.2">
      <c r="A50" s="135"/>
      <c r="B50" s="68"/>
      <c r="C50" s="68"/>
      <c r="D50" s="58"/>
      <c r="E50" s="58"/>
      <c r="F50" s="58"/>
      <c r="G50" s="58"/>
      <c r="H50" s="58"/>
      <c r="I50" s="58"/>
      <c r="J50" s="13"/>
      <c r="K50" s="15"/>
      <c r="L50" s="15"/>
      <c r="M50" s="15"/>
      <c r="N50" s="15"/>
      <c r="O50" s="9"/>
      <c r="P50" s="9"/>
      <c r="Q50" s="9"/>
      <c r="R50" s="9"/>
      <c r="S50" s="9"/>
      <c r="T50" s="9"/>
      <c r="U50" s="134"/>
      <c r="V50" s="152"/>
      <c r="W50" s="326"/>
      <c r="X50" s="647">
        <v>10</v>
      </c>
      <c r="Y50" s="50" t="str">
        <f t="shared" si="13"/>
        <v>Oxfordshire</v>
      </c>
      <c r="Z50" s="45">
        <v>11</v>
      </c>
      <c r="AA50" s="46">
        <f>IF(H18&gt;0,IDACI!D18,0)</f>
        <v>123975</v>
      </c>
      <c r="AB50" s="46">
        <f>IF(H18&gt;0,IDACI!E18,0)</f>
        <v>14629.05</v>
      </c>
      <c r="AI50" s="642" t="b">
        <v>1</v>
      </c>
      <c r="AJ50" s="178" t="s">
        <v>13</v>
      </c>
      <c r="AK50" s="101" t="str">
        <f t="shared" si="10"/>
        <v>Portsmouth</v>
      </c>
      <c r="AL50" s="164">
        <f t="shared" si="11"/>
        <v>427.69953051643188</v>
      </c>
      <c r="AM50" s="164">
        <f t="shared" si="11"/>
        <v>442.62672811059912</v>
      </c>
      <c r="AN50" s="164">
        <f t="shared" si="11"/>
        <v>477.85388127853878</v>
      </c>
      <c r="AO50" s="164">
        <f t="shared" si="11"/>
        <v>565.22727272727275</v>
      </c>
      <c r="AP50" s="164">
        <f t="shared" si="11"/>
        <v>643.78167994207092</v>
      </c>
      <c r="AQ50" s="165">
        <f t="shared" si="14"/>
        <v>23.799999999999997</v>
      </c>
      <c r="AR50" s="398">
        <f t="shared" ref="AR50:AV63" si="15">VLOOKUP($AK50,$B$110:$H$133,AR$36,FALSE)</f>
        <v>0.88199780461031829</v>
      </c>
      <c r="AS50" s="398">
        <f t="shared" si="15"/>
        <v>0.95731389901093178</v>
      </c>
      <c r="AT50" s="398">
        <f t="shared" si="15"/>
        <v>0.97515527950310554</v>
      </c>
      <c r="AU50" s="398">
        <f t="shared" si="15"/>
        <v>0.9545637314032972</v>
      </c>
      <c r="AV50" s="398">
        <f t="shared" si="15"/>
        <v>0.98137082601054482</v>
      </c>
      <c r="AW50" s="398" t="e">
        <f>VLOOKUP($AK50,#REF!,AW$36,FALSE)</f>
        <v>#REF!</v>
      </c>
      <c r="AX50" s="398" t="e">
        <f>VLOOKUP($AK50,#REF!,AX$36,FALSE)</f>
        <v>#REF!</v>
      </c>
      <c r="AY50" s="398" t="e">
        <f>VLOOKUP($AK50,#REF!,AY$36,FALSE)</f>
        <v>#REF!</v>
      </c>
      <c r="AZ50" s="398" t="e">
        <f>VLOOKUP($AK50,#REF!,AZ$36,FALSE)</f>
        <v>#REF!</v>
      </c>
      <c r="BA50" s="398" t="e">
        <f>VLOOKUP($AK50,#REF!,BA$36,FALSE)</f>
        <v>#REF!</v>
      </c>
    </row>
    <row r="51" spans="1:53" ht="14.25" customHeight="1" x14ac:dyDescent="0.2">
      <c r="A51" s="135"/>
      <c r="B51" s="68"/>
      <c r="C51" s="68"/>
      <c r="D51" s="58"/>
      <c r="E51" s="58"/>
      <c r="F51" s="58"/>
      <c r="G51" s="58"/>
      <c r="H51" s="58"/>
      <c r="I51" s="58"/>
      <c r="J51" s="13"/>
      <c r="K51" s="15"/>
      <c r="L51" s="15"/>
      <c r="M51" s="15"/>
      <c r="N51" s="15"/>
      <c r="O51" s="9"/>
      <c r="P51" s="9"/>
      <c r="Q51" s="9"/>
      <c r="R51" s="9"/>
      <c r="S51" s="9"/>
      <c r="T51" s="9"/>
      <c r="U51" s="134"/>
      <c r="V51" s="152"/>
      <c r="W51" s="326"/>
      <c r="X51" s="647">
        <v>11</v>
      </c>
      <c r="Y51" s="50" t="str">
        <f t="shared" si="13"/>
        <v>Portsmouth</v>
      </c>
      <c r="Z51" s="45">
        <v>12</v>
      </c>
      <c r="AA51" s="46">
        <f>IF(H19&gt;0,IDACI!D19,0)</f>
        <v>37912</v>
      </c>
      <c r="AB51" s="46">
        <f>IF(H19&gt;0,IDACI!E19,0)</f>
        <v>9023.0559999999987</v>
      </c>
      <c r="AI51" s="642" t="b">
        <v>1</v>
      </c>
      <c r="AJ51" s="178" t="s">
        <v>3</v>
      </c>
      <c r="AK51" s="101" t="str">
        <f t="shared" si="10"/>
        <v>Reading</v>
      </c>
      <c r="AL51" s="164">
        <f t="shared" si="11"/>
        <v>499.135446685879</v>
      </c>
      <c r="AM51" s="164">
        <f t="shared" si="11"/>
        <v>466.01671309192204</v>
      </c>
      <c r="AN51" s="164">
        <f t="shared" si="11"/>
        <v>845.60439560439556</v>
      </c>
      <c r="AO51" s="164">
        <f t="shared" si="11"/>
        <v>891.62413689582706</v>
      </c>
      <c r="AP51" s="164">
        <f t="shared" si="11"/>
        <v>708.48947240719269</v>
      </c>
      <c r="AQ51" s="165">
        <f t="shared" si="14"/>
        <v>19.8</v>
      </c>
      <c r="AR51" s="398">
        <f t="shared" si="15"/>
        <v>0.98267898383371821</v>
      </c>
      <c r="AS51" s="398">
        <f t="shared" si="15"/>
        <v>0.79438135086670647</v>
      </c>
      <c r="AT51" s="398">
        <f t="shared" si="15"/>
        <v>0.89993502274204029</v>
      </c>
      <c r="AU51" s="398">
        <f t="shared" si="15"/>
        <v>0.95102540557086013</v>
      </c>
      <c r="AV51" s="398">
        <f t="shared" si="15"/>
        <v>0.98820395738203959</v>
      </c>
      <c r="AW51" s="398" t="e">
        <f>VLOOKUP($AK51,#REF!,AW$36,FALSE)</f>
        <v>#REF!</v>
      </c>
      <c r="AX51" s="398" t="e">
        <f>VLOOKUP($AK51,#REF!,AX$36,FALSE)</f>
        <v>#REF!</v>
      </c>
      <c r="AY51" s="398" t="e">
        <f>VLOOKUP($AK51,#REF!,AY$36,FALSE)</f>
        <v>#REF!</v>
      </c>
      <c r="AZ51" s="398" t="e">
        <f>VLOOKUP($AK51,#REF!,AZ$36,FALSE)</f>
        <v>#REF!</v>
      </c>
      <c r="BA51" s="398" t="e">
        <f>VLOOKUP($AK51,#REF!,BA$36,FALSE)</f>
        <v>#REF!</v>
      </c>
    </row>
    <row r="52" spans="1:53" ht="14.25" customHeight="1" x14ac:dyDescent="0.2">
      <c r="A52" s="135"/>
      <c r="B52" s="68"/>
      <c r="C52" s="68"/>
      <c r="D52" s="58"/>
      <c r="E52" s="58"/>
      <c r="F52" s="58"/>
      <c r="G52" s="58"/>
      <c r="H52" s="58"/>
      <c r="I52" s="58"/>
      <c r="J52" s="13"/>
      <c r="K52" s="15"/>
      <c r="L52" s="15"/>
      <c r="M52" s="15"/>
      <c r="N52" s="15"/>
      <c r="O52" s="9"/>
      <c r="P52" s="9"/>
      <c r="Q52" s="9"/>
      <c r="R52" s="9"/>
      <c r="S52" s="9"/>
      <c r="T52" s="9"/>
      <c r="U52" s="134"/>
      <c r="V52" s="152"/>
      <c r="W52" s="326"/>
      <c r="X52" s="647">
        <v>12</v>
      </c>
      <c r="Y52" s="50" t="str">
        <f t="shared" si="13"/>
        <v>Reading</v>
      </c>
      <c r="Z52" s="45">
        <v>13</v>
      </c>
      <c r="AA52" s="46">
        <f>IF(H20&gt;0,IDACI!D20,0)</f>
        <v>30916</v>
      </c>
      <c r="AB52" s="46">
        <f>IF(H20&gt;0,IDACI!E20,0)</f>
        <v>6121.3680000000004</v>
      </c>
      <c r="AI52" s="642" t="b">
        <v>1</v>
      </c>
      <c r="AJ52" s="178" t="s">
        <v>14</v>
      </c>
      <c r="AK52" s="101" t="str">
        <f t="shared" si="10"/>
        <v>Slough</v>
      </c>
      <c r="AL52" s="164">
        <f t="shared" si="11"/>
        <v>644.47300771208222</v>
      </c>
      <c r="AM52" s="164">
        <f t="shared" si="11"/>
        <v>571.92982456140351</v>
      </c>
      <c r="AN52" s="164">
        <f t="shared" si="11"/>
        <v>683.25123152709364</v>
      </c>
      <c r="AO52" s="164">
        <f t="shared" si="11"/>
        <v>1373.7139544993479</v>
      </c>
      <c r="AP52" s="164">
        <f t="shared" si="11"/>
        <v>377.19298245614033</v>
      </c>
      <c r="AQ52" s="165">
        <f t="shared" si="14"/>
        <v>19.5</v>
      </c>
      <c r="AR52" s="398">
        <f t="shared" si="15"/>
        <v>0.97008376545672115</v>
      </c>
      <c r="AS52" s="398">
        <f t="shared" si="15"/>
        <v>0.97896581945661698</v>
      </c>
      <c r="AT52" s="398">
        <f t="shared" si="15"/>
        <v>0.9895457822638789</v>
      </c>
      <c r="AU52" s="398">
        <f t="shared" si="15"/>
        <v>0.39170182841068918</v>
      </c>
      <c r="AV52" s="398">
        <f t="shared" si="15"/>
        <v>0.99245757385292266</v>
      </c>
      <c r="AW52" s="398" t="e">
        <f>VLOOKUP($AK52,#REF!,AW$36,FALSE)</f>
        <v>#REF!</v>
      </c>
      <c r="AX52" s="398" t="e">
        <f>VLOOKUP($AK52,#REF!,AX$36,FALSE)</f>
        <v>#REF!</v>
      </c>
      <c r="AY52" s="398" t="e">
        <f>VLOOKUP($AK52,#REF!,AY$36,FALSE)</f>
        <v>#REF!</v>
      </c>
      <c r="AZ52" s="398" t="e">
        <f>VLOOKUP($AK52,#REF!,AZ$36,FALSE)</f>
        <v>#REF!</v>
      </c>
      <c r="BA52" s="398" t="e">
        <f>VLOOKUP($AK52,#REF!,BA$36,FALSE)</f>
        <v>#REF!</v>
      </c>
    </row>
    <row r="53" spans="1:53" ht="14.25" customHeight="1" x14ac:dyDescent="0.2">
      <c r="A53" s="135"/>
      <c r="B53" s="68"/>
      <c r="C53" s="68"/>
      <c r="D53" s="58"/>
      <c r="E53" s="58"/>
      <c r="F53" s="58"/>
      <c r="G53" s="58"/>
      <c r="H53" s="58"/>
      <c r="I53" s="58"/>
      <c r="J53" s="13"/>
      <c r="K53" s="15"/>
      <c r="L53" s="15"/>
      <c r="M53" s="15"/>
      <c r="N53" s="15"/>
      <c r="O53" s="9"/>
      <c r="P53" s="9"/>
      <c r="Q53" s="9"/>
      <c r="R53" s="9"/>
      <c r="S53" s="9"/>
      <c r="T53" s="9"/>
      <c r="U53" s="134"/>
      <c r="V53" s="152"/>
      <c r="W53" s="326"/>
      <c r="X53" s="647">
        <v>13</v>
      </c>
      <c r="Y53" s="50" t="str">
        <f t="shared" si="13"/>
        <v>Slough</v>
      </c>
      <c r="Z53" s="45">
        <v>14</v>
      </c>
      <c r="AA53" s="46">
        <f>IF(H21&gt;0,IDACI!D21,0)</f>
        <v>34703</v>
      </c>
      <c r="AB53" s="46">
        <f>IF(H21&gt;0,IDACI!E21,0)</f>
        <v>6767.085</v>
      </c>
      <c r="AI53" s="642" t="b">
        <v>1</v>
      </c>
      <c r="AJ53" s="178" t="s">
        <v>93</v>
      </c>
      <c r="AK53" s="101" t="str">
        <f t="shared" si="10"/>
        <v>Somerset</v>
      </c>
      <c r="AL53" s="164">
        <f t="shared" si="11"/>
        <v>674.44852941176475</v>
      </c>
      <c r="AM53" s="164">
        <f t="shared" si="11"/>
        <v>513.40679522497703</v>
      </c>
      <c r="AN53" s="164">
        <f t="shared" si="11"/>
        <v>378.47985347985349</v>
      </c>
      <c r="AO53" s="164">
        <f t="shared" si="11"/>
        <v>435.63110426146989</v>
      </c>
      <c r="AP53" s="164">
        <f t="shared" si="11"/>
        <v>469.1871661640202</v>
      </c>
      <c r="AQ53" s="165">
        <f t="shared" si="14"/>
        <v>14.8</v>
      </c>
      <c r="AR53" s="398">
        <f t="shared" si="15"/>
        <v>0.96443172526573995</v>
      </c>
      <c r="AS53" s="398">
        <f t="shared" si="15"/>
        <v>0.98676444285458775</v>
      </c>
      <c r="AT53" s="398">
        <f t="shared" si="15"/>
        <v>0.99395112509073313</v>
      </c>
      <c r="AU53" s="398">
        <f t="shared" si="15"/>
        <v>0.99267322587397944</v>
      </c>
      <c r="AV53" s="398">
        <f t="shared" si="15"/>
        <v>0.97715392061955475</v>
      </c>
      <c r="AW53" s="398" t="e">
        <f>VLOOKUP($AK53,#REF!,AW$36,FALSE)</f>
        <v>#REF!</v>
      </c>
      <c r="AX53" s="398" t="e">
        <f>VLOOKUP($AK53,#REF!,AX$36,FALSE)</f>
        <v>#REF!</v>
      </c>
      <c r="AY53" s="398" t="e">
        <f>VLOOKUP($AK53,#REF!,AY$36,FALSE)</f>
        <v>#REF!</v>
      </c>
      <c r="AZ53" s="398" t="e">
        <f>VLOOKUP($AK53,#REF!,AZ$36,FALSE)</f>
        <v>#REF!</v>
      </c>
      <c r="BA53" s="398" t="e">
        <f>VLOOKUP($AK53,#REF!,BA$36,FALSE)</f>
        <v>#REF!</v>
      </c>
    </row>
    <row r="54" spans="1:53" ht="14.25" customHeight="1" x14ac:dyDescent="0.2">
      <c r="A54" s="135"/>
      <c r="B54" s="68"/>
      <c r="C54" s="68"/>
      <c r="D54" s="58"/>
      <c r="E54" s="58"/>
      <c r="F54" s="58"/>
      <c r="G54" s="58"/>
      <c r="H54" s="58"/>
      <c r="I54" s="58"/>
      <c r="J54" s="13"/>
      <c r="K54" s="15"/>
      <c r="L54" s="15"/>
      <c r="M54" s="15"/>
      <c r="N54" s="15"/>
      <c r="O54" s="9"/>
      <c r="P54" s="9"/>
      <c r="Q54" s="9"/>
      <c r="R54" s="9"/>
      <c r="S54" s="9"/>
      <c r="T54" s="9"/>
      <c r="U54" s="134"/>
      <c r="V54" s="152"/>
      <c r="W54" s="326"/>
      <c r="X54" s="647">
        <v>14</v>
      </c>
      <c r="Y54" s="50" t="str">
        <f t="shared" si="13"/>
        <v>Somerset</v>
      </c>
      <c r="Z54" s="45">
        <v>15</v>
      </c>
      <c r="AA54" s="46">
        <f>IF(H22&gt;0,IDACI!D22,0)</f>
        <v>94797</v>
      </c>
      <c r="AB54" s="46">
        <f>IF(H22&gt;0,IDACI!E22,0)</f>
        <v>14029.956000000002</v>
      </c>
      <c r="AI54" s="642" t="b">
        <v>1</v>
      </c>
      <c r="AJ54" s="178" t="s">
        <v>15</v>
      </c>
      <c r="AK54" s="101" t="str">
        <f t="shared" si="10"/>
        <v>Southampton</v>
      </c>
      <c r="AL54" s="164">
        <f t="shared" si="11"/>
        <v>732.27848101265829</v>
      </c>
      <c r="AM54" s="164">
        <f t="shared" si="11"/>
        <v>1318.3127572016463</v>
      </c>
      <c r="AN54" s="164">
        <f t="shared" si="11"/>
        <v>836.58536585365857</v>
      </c>
      <c r="AO54" s="164">
        <f t="shared" si="11"/>
        <v>610.00781547463976</v>
      </c>
      <c r="AP54" s="164">
        <f t="shared" si="11"/>
        <v>519.43146804492596</v>
      </c>
      <c r="AQ54" s="165">
        <f t="shared" si="14"/>
        <v>25</v>
      </c>
      <c r="AR54" s="398">
        <f t="shared" si="15"/>
        <v>0.93892250072025352</v>
      </c>
      <c r="AS54" s="398">
        <f t="shared" si="15"/>
        <v>0.88044326517871074</v>
      </c>
      <c r="AT54" s="398">
        <f t="shared" si="15"/>
        <v>1</v>
      </c>
      <c r="AU54" s="398">
        <f t="shared" si="15"/>
        <v>0.99737187910643887</v>
      </c>
      <c r="AV54" s="398">
        <f t="shared" si="15"/>
        <v>0.99540757749712971</v>
      </c>
      <c r="AW54" s="398" t="e">
        <f>VLOOKUP($AK54,#REF!,AW$36,FALSE)</f>
        <v>#REF!</v>
      </c>
      <c r="AX54" s="398" t="e">
        <f>VLOOKUP($AK54,#REF!,AX$36,FALSE)</f>
        <v>#REF!</v>
      </c>
      <c r="AY54" s="398" t="e">
        <f>VLOOKUP($AK54,#REF!,AY$36,FALSE)</f>
        <v>#REF!</v>
      </c>
      <c r="AZ54" s="398" t="e">
        <f>VLOOKUP($AK54,#REF!,AZ$36,FALSE)</f>
        <v>#REF!</v>
      </c>
      <c r="BA54" s="398" t="e">
        <f>VLOOKUP($AK54,#REF!,BA$36,FALSE)</f>
        <v>#REF!</v>
      </c>
    </row>
    <row r="55" spans="1:53" ht="14.25" customHeight="1" x14ac:dyDescent="0.2">
      <c r="A55" s="135"/>
      <c r="B55" s="68"/>
      <c r="C55" s="68"/>
      <c r="D55" s="58"/>
      <c r="E55" s="58"/>
      <c r="F55" s="58"/>
      <c r="G55" s="58"/>
      <c r="H55" s="58"/>
      <c r="I55" s="58"/>
      <c r="J55" s="13"/>
      <c r="K55" s="15"/>
      <c r="L55" s="15"/>
      <c r="M55" s="15"/>
      <c r="N55" s="15"/>
      <c r="O55" s="9"/>
      <c r="P55" s="9"/>
      <c r="Q55" s="9"/>
      <c r="R55" s="9"/>
      <c r="S55" s="9"/>
      <c r="T55" s="9"/>
      <c r="U55" s="134"/>
      <c r="V55" s="152"/>
      <c r="W55" s="326"/>
      <c r="X55" s="647">
        <v>15</v>
      </c>
      <c r="Y55" s="50" t="str">
        <f t="shared" si="13"/>
        <v>Southampton</v>
      </c>
      <c r="Z55" s="45">
        <v>16</v>
      </c>
      <c r="AA55" s="46">
        <f>IF(H23&gt;0,IDACI!D23,0)</f>
        <v>42079</v>
      </c>
      <c r="AB55" s="46">
        <f>IF(H23&gt;0,IDACI!E23,0)</f>
        <v>10519.75</v>
      </c>
      <c r="AI55" s="642" t="b">
        <v>1</v>
      </c>
      <c r="AJ55" s="178" t="s">
        <v>7</v>
      </c>
      <c r="AK55" s="101" t="str">
        <f t="shared" si="10"/>
        <v>Surrey</v>
      </c>
      <c r="AL55" s="164">
        <f t="shared" si="11"/>
        <v>467.30158730158735</v>
      </c>
      <c r="AM55" s="164">
        <f t="shared" si="11"/>
        <v>391.9481539670071</v>
      </c>
      <c r="AN55" s="164">
        <f t="shared" si="11"/>
        <v>458.97035881435261</v>
      </c>
      <c r="AO55" s="164">
        <f t="shared" si="11"/>
        <v>450.92838196286471</v>
      </c>
      <c r="AP55" s="164">
        <f t="shared" si="11"/>
        <v>523.46286087474311</v>
      </c>
      <c r="AQ55" s="165">
        <f t="shared" si="14"/>
        <v>9.7000000000000011</v>
      </c>
      <c r="AR55" s="398">
        <f t="shared" si="15"/>
        <v>0.63646399456521741</v>
      </c>
      <c r="AS55" s="398">
        <f t="shared" si="15"/>
        <v>0.96783244814109626</v>
      </c>
      <c r="AT55" s="398">
        <f t="shared" si="15"/>
        <v>0.9845343303874915</v>
      </c>
      <c r="AU55" s="398">
        <f t="shared" si="15"/>
        <v>0.99075263293090166</v>
      </c>
      <c r="AV55" s="398">
        <f t="shared" si="15"/>
        <v>0.99288125642154701</v>
      </c>
      <c r="AW55" s="398" t="e">
        <f>VLOOKUP($AK55,#REF!,AW$36,FALSE)</f>
        <v>#REF!</v>
      </c>
      <c r="AX55" s="398" t="e">
        <f>VLOOKUP($AK55,#REF!,AX$36,FALSE)</f>
        <v>#REF!</v>
      </c>
      <c r="AY55" s="398" t="e">
        <f>VLOOKUP($AK55,#REF!,AY$36,FALSE)</f>
        <v>#REF!</v>
      </c>
      <c r="AZ55" s="398" t="e">
        <f>VLOOKUP($AK55,#REF!,AZ$36,FALSE)</f>
        <v>#REF!</v>
      </c>
      <c r="BA55" s="398" t="e">
        <f>VLOOKUP($AK55,#REF!,BA$36,FALSE)</f>
        <v>#REF!</v>
      </c>
    </row>
    <row r="56" spans="1:53" ht="14.25" customHeight="1" x14ac:dyDescent="0.2">
      <c r="A56" s="309"/>
      <c r="B56" s="68"/>
      <c r="C56" s="68"/>
      <c r="D56" s="58"/>
      <c r="E56" s="58"/>
      <c r="F56" s="58"/>
      <c r="G56" s="58"/>
      <c r="H56" s="58"/>
      <c r="I56" s="58"/>
      <c r="J56" s="13"/>
      <c r="K56" s="15"/>
      <c r="L56" s="15"/>
      <c r="M56" s="15"/>
      <c r="N56" s="15"/>
      <c r="O56" s="9"/>
      <c r="P56" s="9"/>
      <c r="Q56" s="9"/>
      <c r="R56" s="9"/>
      <c r="S56" s="9"/>
      <c r="T56" s="9"/>
      <c r="U56" s="134"/>
      <c r="V56" s="152"/>
      <c r="W56" s="326"/>
      <c r="X56" s="647">
        <v>16</v>
      </c>
      <c r="Y56" s="50" t="str">
        <f t="shared" si="13"/>
        <v>Surrey</v>
      </c>
      <c r="Z56" s="45">
        <v>17</v>
      </c>
      <c r="AA56" s="46">
        <f>IF(H24&gt;0,IDACI!D24,0)</f>
        <v>221989</v>
      </c>
      <c r="AB56" s="46">
        <f>IF(H24&gt;0,IDACI!E24,0)</f>
        <v>21532.933000000005</v>
      </c>
      <c r="AI56" s="642" t="b">
        <v>1</v>
      </c>
      <c r="AJ56" s="178" t="s">
        <v>116</v>
      </c>
      <c r="AK56" s="101" t="str">
        <f t="shared" si="10"/>
        <v>Swindon</v>
      </c>
      <c r="AL56" s="164">
        <f t="shared" si="11"/>
        <v>470.56367432150313</v>
      </c>
      <c r="AM56" s="164">
        <f t="shared" si="11"/>
        <v>545.26748971193422</v>
      </c>
      <c r="AN56" s="164">
        <f t="shared" si="11"/>
        <v>694.89795918367349</v>
      </c>
      <c r="AO56" s="164">
        <f t="shared" si="11"/>
        <v>610.77190570539005</v>
      </c>
      <c r="AP56" s="164">
        <f t="shared" si="11"/>
        <v>726.50428651550362</v>
      </c>
      <c r="AQ56" s="165">
        <f t="shared" ref="AQ56:AQ57" si="16">VLOOKUP(AK56,$B$9:$T$31,17,FALSE)</f>
        <v>17.2</v>
      </c>
      <c r="AR56" s="398">
        <f t="shared" si="15"/>
        <v>0.80612244897959184</v>
      </c>
      <c r="AS56" s="398">
        <f t="shared" si="15"/>
        <v>0.95245283018867921</v>
      </c>
      <c r="AT56" s="398">
        <f t="shared" si="15"/>
        <v>0.87900146842878124</v>
      </c>
      <c r="AU56" s="398">
        <f t="shared" si="15"/>
        <v>0.96722939424031773</v>
      </c>
      <c r="AV56" s="398">
        <f t="shared" si="15"/>
        <v>0.92390405293631095</v>
      </c>
      <c r="AW56" s="398" t="e">
        <f>VLOOKUP($AK56,#REF!,AW$36,FALSE)</f>
        <v>#REF!</v>
      </c>
      <c r="AX56" s="398" t="e">
        <f>VLOOKUP($AK56,#REF!,AX$36,FALSE)</f>
        <v>#REF!</v>
      </c>
      <c r="AY56" s="398" t="e">
        <f>VLOOKUP($AK56,#REF!,AY$36,FALSE)</f>
        <v>#REF!</v>
      </c>
      <c r="AZ56" s="398" t="e">
        <f>VLOOKUP($AK56,#REF!,AZ$36,FALSE)</f>
        <v>#REF!</v>
      </c>
      <c r="BA56" s="398" t="e">
        <f>VLOOKUP($AK56,#REF!,BA$36,FALSE)</f>
        <v>#REF!</v>
      </c>
    </row>
    <row r="57" spans="1:53" ht="14.25" customHeight="1" x14ac:dyDescent="0.2">
      <c r="A57" s="309"/>
      <c r="B57" s="68"/>
      <c r="C57" s="68"/>
      <c r="D57" s="58"/>
      <c r="E57" s="58"/>
      <c r="F57" s="58"/>
      <c r="G57" s="58"/>
      <c r="H57" s="58"/>
      <c r="I57" s="58"/>
      <c r="J57" s="13"/>
      <c r="K57" s="15"/>
      <c r="L57" s="15"/>
      <c r="M57" s="15"/>
      <c r="N57" s="15"/>
      <c r="O57" s="9"/>
      <c r="P57" s="9"/>
      <c r="Q57" s="9"/>
      <c r="R57" s="9"/>
      <c r="S57" s="9"/>
      <c r="T57" s="9"/>
      <c r="U57" s="134"/>
      <c r="V57" s="152"/>
      <c r="W57" s="326"/>
      <c r="X57" s="647">
        <v>17</v>
      </c>
      <c r="Y57" s="50" t="str">
        <f t="shared" si="13"/>
        <v>Swindon</v>
      </c>
      <c r="Z57" s="45">
        <v>18</v>
      </c>
      <c r="AA57" s="46">
        <f>IF(H25&gt;0,IDACI!D25,0)</f>
        <v>42184</v>
      </c>
      <c r="AB57" s="46">
        <f>IF(H25&gt;0,IDACI!E25,0)</f>
        <v>7255.6479999999992</v>
      </c>
      <c r="AI57" s="642" t="b">
        <v>1</v>
      </c>
      <c r="AJ57" s="178" t="s">
        <v>657</v>
      </c>
      <c r="AK57" s="101" t="str">
        <f t="shared" si="10"/>
        <v>Torbay</v>
      </c>
      <c r="AL57" s="164">
        <f t="shared" si="11"/>
        <v>970.96774193548379</v>
      </c>
      <c r="AM57" s="164">
        <f t="shared" si="11"/>
        <v>850.19920318725099</v>
      </c>
      <c r="AN57" s="164">
        <f t="shared" si="11"/>
        <v>788.8888888888888</v>
      </c>
      <c r="AO57" s="164">
        <f t="shared" si="11"/>
        <v>636.89748945729707</v>
      </c>
      <c r="AP57" s="164">
        <f t="shared" si="11"/>
        <v>710.15462092300436</v>
      </c>
      <c r="AQ57" s="165">
        <f t="shared" si="16"/>
        <v>24.1</v>
      </c>
      <c r="AR57" s="398">
        <f t="shared" si="15"/>
        <v>0.81021594684385378</v>
      </c>
      <c r="AS57" s="398">
        <f t="shared" si="15"/>
        <v>0.66776007497656986</v>
      </c>
      <c r="AT57" s="398">
        <f t="shared" si="15"/>
        <v>0.85412474849094566</v>
      </c>
      <c r="AU57" s="398">
        <f t="shared" si="15"/>
        <v>0.85767326732673266</v>
      </c>
      <c r="AV57" s="398">
        <f t="shared" si="15"/>
        <v>0.87922437673130194</v>
      </c>
      <c r="AW57" s="398" t="e">
        <f>VLOOKUP($AK57,#REF!,AW$36,FALSE)</f>
        <v>#REF!</v>
      </c>
      <c r="AX57" s="398" t="e">
        <f>VLOOKUP($AK57,#REF!,AX$36,FALSE)</f>
        <v>#REF!</v>
      </c>
      <c r="AY57" s="398" t="e">
        <f>VLOOKUP($AK57,#REF!,AY$36,FALSE)</f>
        <v>#REF!</v>
      </c>
      <c r="AZ57" s="398" t="e">
        <f>VLOOKUP($AK57,#REF!,AZ$36,FALSE)</f>
        <v>#REF!</v>
      </c>
      <c r="BA57" s="398" t="e">
        <f>VLOOKUP($AK57,#REF!,BA$36,FALSE)</f>
        <v>#REF!</v>
      </c>
    </row>
    <row r="58" spans="1:53" ht="14.25" customHeight="1" x14ac:dyDescent="0.2">
      <c r="A58" s="135"/>
      <c r="B58" s="68"/>
      <c r="C58" s="68"/>
      <c r="D58" s="58"/>
      <c r="E58" s="58"/>
      <c r="F58" s="58"/>
      <c r="G58" s="58"/>
      <c r="H58" s="58"/>
      <c r="I58" s="58"/>
      <c r="J58" s="13"/>
      <c r="K58" s="15"/>
      <c r="L58" s="15"/>
      <c r="M58" s="15"/>
      <c r="N58" s="15"/>
      <c r="O58" s="9"/>
      <c r="P58" s="9"/>
      <c r="Q58" s="9"/>
      <c r="R58" s="9"/>
      <c r="S58" s="9"/>
      <c r="T58" s="9"/>
      <c r="U58" s="134"/>
      <c r="V58" s="152"/>
      <c r="W58" s="326"/>
      <c r="X58" s="647">
        <v>18</v>
      </c>
      <c r="Y58" s="50" t="str">
        <f t="shared" si="13"/>
        <v>Torbay</v>
      </c>
      <c r="Z58" s="45">
        <v>19</v>
      </c>
      <c r="AA58" s="46">
        <f>IF(H26&gt;0,IDACI!D26,0)</f>
        <v>21714</v>
      </c>
      <c r="AB58" s="46">
        <f>IF(H26&gt;0,IDACI!E26,0)</f>
        <v>5233.0740000000005</v>
      </c>
      <c r="AI58" s="642" t="b">
        <v>1</v>
      </c>
      <c r="AJ58" s="178" t="s">
        <v>16</v>
      </c>
      <c r="AK58" s="101" t="str">
        <f t="shared" si="10"/>
        <v>West Berkshire</v>
      </c>
      <c r="AL58" s="164">
        <f t="shared" si="11"/>
        <v>348.17927170868347</v>
      </c>
      <c r="AM58" s="164">
        <f t="shared" si="11"/>
        <v>353.65168539325845</v>
      </c>
      <c r="AN58" s="164">
        <f t="shared" si="11"/>
        <v>382.35294117647061</v>
      </c>
      <c r="AO58" s="164">
        <f t="shared" si="11"/>
        <v>459.77011494252872</v>
      </c>
      <c r="AP58" s="164">
        <f t="shared" si="11"/>
        <v>422.46437552388937</v>
      </c>
      <c r="AQ58" s="165">
        <f t="shared" ref="AQ58:AQ63" si="17">VLOOKUP(AK58,$B$9:$T$31,17,FALSE)</f>
        <v>10.4</v>
      </c>
      <c r="AR58" s="398">
        <f t="shared" si="15"/>
        <v>1</v>
      </c>
      <c r="AS58" s="398">
        <f t="shared" si="15"/>
        <v>1</v>
      </c>
      <c r="AT58" s="398">
        <f t="shared" si="15"/>
        <v>1</v>
      </c>
      <c r="AU58" s="398">
        <f t="shared" si="15"/>
        <v>1</v>
      </c>
      <c r="AV58" s="398">
        <f t="shared" si="15"/>
        <v>1</v>
      </c>
      <c r="AW58" s="398" t="e">
        <f>VLOOKUP($AK58,#REF!,AW$36,FALSE)</f>
        <v>#REF!</v>
      </c>
      <c r="AX58" s="398" t="e">
        <f>VLOOKUP($AK58,#REF!,AX$36,FALSE)</f>
        <v>#REF!</v>
      </c>
      <c r="AY58" s="398" t="e">
        <f>VLOOKUP($AK58,#REF!,AY$36,FALSE)</f>
        <v>#REF!</v>
      </c>
      <c r="AZ58" s="398" t="e">
        <f>VLOOKUP($AK58,#REF!,AZ$36,FALSE)</f>
        <v>#REF!</v>
      </c>
      <c r="BA58" s="398" t="e">
        <f>VLOOKUP($AK58,#REF!,BA$36,FALSE)</f>
        <v>#REF!</v>
      </c>
    </row>
    <row r="59" spans="1:53" ht="14.25" customHeight="1" x14ac:dyDescent="0.2">
      <c r="A59" s="135"/>
      <c r="B59" s="68"/>
      <c r="C59" s="68"/>
      <c r="D59" s="58"/>
      <c r="E59" s="58"/>
      <c r="F59" s="58"/>
      <c r="G59" s="58"/>
      <c r="H59" s="58"/>
      <c r="I59" s="58"/>
      <c r="J59" s="13"/>
      <c r="K59" s="15"/>
      <c r="L59" s="15"/>
      <c r="M59" s="15"/>
      <c r="N59" s="15"/>
      <c r="O59" s="9"/>
      <c r="P59" s="9"/>
      <c r="Q59" s="9"/>
      <c r="R59" s="9"/>
      <c r="S59" s="9"/>
      <c r="T59" s="9"/>
      <c r="U59" s="134"/>
      <c r="V59" s="152"/>
      <c r="W59" s="326"/>
      <c r="X59" s="647">
        <v>19</v>
      </c>
      <c r="Y59" s="50" t="str">
        <f t="shared" si="13"/>
        <v>West Berkshire</v>
      </c>
      <c r="Z59" s="45">
        <v>20</v>
      </c>
      <c r="AA59" s="46">
        <f>IF(H27&gt;0,IDACI!D27,0)</f>
        <v>31302</v>
      </c>
      <c r="AB59" s="46">
        <f>IF(H27&gt;0,IDACI!E27,0)</f>
        <v>3255.4080000000004</v>
      </c>
      <c r="AI59" s="642" t="b">
        <v>1</v>
      </c>
      <c r="AJ59" s="178" t="s">
        <v>5</v>
      </c>
      <c r="AK59" s="101" t="str">
        <f t="shared" si="10"/>
        <v>West Sussex</v>
      </c>
      <c r="AL59" s="164">
        <f t="shared" si="11"/>
        <v>395.50898203592817</v>
      </c>
      <c r="AM59" s="164">
        <f t="shared" si="11"/>
        <v>409.7748815165877</v>
      </c>
      <c r="AN59" s="164">
        <f t="shared" si="11"/>
        <v>478.11032863849766</v>
      </c>
      <c r="AO59" s="164">
        <f t="shared" si="11"/>
        <v>508.90481541211335</v>
      </c>
      <c r="AP59" s="164">
        <f t="shared" si="11"/>
        <v>576.80876726242343</v>
      </c>
      <c r="AQ59" s="165">
        <f t="shared" si="17"/>
        <v>12.9</v>
      </c>
      <c r="AR59" s="398">
        <f t="shared" si="15"/>
        <v>0.93383800151400453</v>
      </c>
      <c r="AS59" s="398">
        <f t="shared" si="15"/>
        <v>0.90530576839670374</v>
      </c>
      <c r="AT59" s="398">
        <f t="shared" si="15"/>
        <v>0.87786915428992263</v>
      </c>
      <c r="AU59" s="398">
        <f t="shared" si="15"/>
        <v>0.87106738359455438</v>
      </c>
      <c r="AV59" s="398">
        <f t="shared" si="15"/>
        <v>1</v>
      </c>
      <c r="AW59" s="398" t="e">
        <f>VLOOKUP($AK59,#REF!,AW$36,FALSE)</f>
        <v>#REF!</v>
      </c>
      <c r="AX59" s="398" t="e">
        <f>VLOOKUP($AK59,#REF!,AX$36,FALSE)</f>
        <v>#REF!</v>
      </c>
      <c r="AY59" s="398" t="e">
        <f>VLOOKUP($AK59,#REF!,AY$36,FALSE)</f>
        <v>#REF!</v>
      </c>
      <c r="AZ59" s="398" t="e">
        <f>VLOOKUP($AK59,#REF!,AZ$36,FALSE)</f>
        <v>#REF!</v>
      </c>
      <c r="BA59" s="398" t="e">
        <f>VLOOKUP($AK59,#REF!,BA$36,FALSE)</f>
        <v>#REF!</v>
      </c>
    </row>
    <row r="60" spans="1:53" s="88" customFormat="1" ht="14.25" customHeight="1" x14ac:dyDescent="0.2">
      <c r="A60" s="135"/>
      <c r="B60" s="68"/>
      <c r="C60" s="68"/>
      <c r="D60" s="58"/>
      <c r="E60" s="58"/>
      <c r="F60" s="58"/>
      <c r="G60" s="58"/>
      <c r="H60" s="58"/>
      <c r="I60" s="58"/>
      <c r="J60" s="13"/>
      <c r="K60" s="15"/>
      <c r="L60" s="15"/>
      <c r="M60" s="15"/>
      <c r="N60" s="15"/>
      <c r="O60" s="9"/>
      <c r="P60" s="9"/>
      <c r="Q60" s="9"/>
      <c r="R60" s="9"/>
      <c r="S60" s="9"/>
      <c r="T60" s="9"/>
      <c r="U60" s="134"/>
      <c r="V60" s="152"/>
      <c r="W60" s="326"/>
      <c r="X60" s="647">
        <v>20</v>
      </c>
      <c r="Y60" s="50" t="str">
        <f t="shared" si="13"/>
        <v>West Sussex</v>
      </c>
      <c r="Z60" s="45">
        <v>21</v>
      </c>
      <c r="AA60" s="46">
        <f>IF(H28&gt;0,IDACI!D28,0)</f>
        <v>146958</v>
      </c>
      <c r="AB60" s="46">
        <f>IF(H28&gt;0,IDACI!E28,0)</f>
        <v>18957.582000000002</v>
      </c>
      <c r="AI60" s="642" t="b">
        <v>1</v>
      </c>
      <c r="AJ60" s="178" t="s">
        <v>31</v>
      </c>
      <c r="AK60" s="101" t="str">
        <f t="shared" si="10"/>
        <v>Windsor &amp; Maidenhead</v>
      </c>
      <c r="AL60" s="164">
        <f t="shared" si="11"/>
        <v>313.21321321321324</v>
      </c>
      <c r="AM60" s="164">
        <f t="shared" si="11"/>
        <v>313.77245508982037</v>
      </c>
      <c r="AN60" s="164">
        <f t="shared" si="11"/>
        <v>330.86053412462905</v>
      </c>
      <c r="AO60" s="164">
        <f t="shared" si="11"/>
        <v>290.26217228464424</v>
      </c>
      <c r="AP60" s="164">
        <f t="shared" si="11"/>
        <v>308.8612016767583</v>
      </c>
      <c r="AQ60" s="165">
        <f t="shared" si="17"/>
        <v>8.4</v>
      </c>
      <c r="AR60" s="398">
        <f t="shared" si="15"/>
        <v>0.92329817833173533</v>
      </c>
      <c r="AS60" s="398">
        <f t="shared" si="15"/>
        <v>0.94179389312977102</v>
      </c>
      <c r="AT60" s="398">
        <f t="shared" si="15"/>
        <v>0.81434977578475332</v>
      </c>
      <c r="AU60" s="398">
        <f t="shared" si="15"/>
        <v>0.88306451612903225</v>
      </c>
      <c r="AV60" s="398">
        <f t="shared" si="15"/>
        <v>0.85768143261074459</v>
      </c>
      <c r="AW60" s="398" t="e">
        <f>VLOOKUP($AK60,#REF!,AW$36,FALSE)</f>
        <v>#REF!</v>
      </c>
      <c r="AX60" s="398" t="e">
        <f>VLOOKUP($AK60,#REF!,AX$36,FALSE)</f>
        <v>#REF!</v>
      </c>
      <c r="AY60" s="398" t="e">
        <f>VLOOKUP($AK60,#REF!,AY$36,FALSE)</f>
        <v>#REF!</v>
      </c>
      <c r="AZ60" s="398" t="e">
        <f>VLOOKUP($AK60,#REF!,AZ$36,FALSE)</f>
        <v>#REF!</v>
      </c>
      <c r="BA60" s="398" t="e">
        <f>VLOOKUP($AK60,#REF!,BA$36,FALSE)</f>
        <v>#REF!</v>
      </c>
    </row>
    <row r="61" spans="1:53" s="88" customFormat="1" ht="14.25" customHeight="1" x14ac:dyDescent="0.2">
      <c r="A61" s="135"/>
      <c r="B61" s="68"/>
      <c r="C61" s="68"/>
      <c r="D61" s="58"/>
      <c r="E61" s="58"/>
      <c r="F61" s="58"/>
      <c r="G61" s="58"/>
      <c r="H61" s="58"/>
      <c r="I61" s="58"/>
      <c r="J61" s="13"/>
      <c r="K61" s="15"/>
      <c r="L61" s="15"/>
      <c r="M61" s="15"/>
      <c r="N61" s="15"/>
      <c r="O61" s="9"/>
      <c r="P61" s="9"/>
      <c r="Q61" s="9"/>
      <c r="R61" s="9"/>
      <c r="S61" s="9"/>
      <c r="T61" s="9"/>
      <c r="U61" s="134"/>
      <c r="V61" s="152"/>
      <c r="W61" s="326"/>
      <c r="X61" s="647">
        <v>21</v>
      </c>
      <c r="Y61" s="50" t="str">
        <f t="shared" si="13"/>
        <v>Windsor &amp; Maidenhead</v>
      </c>
      <c r="Z61" s="45">
        <v>22</v>
      </c>
      <c r="AA61" s="46">
        <f>IF(H29&gt;0,IDACI!D29,0)</f>
        <v>29154</v>
      </c>
      <c r="AB61" s="46">
        <f>IF(H29&gt;0,IDACI!E29,0)</f>
        <v>2448.9360000000001</v>
      </c>
      <c r="AI61" s="642" t="b">
        <v>1</v>
      </c>
      <c r="AJ61" s="178" t="s">
        <v>17</v>
      </c>
      <c r="AK61" s="101" t="str">
        <f t="shared" si="10"/>
        <v>Wokingham</v>
      </c>
      <c r="AL61" s="164">
        <f t="shared" si="11"/>
        <v>391.16022099447514</v>
      </c>
      <c r="AM61" s="164">
        <f t="shared" si="11"/>
        <v>268.29268292682929</v>
      </c>
      <c r="AN61" s="164">
        <f t="shared" si="11"/>
        <v>303.21715817694371</v>
      </c>
      <c r="AO61" s="164">
        <f t="shared" si="11"/>
        <v>238.56492806228465</v>
      </c>
      <c r="AP61" s="164">
        <f t="shared" si="11"/>
        <v>354.24525864296419</v>
      </c>
      <c r="AQ61" s="165">
        <f t="shared" si="17"/>
        <v>6.8000000000000007</v>
      </c>
      <c r="AR61" s="398">
        <f t="shared" si="15"/>
        <v>0.6942090395480226</v>
      </c>
      <c r="AS61" s="398">
        <f t="shared" si="15"/>
        <v>0.99494949494949492</v>
      </c>
      <c r="AT61" s="398">
        <f t="shared" si="15"/>
        <v>1</v>
      </c>
      <c r="AU61" s="398">
        <f t="shared" si="15"/>
        <v>0.99228224917309815</v>
      </c>
      <c r="AV61" s="398">
        <f t="shared" si="15"/>
        <v>0.96425966447848288</v>
      </c>
      <c r="AW61" s="398" t="e">
        <f>VLOOKUP($AK61,#REF!,AW$36,FALSE)</f>
        <v>#REF!</v>
      </c>
      <c r="AX61" s="398" t="e">
        <f>VLOOKUP($AK61,#REF!,AX$36,FALSE)</f>
        <v>#REF!</v>
      </c>
      <c r="AY61" s="398" t="e">
        <f>VLOOKUP($AK61,#REF!,AY$36,FALSE)</f>
        <v>#REF!</v>
      </c>
      <c r="AZ61" s="398" t="e">
        <f>VLOOKUP($AK61,#REF!,AZ$36,FALSE)</f>
        <v>#REF!</v>
      </c>
      <c r="BA61" s="398" t="e">
        <f>VLOOKUP($AK61,#REF!,BA$36,FALSE)</f>
        <v>#REF!</v>
      </c>
    </row>
    <row r="62" spans="1:53" s="88" customFormat="1" ht="14.25" customHeight="1" x14ac:dyDescent="0.2">
      <c r="A62" s="135"/>
      <c r="B62" s="68"/>
      <c r="C62" s="68"/>
      <c r="D62" s="58"/>
      <c r="E62" s="58"/>
      <c r="F62" s="58"/>
      <c r="G62" s="58"/>
      <c r="H62" s="58"/>
      <c r="I62" s="58"/>
      <c r="J62" s="13"/>
      <c r="K62" s="15"/>
      <c r="L62" s="15"/>
      <c r="M62" s="15"/>
      <c r="N62" s="15"/>
      <c r="O62" s="9"/>
      <c r="P62" s="9"/>
      <c r="Q62" s="9"/>
      <c r="R62" s="9"/>
      <c r="S62" s="9"/>
      <c r="T62" s="9"/>
      <c r="U62" s="134"/>
      <c r="V62" s="152"/>
      <c r="W62" s="326"/>
      <c r="X62" s="647">
        <v>22</v>
      </c>
      <c r="Y62" s="50" t="str">
        <f t="shared" si="13"/>
        <v>Wokingham</v>
      </c>
      <c r="Z62" s="45">
        <v>23</v>
      </c>
      <c r="AA62" s="46">
        <f>IF(H30&gt;0,IDACI!D30,0)</f>
        <v>31967</v>
      </c>
      <c r="AB62" s="46">
        <f>IF(H30&gt;0,IDACI!E30,0)</f>
        <v>2173.7560000000003</v>
      </c>
      <c r="AI62" s="642" t="b">
        <v>1</v>
      </c>
      <c r="AJ62" s="178" t="s">
        <v>74</v>
      </c>
      <c r="AK62" s="101" t="str">
        <f t="shared" si="10"/>
        <v>South East</v>
      </c>
      <c r="AL62" s="164">
        <f t="shared" si="11"/>
        <v>543.87852448590206</v>
      </c>
      <c r="AM62" s="164">
        <f t="shared" si="11"/>
        <v>508.87511815985715</v>
      </c>
      <c r="AN62" s="164">
        <f t="shared" si="11"/>
        <v>509.67102862207395</v>
      </c>
      <c r="AO62" s="164">
        <f t="shared" si="11"/>
        <v>554.10918620127427</v>
      </c>
      <c r="AP62" s="164">
        <f t="shared" si="11"/>
        <v>548.34054834054837</v>
      </c>
      <c r="AQ62" s="165">
        <f t="shared" si="17"/>
        <v>14.45223640702325</v>
      </c>
      <c r="AR62" s="398">
        <f t="shared" si="15"/>
        <v>0.76997437121780565</v>
      </c>
      <c r="AS62" s="398">
        <f t="shared" si="15"/>
        <v>0.84004127966976261</v>
      </c>
      <c r="AT62" s="398">
        <f t="shared" si="15"/>
        <v>0.92645253682487727</v>
      </c>
      <c r="AU62" s="398">
        <f t="shared" si="15"/>
        <v>0.88974981329350267</v>
      </c>
      <c r="AV62" s="398">
        <f t="shared" si="15"/>
        <v>0.91697157331832257</v>
      </c>
      <c r="AW62" s="398" t="e">
        <f>VLOOKUP($AK62,#REF!,AW$36,FALSE)</f>
        <v>#REF!</v>
      </c>
      <c r="AX62" s="398" t="e">
        <f>VLOOKUP($AK62,#REF!,AX$36,FALSE)</f>
        <v>#REF!</v>
      </c>
      <c r="AY62" s="398" t="e">
        <f>VLOOKUP($AK62,#REF!,AY$36,FALSE)</f>
        <v>#REF!</v>
      </c>
      <c r="AZ62" s="398" t="e">
        <f>VLOOKUP($AK62,#REF!,AZ$36,FALSE)</f>
        <v>#REF!</v>
      </c>
      <c r="BA62" s="398" t="e">
        <f>VLOOKUP($AK62,#REF!,BA$36,FALSE)</f>
        <v>#REF!</v>
      </c>
    </row>
    <row r="63" spans="1:53" s="88" customFormat="1" ht="13.5" customHeight="1" x14ac:dyDescent="0.2">
      <c r="A63" s="135"/>
      <c r="B63" s="68"/>
      <c r="C63" s="68"/>
      <c r="D63" s="58"/>
      <c r="E63" s="58"/>
      <c r="F63" s="58"/>
      <c r="G63" s="58"/>
      <c r="H63" s="58"/>
      <c r="I63" s="58"/>
      <c r="J63" s="13"/>
      <c r="K63" s="9"/>
      <c r="L63" s="127"/>
      <c r="M63" s="1027" t="s">
        <v>72</v>
      </c>
      <c r="N63" s="1028"/>
      <c r="O63" s="1029"/>
      <c r="P63" s="416"/>
      <c r="Q63" s="1030" t="s">
        <v>101</v>
      </c>
      <c r="R63" s="1031"/>
      <c r="S63" s="1031"/>
      <c r="T63" s="1032"/>
      <c r="U63" s="134"/>
      <c r="V63" s="152"/>
      <c r="W63" s="326"/>
      <c r="X63" s="647">
        <v>23</v>
      </c>
      <c r="Y63" s="50" t="str">
        <f t="shared" si="13"/>
        <v>South East</v>
      </c>
      <c r="Z63" s="45">
        <v>24</v>
      </c>
      <c r="AA63" s="46">
        <f>SUM(AA55:AA56,AA41:AA53,AA59:AA62)</f>
        <v>1662421</v>
      </c>
      <c r="AB63" s="46">
        <f>SUM(AB55:AB56,AB41:AB53,AB59:AB62)</f>
        <v>240257.01299999995</v>
      </c>
      <c r="AI63" s="642" t="b">
        <v>1</v>
      </c>
      <c r="AJ63" s="178" t="s">
        <v>130</v>
      </c>
      <c r="AK63" s="101" t="str">
        <f t="shared" si="10"/>
        <v>England</v>
      </c>
      <c r="AL63" s="164">
        <f>VLOOKUP($AK63,$B$9:$O$32,AL$36,FALSE)</f>
        <v>573.05142478808943</v>
      </c>
      <c r="AM63" s="164">
        <f t="shared" ref="AM63:AP63" si="18">VLOOKUP($AK63,$B$9:$O$32,AM$36,FALSE)</f>
        <v>548.32336930734925</v>
      </c>
      <c r="AN63" s="164">
        <f t="shared" si="18"/>
        <v>532.17616180991445</v>
      </c>
      <c r="AO63" s="164">
        <f t="shared" si="18"/>
        <v>548.24337179346742</v>
      </c>
      <c r="AP63" s="164">
        <f t="shared" si="18"/>
        <v>552.48367378427349</v>
      </c>
      <c r="AQ63" s="165" t="e">
        <f t="shared" si="17"/>
        <v>#N/A</v>
      </c>
      <c r="AR63" s="398">
        <f t="shared" si="15"/>
        <v>0.85953177257525082</v>
      </c>
      <c r="AS63" s="398">
        <f t="shared" si="15"/>
        <v>0.86233480176211452</v>
      </c>
      <c r="AT63" s="398">
        <f t="shared" si="15"/>
        <v>0.90055835358102565</v>
      </c>
      <c r="AU63" s="398">
        <f t="shared" si="15"/>
        <v>0.89778988423203121</v>
      </c>
      <c r="AV63" s="398">
        <f t="shared" si="15"/>
        <v>0.90590729527324865</v>
      </c>
      <c r="AW63" s="398" t="e">
        <f>VLOOKUP($AK63,#REF!,AW$36,FALSE)</f>
        <v>#REF!</v>
      </c>
      <c r="AX63" s="398" t="e">
        <f>VLOOKUP($AK63,#REF!,AX$36,FALSE)</f>
        <v>#REF!</v>
      </c>
      <c r="AY63" s="398" t="e">
        <f>VLOOKUP($AK63,#REF!,AY$36,FALSE)</f>
        <v>#REF!</v>
      </c>
      <c r="AZ63" s="398" t="e">
        <f>VLOOKUP($AK63,#REF!,AZ$36,FALSE)</f>
        <v>#REF!</v>
      </c>
      <c r="BA63" s="398" t="e">
        <f>VLOOKUP($AK63,#REF!,BA$36,FALSE)</f>
        <v>#REF!</v>
      </c>
    </row>
    <row r="64" spans="1:53" s="88" customFormat="1" ht="13.5" customHeight="1" x14ac:dyDescent="0.2">
      <c r="A64" s="135"/>
      <c r="B64" s="68"/>
      <c r="C64" s="68"/>
      <c r="D64" s="58"/>
      <c r="E64" s="58"/>
      <c r="F64" s="58"/>
      <c r="G64" s="58"/>
      <c r="H64" s="58"/>
      <c r="I64" s="58"/>
      <c r="J64" s="13"/>
      <c r="K64" s="9"/>
      <c r="L64" s="128"/>
      <c r="M64" s="1030" t="str">
        <f>Z4</f>
        <v>Selected LA- (none)</v>
      </c>
      <c r="N64" s="1031"/>
      <c r="O64" s="1031"/>
      <c r="P64" s="1032"/>
      <c r="Q64" s="1035"/>
      <c r="R64" s="1036"/>
      <c r="S64" s="1037" t="s">
        <v>205</v>
      </c>
      <c r="T64" s="1038"/>
      <c r="U64" s="134"/>
      <c r="V64" s="152"/>
      <c r="W64" s="168"/>
      <c r="X64" s="647">
        <v>24</v>
      </c>
      <c r="Y64" s="50" t="str">
        <f t="shared" si="13"/>
        <v>England</v>
      </c>
      <c r="Z64" s="45">
        <v>25</v>
      </c>
      <c r="AA64" s="46">
        <f>IF(H32&gt;0,IDACI!D32,0)</f>
        <v>10130158</v>
      </c>
      <c r="AB64" s="46">
        <f>IF(H32&gt;0,IDACI!E32,0)</f>
        <v>2016166</v>
      </c>
      <c r="AJ64" s="179"/>
      <c r="AK64" s="80" t="str">
        <f>Z4</f>
        <v>Selected LA- (none)</v>
      </c>
      <c r="AL64" s="166" t="e">
        <f>VLOOKUP($Y4,$B$9:$O$31,AL$36,FALSE)</f>
        <v>#N/A</v>
      </c>
      <c r="AM64" s="166" t="e">
        <f>VLOOKUP($Y4,$B$9:$O$31,AM$36,FALSE)</f>
        <v>#N/A</v>
      </c>
      <c r="AN64" s="166" t="e">
        <f>VLOOKUP($Y4,$B$9:$O$31,AN$36,FALSE)</f>
        <v>#N/A</v>
      </c>
      <c r="AO64" s="166" t="e">
        <f>VLOOKUP($Y4,$B$9:$O$31,AO$36,FALSE)</f>
        <v>#N/A</v>
      </c>
      <c r="AP64" s="166" t="e">
        <f>VLOOKUP($Y4,$B$9:$O$31,AP$36,FALSE)</f>
        <v>#N/A</v>
      </c>
      <c r="AQ64" s="165" t="e">
        <f>VLOOKUP(Y4,$B$9:$T$31,17,FALSE)</f>
        <v>#N/A</v>
      </c>
      <c r="AR64" s="191" t="e">
        <f>VLOOKUP($Y$4,$B$110:$H$133,AR$36,FALSE)</f>
        <v>#N/A</v>
      </c>
      <c r="AS64" s="191" t="e">
        <f>VLOOKUP($Y$4,$B$110:$H$133,AS$36,FALSE)</f>
        <v>#N/A</v>
      </c>
      <c r="AT64" s="191" t="e">
        <f>VLOOKUP($Y$4,$B$110:$H$133,AT$36,FALSE)</f>
        <v>#N/A</v>
      </c>
      <c r="AU64" s="191" t="e">
        <f>VLOOKUP($Y$4,$B$110:$H$133,AU$36,FALSE)</f>
        <v>#N/A</v>
      </c>
      <c r="AV64" s="191" t="e">
        <f>VLOOKUP($Y$4,$B$110:$H$133,AV$36,FALSE)</f>
        <v>#N/A</v>
      </c>
      <c r="AW64" s="191" t="e">
        <f>VLOOKUP($Y$4,#REF!,AW$36,FALSE)</f>
        <v>#REF!</v>
      </c>
      <c r="AX64" s="191" t="e">
        <f>VLOOKUP($Y$4,#REF!,AX$36,FALSE)</f>
        <v>#REF!</v>
      </c>
      <c r="AY64" s="191" t="e">
        <f>VLOOKUP($Y$4,#REF!,AY$36,FALSE)</f>
        <v>#REF!</v>
      </c>
      <c r="AZ64" s="191" t="e">
        <f>VLOOKUP($Y$4,#REF!,AZ$36,FALSE)</f>
        <v>#REF!</v>
      </c>
      <c r="BA64" s="191" t="e">
        <f>VLOOKUP($Y$4,#REF!,BA$36,FALSE)</f>
        <v>#REF!</v>
      </c>
    </row>
    <row r="65" spans="1:44" s="88" customFormat="1" ht="41.25" customHeight="1" x14ac:dyDescent="0.2">
      <c r="A65" s="135"/>
      <c r="B65" s="68"/>
      <c r="C65" s="68"/>
      <c r="D65" s="58"/>
      <c r="E65" s="58"/>
      <c r="F65" s="58"/>
      <c r="G65" s="58"/>
      <c r="H65" s="58"/>
      <c r="I65" s="58"/>
      <c r="J65" s="13"/>
      <c r="K65" s="9"/>
      <c r="L65" s="9"/>
      <c r="M65" s="9"/>
      <c r="N65" s="9"/>
      <c r="O65" s="9"/>
      <c r="P65" s="9"/>
      <c r="Q65" s="9"/>
      <c r="R65" s="9"/>
      <c r="S65" s="9"/>
      <c r="T65" s="9"/>
      <c r="U65" s="134"/>
      <c r="V65" s="152"/>
      <c r="W65" s="168"/>
      <c r="X65" s="44" t="s">
        <v>72</v>
      </c>
      <c r="Y65" s="240" t="s">
        <v>70</v>
      </c>
      <c r="Z65" s="44" t="s">
        <v>71</v>
      </c>
      <c r="AA65" s="241">
        <v>5</v>
      </c>
      <c r="AB65" s="242">
        <f>(AA65*Y66)+Z66</f>
        <v>488.625</v>
      </c>
      <c r="AJ65" s="179"/>
    </row>
    <row r="66" spans="1:44" s="101" customFormat="1" ht="40.5" customHeight="1" x14ac:dyDescent="0.2">
      <c r="A66" s="138"/>
      <c r="B66" s="126"/>
      <c r="C66" s="126"/>
      <c r="D66" s="126"/>
      <c r="E66" s="126"/>
      <c r="F66" s="126"/>
      <c r="G66" s="126"/>
      <c r="H66" s="126"/>
      <c r="I66" s="126"/>
      <c r="J66" s="115"/>
      <c r="K66" s="97"/>
      <c r="L66" s="97"/>
      <c r="M66" s="97"/>
      <c r="N66" s="97"/>
      <c r="O66" s="97"/>
      <c r="P66" s="97"/>
      <c r="Q66" s="97"/>
      <c r="R66" s="97"/>
      <c r="S66" s="97"/>
      <c r="T66" s="97"/>
      <c r="U66" s="139"/>
      <c r="V66" s="154"/>
      <c r="W66" s="170"/>
      <c r="X66" s="243" t="str">
        <f>"Y= "&amp;Y66&amp;"x + "&amp;Z66</f>
        <v>Y= 4.803x + 464.61</v>
      </c>
      <c r="Y66" s="839">
        <v>4.8029999999999999</v>
      </c>
      <c r="Z66" s="840">
        <v>464.61</v>
      </c>
      <c r="AA66" s="246">
        <v>35</v>
      </c>
      <c r="AB66" s="247">
        <f>(AA66*Y66)+Z66</f>
        <v>632.71500000000003</v>
      </c>
      <c r="AC66" s="217"/>
      <c r="AD66" s="217"/>
      <c r="AE66" s="217"/>
      <c r="AF66" s="217"/>
      <c r="AG66" s="217"/>
      <c r="AH66" s="217"/>
      <c r="AI66" s="232"/>
      <c r="AJ66" s="178"/>
    </row>
    <row r="67" spans="1:44" s="101" customFormat="1" ht="41.25" customHeight="1" x14ac:dyDescent="0.2">
      <c r="A67" s="138"/>
      <c r="B67" s="126"/>
      <c r="C67" s="126"/>
      <c r="D67" s="126"/>
      <c r="E67" s="126"/>
      <c r="F67" s="126"/>
      <c r="G67" s="126"/>
      <c r="H67" s="126"/>
      <c r="I67" s="126"/>
      <c r="J67" s="115"/>
      <c r="K67" s="97"/>
      <c r="L67" s="97"/>
      <c r="M67" s="97"/>
      <c r="N67" s="97"/>
      <c r="O67" s="97"/>
      <c r="P67" s="97"/>
      <c r="Q67" s="97"/>
      <c r="R67" s="97"/>
      <c r="S67" s="97"/>
      <c r="T67" s="97"/>
      <c r="U67" s="139"/>
      <c r="V67" s="154"/>
      <c r="W67" s="423"/>
      <c r="X67" s="837" t="s">
        <v>842</v>
      </c>
      <c r="Y67" s="838" t="s">
        <v>70</v>
      </c>
      <c r="Z67" s="837" t="s">
        <v>71</v>
      </c>
      <c r="AA67" s="241">
        <v>5</v>
      </c>
      <c r="AB67" s="242">
        <f>(AA67*Y68)+Z68</f>
        <v>365.87096653258811</v>
      </c>
      <c r="AC67" s="843" t="s">
        <v>844</v>
      </c>
      <c r="AD67" s="217"/>
      <c r="AE67" s="217"/>
      <c r="AF67" s="217"/>
      <c r="AG67" s="217"/>
      <c r="AH67" s="217"/>
      <c r="AI67" s="232"/>
      <c r="AJ67" s="178"/>
    </row>
    <row r="68" spans="1:44" ht="7.5" customHeight="1" x14ac:dyDescent="0.2">
      <c r="A68" s="135"/>
      <c r="B68" s="18"/>
      <c r="C68" s="18"/>
      <c r="D68" s="17"/>
      <c r="E68" s="17"/>
      <c r="F68" s="17"/>
      <c r="G68" s="17"/>
      <c r="H68" s="17"/>
      <c r="I68" s="17"/>
      <c r="J68" s="13"/>
      <c r="K68" s="19"/>
      <c r="L68" s="19"/>
      <c r="M68" s="19"/>
      <c r="N68" s="19"/>
      <c r="O68" s="19"/>
      <c r="P68" s="19"/>
      <c r="Q68" s="19"/>
      <c r="R68" s="19"/>
      <c r="S68" s="19"/>
      <c r="T68" s="20"/>
      <c r="U68" s="134"/>
      <c r="V68" s="152"/>
      <c r="W68" s="168"/>
      <c r="X68" s="243" t="str">
        <f>"Y= "&amp;Y68&amp;"x + "&amp;Z68</f>
        <v>Y= 12.2674690269618x + 304.533621397779</v>
      </c>
      <c r="Y68" s="842">
        <v>12.267469026961846</v>
      </c>
      <c r="Z68" s="842">
        <v>304.53362139777886</v>
      </c>
      <c r="AA68" s="246">
        <v>35</v>
      </c>
      <c r="AB68" s="247">
        <f>(AA68*Y68)+Z68</f>
        <v>733.89503734144341</v>
      </c>
      <c r="AI68" s="210"/>
      <c r="AJ68" s="175"/>
    </row>
    <row r="69" spans="1:44" ht="15" customHeight="1" x14ac:dyDescent="0.2">
      <c r="A69" s="1010"/>
      <c r="B69" s="1018"/>
      <c r="C69" s="1018"/>
      <c r="D69" s="1018"/>
      <c r="E69" s="1018"/>
      <c r="F69" s="1018"/>
      <c r="G69" s="1018"/>
      <c r="H69" s="1018"/>
      <c r="I69" s="1018"/>
      <c r="J69" s="1018"/>
      <c r="K69" s="1018"/>
      <c r="L69" s="1018"/>
      <c r="M69" s="1018"/>
      <c r="N69" s="1018"/>
      <c r="O69" s="1018"/>
      <c r="P69" s="1018"/>
      <c r="Q69" s="1018"/>
      <c r="R69" s="1018"/>
      <c r="S69" s="1018"/>
      <c r="T69" s="1018"/>
      <c r="U69" s="1019"/>
      <c r="V69" s="152"/>
      <c r="W69" s="168"/>
      <c r="X69" s="43">
        <f>D8</f>
        <v>2014</v>
      </c>
      <c r="Y69" s="43">
        <f>E8</f>
        <v>2015</v>
      </c>
      <c r="Z69" s="43">
        <f>F8</f>
        <v>2016</v>
      </c>
      <c r="AA69" s="43">
        <f>G8</f>
        <v>2017</v>
      </c>
      <c r="AB69" s="43">
        <f>H8</f>
        <v>2018</v>
      </c>
      <c r="AI69" s="210"/>
      <c r="AJ69" s="175"/>
    </row>
    <row r="70" spans="1:44" ht="11.25" customHeight="1" x14ac:dyDescent="0.2">
      <c r="A70" s="1020" t="str">
        <f>Home!$A$35</f>
        <v>LA's provide quarterly data on the condition that it is used by the benchmarking group for internal reporting only. Please DO NOT share other LA's data with any external partners or the public</v>
      </c>
      <c r="B70" s="1021"/>
      <c r="C70" s="1021"/>
      <c r="D70" s="1021"/>
      <c r="E70" s="1021"/>
      <c r="F70" s="1021"/>
      <c r="G70" s="1021"/>
      <c r="H70" s="1021"/>
      <c r="I70" s="1022"/>
      <c r="J70" s="1021"/>
      <c r="K70" s="1021"/>
      <c r="L70" s="1021"/>
      <c r="M70" s="1021"/>
      <c r="N70" s="1021"/>
      <c r="O70" s="1021"/>
      <c r="P70" s="1021"/>
      <c r="Q70" s="1021"/>
      <c r="R70" s="1021"/>
      <c r="S70" s="1022"/>
      <c r="T70" s="1021"/>
      <c r="U70" s="1023"/>
      <c r="V70" s="152"/>
      <c r="W70" s="168"/>
      <c r="X70" s="47" t="e">
        <f ca="1">IF(OFFSET(K8,$X$4,0)=0,NA(),OFFSET(K8,$X$4,0))</f>
        <v>#N/A</v>
      </c>
      <c r="Y70" s="248" t="e">
        <f ca="1">IF(OFFSET(L8,$X$4,0)=0,NA(),OFFSET(L8,$X$4,0))</f>
        <v>#N/A</v>
      </c>
      <c r="Z70" s="47" t="e">
        <f ca="1">IF(OFFSET(M8,$X$4,0)=0,NA(),OFFSET(M8,$X$4,0))</f>
        <v>#N/A</v>
      </c>
      <c r="AA70" s="47" t="e">
        <f ca="1">IF(OFFSET(N8,$X$4,0)=0,NA(),OFFSET(N8,$X$4,0))</f>
        <v>#N/A</v>
      </c>
      <c r="AB70" s="47" t="e">
        <f ca="1">IF(OFFSET(O8,$X$4,0)=0,NA(),OFFSET(O8,$X$4,0))</f>
        <v>#N/A</v>
      </c>
      <c r="AI70" s="210"/>
      <c r="AJ70" s="175"/>
    </row>
    <row r="71" spans="1:44" ht="11.25" customHeight="1" x14ac:dyDescent="0.2">
      <c r="A71" s="129"/>
      <c r="B71" s="130"/>
      <c r="C71" s="130"/>
      <c r="D71" s="130"/>
      <c r="E71" s="130"/>
      <c r="F71" s="130"/>
      <c r="G71" s="130"/>
      <c r="H71" s="130"/>
      <c r="I71" s="130"/>
      <c r="J71" s="131"/>
      <c r="K71" s="130"/>
      <c r="L71" s="130"/>
      <c r="M71" s="130"/>
      <c r="N71" s="130"/>
      <c r="O71" s="130"/>
      <c r="P71" s="130"/>
      <c r="Q71" s="130"/>
      <c r="R71" s="130"/>
      <c r="S71" s="130"/>
      <c r="T71" s="130"/>
      <c r="U71" s="132"/>
      <c r="V71" s="152"/>
      <c r="W71" s="168"/>
      <c r="X71" s="215"/>
      <c r="Y71" s="215"/>
      <c r="Z71" s="215"/>
      <c r="AI71" s="210"/>
      <c r="AJ71" s="175"/>
    </row>
    <row r="72" spans="1:44" s="82" customFormat="1" ht="17.25" customHeight="1" x14ac:dyDescent="0.2">
      <c r="A72" s="136"/>
      <c r="B72" s="60"/>
      <c r="C72" s="340"/>
      <c r="D72" s="340"/>
      <c r="E72" s="340"/>
      <c r="F72" s="340"/>
      <c r="G72" s="340"/>
      <c r="H72" s="340"/>
      <c r="I72" s="340"/>
      <c r="J72" s="70"/>
      <c r="K72" s="70"/>
      <c r="L72" s="70"/>
      <c r="M72" s="70"/>
      <c r="N72" s="339"/>
      <c r="O72" s="70"/>
      <c r="P72" s="70"/>
      <c r="Q72" s="70"/>
      <c r="R72" s="70"/>
      <c r="S72" s="70"/>
      <c r="T72" s="70"/>
      <c r="U72" s="137"/>
      <c r="V72" s="153"/>
      <c r="W72" s="169"/>
      <c r="X72" s="215"/>
      <c r="Y72" s="215"/>
      <c r="Z72" s="215"/>
      <c r="AA72" s="215"/>
      <c r="AB72" s="215"/>
      <c r="AC72" s="215"/>
      <c r="AD72" s="215"/>
      <c r="AE72" s="215"/>
      <c r="AF72" s="215"/>
      <c r="AG72" s="215"/>
      <c r="AH72" s="215"/>
      <c r="AI72" s="215"/>
      <c r="AJ72" s="176"/>
    </row>
    <row r="73" spans="1:44" ht="13.5" customHeight="1" x14ac:dyDescent="0.2">
      <c r="A73" s="135"/>
      <c r="B73" s="340"/>
      <c r="C73" s="340"/>
      <c r="D73" s="340"/>
      <c r="E73" s="340"/>
      <c r="F73" s="340"/>
      <c r="G73" s="340"/>
      <c r="H73" s="340"/>
      <c r="I73" s="340"/>
      <c r="J73" s="70"/>
      <c r="K73" s="70"/>
      <c r="L73" s="70"/>
      <c r="M73" s="70"/>
      <c r="N73" s="339"/>
      <c r="O73" s="70"/>
      <c r="P73" s="70"/>
      <c r="Q73" s="10"/>
      <c r="R73" s="70"/>
      <c r="S73" s="70"/>
      <c r="T73" s="70"/>
      <c r="U73" s="134"/>
      <c r="V73" s="152"/>
      <c r="W73" s="168"/>
      <c r="X73" s="215"/>
      <c r="Y73" s="215"/>
      <c r="Z73" s="223"/>
      <c r="AA73" s="223"/>
      <c r="AB73" s="224"/>
      <c r="AC73" s="224"/>
      <c r="AI73" s="210"/>
      <c r="AJ73" s="175"/>
    </row>
    <row r="74" spans="1:44" s="101" customFormat="1" ht="12" customHeight="1" x14ac:dyDescent="0.2">
      <c r="A74" s="138"/>
      <c r="B74" s="340"/>
      <c r="C74" s="340"/>
      <c r="D74" s="340"/>
      <c r="E74" s="340"/>
      <c r="F74" s="340"/>
      <c r="G74" s="340"/>
      <c r="H74" s="340"/>
      <c r="I74" s="115"/>
      <c r="J74" s="115"/>
      <c r="K74" s="62"/>
      <c r="L74" s="62"/>
      <c r="M74" s="62"/>
      <c r="N74" s="62"/>
      <c r="O74" s="62"/>
      <c r="P74" s="343"/>
      <c r="Q74" s="343"/>
      <c r="R74" s="177"/>
      <c r="S74" s="177"/>
      <c r="T74" s="344"/>
      <c r="U74" s="139"/>
      <c r="V74" s="154"/>
      <c r="W74" s="170"/>
      <c r="X74" s="215"/>
      <c r="Y74" s="215"/>
      <c r="Z74" s="223"/>
      <c r="AA74" s="223"/>
      <c r="AB74" s="224"/>
      <c r="AC74" s="224"/>
      <c r="AD74" s="226"/>
      <c r="AE74" s="217"/>
      <c r="AF74" s="217"/>
      <c r="AG74" s="217"/>
      <c r="AH74" s="217"/>
      <c r="AI74" s="232"/>
      <c r="AJ74" s="178"/>
    </row>
    <row r="75" spans="1:44" s="101" customFormat="1" ht="24" customHeight="1" x14ac:dyDescent="0.2">
      <c r="A75" s="138"/>
      <c r="B75" s="340"/>
      <c r="C75" s="340"/>
      <c r="D75" s="340"/>
      <c r="E75" s="340"/>
      <c r="F75" s="340"/>
      <c r="G75" s="340"/>
      <c r="H75" s="340"/>
      <c r="I75" s="115"/>
      <c r="J75" s="115"/>
      <c r="K75" s="186"/>
      <c r="L75" s="186"/>
      <c r="M75" s="186"/>
      <c r="N75" s="186"/>
      <c r="O75" s="186"/>
      <c r="P75" s="186"/>
      <c r="Q75" s="187"/>
      <c r="R75" s="177"/>
      <c r="S75" s="177"/>
      <c r="T75" s="186"/>
      <c r="U75" s="139"/>
      <c r="V75" s="154"/>
      <c r="W75" s="170"/>
      <c r="Y75" s="403" t="s">
        <v>133</v>
      </c>
      <c r="Z75" s="404" t="s">
        <v>134</v>
      </c>
      <c r="AA75" s="223"/>
      <c r="AB75" s="224"/>
      <c r="AC75" s="224"/>
      <c r="AD75" s="226"/>
      <c r="AE75" s="217"/>
      <c r="AF75" s="217"/>
      <c r="AG75" s="217"/>
      <c r="AH75" s="217"/>
      <c r="AI75" s="232"/>
      <c r="AJ75" s="178"/>
    </row>
    <row r="76" spans="1:44" s="101" customFormat="1" ht="12.75" customHeight="1" x14ac:dyDescent="0.2">
      <c r="A76" s="138"/>
      <c r="B76" s="340"/>
      <c r="C76" s="340"/>
      <c r="D76" s="340"/>
      <c r="E76" s="340"/>
      <c r="F76" s="340"/>
      <c r="G76" s="340"/>
      <c r="H76" s="340"/>
      <c r="I76" s="115"/>
      <c r="J76" s="115"/>
      <c r="K76" s="186"/>
      <c r="L76" s="186"/>
      <c r="M76" s="186"/>
      <c r="N76" s="186"/>
      <c r="O76" s="186"/>
      <c r="P76" s="186"/>
      <c r="Q76" s="187"/>
      <c r="R76" s="177"/>
      <c r="S76" s="177"/>
      <c r="T76" s="186"/>
      <c r="U76" s="139"/>
      <c r="V76" s="154"/>
      <c r="W76" s="170"/>
      <c r="X76" s="405" t="str">
        <f>B9</f>
        <v>Bracknell Forest</v>
      </c>
      <c r="Y76" s="406" t="e">
        <f>IF(X76=$Y$4,I9,#N/A)</f>
        <v>#N/A</v>
      </c>
      <c r="Z76" s="406" t="e">
        <f>IF(X76=$Y$4,T9,#N/A)</f>
        <v>#N/A</v>
      </c>
      <c r="AA76" s="223"/>
      <c r="AB76" s="224"/>
      <c r="AC76" s="224"/>
      <c r="AD76" s="226"/>
      <c r="AE76" s="217"/>
      <c r="AF76" s="217"/>
      <c r="AG76" s="217"/>
      <c r="AH76" s="217"/>
      <c r="AI76" s="232"/>
      <c r="AJ76" s="178"/>
    </row>
    <row r="77" spans="1:44" s="101" customFormat="1" ht="12.75" customHeight="1" x14ac:dyDescent="0.2">
      <c r="A77" s="138"/>
      <c r="B77" s="340"/>
      <c r="C77" s="340"/>
      <c r="D77" s="340"/>
      <c r="E77" s="340"/>
      <c r="F77" s="340"/>
      <c r="G77" s="340"/>
      <c r="H77" s="340"/>
      <c r="I77" s="115"/>
      <c r="J77" s="115"/>
      <c r="K77" s="186"/>
      <c r="L77" s="186"/>
      <c r="M77" s="186"/>
      <c r="N77" s="186"/>
      <c r="O77" s="186"/>
      <c r="P77" s="186"/>
      <c r="Q77" s="187"/>
      <c r="R77" s="177"/>
      <c r="S77" s="177"/>
      <c r="T77" s="186"/>
      <c r="U77" s="139"/>
      <c r="V77" s="154"/>
      <c r="W77" s="170"/>
      <c r="X77" s="405" t="str">
        <f t="shared" ref="X77:X97" si="19">B10</f>
        <v>Brighton &amp; Hove</v>
      </c>
      <c r="Y77" s="406" t="e">
        <f t="shared" ref="Y77:Y99" si="20">IF(X77=$Y$4,I10,#N/A)</f>
        <v>#N/A</v>
      </c>
      <c r="Z77" s="406" t="e">
        <f t="shared" ref="Z77:Z99" si="21">IF(X77=$Y$4,T10,#N/A)</f>
        <v>#N/A</v>
      </c>
      <c r="AA77" s="223"/>
      <c r="AB77" s="224"/>
      <c r="AC77" s="224"/>
      <c r="AD77" s="226"/>
      <c r="AE77" s="217"/>
      <c r="AF77" s="217"/>
      <c r="AG77" s="217"/>
      <c r="AH77" s="217"/>
      <c r="AI77" s="232"/>
      <c r="AJ77" s="178"/>
    </row>
    <row r="78" spans="1:44" s="101" customFormat="1" ht="12.75" customHeight="1" x14ac:dyDescent="0.2">
      <c r="A78" s="138"/>
      <c r="B78" s="340"/>
      <c r="C78" s="340"/>
      <c r="D78" s="340"/>
      <c r="E78" s="340"/>
      <c r="F78" s="340"/>
      <c r="G78" s="340"/>
      <c r="H78" s="340"/>
      <c r="I78" s="115"/>
      <c r="J78" s="115"/>
      <c r="K78" s="186"/>
      <c r="L78" s="186"/>
      <c r="M78" s="186"/>
      <c r="N78" s="186"/>
      <c r="O78" s="186"/>
      <c r="P78" s="186"/>
      <c r="Q78" s="187"/>
      <c r="R78" s="177"/>
      <c r="S78" s="177"/>
      <c r="T78" s="186"/>
      <c r="U78" s="139"/>
      <c r="V78" s="154"/>
      <c r="W78" s="170"/>
      <c r="X78" s="405" t="str">
        <f t="shared" si="19"/>
        <v>Buckinghamshire</v>
      </c>
      <c r="Y78" s="406" t="e">
        <f t="shared" si="20"/>
        <v>#N/A</v>
      </c>
      <c r="Z78" s="406" t="e">
        <f t="shared" si="21"/>
        <v>#N/A</v>
      </c>
      <c r="AA78" s="223"/>
      <c r="AB78" s="224"/>
      <c r="AC78" s="224"/>
      <c r="AD78" s="226"/>
      <c r="AE78" s="217"/>
      <c r="AF78" s="217"/>
      <c r="AG78" s="217"/>
      <c r="AH78" s="217"/>
      <c r="AI78" s="232"/>
      <c r="AJ78" s="178"/>
    </row>
    <row r="79" spans="1:44" s="101" customFormat="1" ht="12.75" customHeight="1" x14ac:dyDescent="0.2">
      <c r="A79" s="138"/>
      <c r="B79" s="340"/>
      <c r="C79" s="340"/>
      <c r="D79" s="340"/>
      <c r="E79" s="340"/>
      <c r="F79" s="340"/>
      <c r="G79" s="340"/>
      <c r="H79" s="340"/>
      <c r="I79" s="115"/>
      <c r="J79" s="115"/>
      <c r="K79" s="186"/>
      <c r="L79" s="186"/>
      <c r="M79" s="186"/>
      <c r="N79" s="186"/>
      <c r="O79" s="186"/>
      <c r="P79" s="186"/>
      <c r="Q79" s="187"/>
      <c r="R79" s="177"/>
      <c r="S79" s="177"/>
      <c r="T79" s="186"/>
      <c r="U79" s="139"/>
      <c r="V79" s="154"/>
      <c r="W79" s="170"/>
      <c r="X79" s="405" t="str">
        <f t="shared" si="19"/>
        <v>East Sussex</v>
      </c>
      <c r="Y79" s="406" t="e">
        <f t="shared" si="20"/>
        <v>#N/A</v>
      </c>
      <c r="Z79" s="406" t="e">
        <f t="shared" si="21"/>
        <v>#N/A</v>
      </c>
      <c r="AA79" s="223"/>
      <c r="AB79" s="224"/>
      <c r="AC79" s="224"/>
      <c r="AD79" s="226"/>
      <c r="AE79" s="217"/>
      <c r="AF79" s="217"/>
      <c r="AG79" s="217"/>
      <c r="AH79" s="217"/>
      <c r="AI79" s="232"/>
      <c r="AJ79" s="178"/>
    </row>
    <row r="80" spans="1:44" s="101" customFormat="1" ht="12.75" customHeight="1" x14ac:dyDescent="0.2">
      <c r="A80" s="138"/>
      <c r="B80" s="340"/>
      <c r="C80" s="340"/>
      <c r="D80" s="340"/>
      <c r="E80" s="340"/>
      <c r="F80" s="340"/>
      <c r="G80" s="340"/>
      <c r="H80" s="340"/>
      <c r="I80" s="115"/>
      <c r="J80" s="115"/>
      <c r="K80" s="186"/>
      <c r="L80" s="186"/>
      <c r="M80" s="186"/>
      <c r="N80" s="186"/>
      <c r="O80" s="186"/>
      <c r="P80" s="186"/>
      <c r="Q80" s="187"/>
      <c r="R80" s="177"/>
      <c r="S80" s="177"/>
      <c r="T80" s="186"/>
      <c r="U80" s="139"/>
      <c r="V80" s="154"/>
      <c r="W80" s="170"/>
      <c r="X80" s="405" t="str">
        <f t="shared" si="19"/>
        <v>Hampshire</v>
      </c>
      <c r="Y80" s="406" t="e">
        <f t="shared" si="20"/>
        <v>#N/A</v>
      </c>
      <c r="Z80" s="406" t="e">
        <f t="shared" si="21"/>
        <v>#N/A</v>
      </c>
      <c r="AA80" s="223"/>
      <c r="AB80" s="224"/>
      <c r="AC80" s="224"/>
      <c r="AD80" s="226"/>
      <c r="AE80" s="217"/>
      <c r="AF80" s="217"/>
      <c r="AG80" s="217"/>
      <c r="AH80" s="217"/>
      <c r="AI80" s="232"/>
      <c r="AJ80" s="178"/>
      <c r="AR80" s="101" t="s">
        <v>104</v>
      </c>
    </row>
    <row r="81" spans="1:36" s="101" customFormat="1" ht="12.75" customHeight="1" x14ac:dyDescent="0.2">
      <c r="A81" s="138"/>
      <c r="B81" s="340"/>
      <c r="C81" s="340"/>
      <c r="D81" s="340"/>
      <c r="E81" s="340"/>
      <c r="F81" s="340"/>
      <c r="G81" s="340"/>
      <c r="H81" s="340"/>
      <c r="I81" s="115"/>
      <c r="J81" s="115"/>
      <c r="K81" s="186"/>
      <c r="L81" s="186"/>
      <c r="M81" s="186"/>
      <c r="N81" s="186"/>
      <c r="O81" s="186"/>
      <c r="P81" s="186"/>
      <c r="Q81" s="187"/>
      <c r="R81" s="177"/>
      <c r="S81" s="177"/>
      <c r="T81" s="186"/>
      <c r="U81" s="139"/>
      <c r="V81" s="154"/>
      <c r="W81" s="170"/>
      <c r="X81" s="405" t="str">
        <f t="shared" si="19"/>
        <v>Isle of Wight</v>
      </c>
      <c r="Y81" s="406" t="e">
        <f t="shared" si="20"/>
        <v>#N/A</v>
      </c>
      <c r="Z81" s="406" t="e">
        <f t="shared" si="21"/>
        <v>#N/A</v>
      </c>
      <c r="AA81" s="223"/>
      <c r="AB81" s="224"/>
      <c r="AC81" s="224"/>
      <c r="AD81" s="226"/>
      <c r="AE81" s="217"/>
      <c r="AF81" s="217"/>
      <c r="AG81" s="217"/>
      <c r="AH81" s="217"/>
      <c r="AI81" s="232"/>
      <c r="AJ81" s="178"/>
    </row>
    <row r="82" spans="1:36" s="101" customFormat="1" ht="12.75" customHeight="1" x14ac:dyDescent="0.2">
      <c r="A82" s="138"/>
      <c r="B82" s="340"/>
      <c r="C82" s="340"/>
      <c r="D82" s="340"/>
      <c r="E82" s="340"/>
      <c r="F82" s="340"/>
      <c r="G82" s="340"/>
      <c r="H82" s="340"/>
      <c r="I82" s="115"/>
      <c r="J82" s="115"/>
      <c r="K82" s="186"/>
      <c r="L82" s="186"/>
      <c r="M82" s="186"/>
      <c r="N82" s="186"/>
      <c r="O82" s="186"/>
      <c r="P82" s="186"/>
      <c r="Q82" s="187"/>
      <c r="R82" s="177"/>
      <c r="S82" s="177"/>
      <c r="T82" s="186"/>
      <c r="U82" s="139"/>
      <c r="V82" s="154"/>
      <c r="W82" s="170"/>
      <c r="X82" s="405" t="str">
        <f t="shared" si="19"/>
        <v>Kent</v>
      </c>
      <c r="Y82" s="406" t="e">
        <f t="shared" si="20"/>
        <v>#N/A</v>
      </c>
      <c r="Z82" s="406" t="e">
        <f t="shared" si="21"/>
        <v>#N/A</v>
      </c>
      <c r="AA82" s="223"/>
      <c r="AB82" s="224"/>
      <c r="AC82" s="224"/>
      <c r="AD82" s="226"/>
      <c r="AE82" s="217"/>
      <c r="AF82" s="217"/>
      <c r="AG82" s="217"/>
      <c r="AH82" s="217"/>
      <c r="AI82" s="232"/>
      <c r="AJ82" s="178"/>
    </row>
    <row r="83" spans="1:36" s="101" customFormat="1" ht="12.75" customHeight="1" x14ac:dyDescent="0.2">
      <c r="A83" s="138"/>
      <c r="B83" s="340"/>
      <c r="C83" s="340"/>
      <c r="D83" s="340"/>
      <c r="E83" s="340"/>
      <c r="F83" s="340"/>
      <c r="G83" s="340"/>
      <c r="H83" s="340"/>
      <c r="I83" s="115"/>
      <c r="J83" s="115"/>
      <c r="K83" s="186"/>
      <c r="L83" s="186"/>
      <c r="M83" s="186"/>
      <c r="N83" s="186"/>
      <c r="O83" s="186"/>
      <c r="P83" s="186"/>
      <c r="Q83" s="187"/>
      <c r="R83" s="177"/>
      <c r="S83" s="177"/>
      <c r="T83" s="186"/>
      <c r="U83" s="139"/>
      <c r="V83" s="154"/>
      <c r="W83" s="170"/>
      <c r="X83" s="405" t="str">
        <f t="shared" si="19"/>
        <v>Medway</v>
      </c>
      <c r="Y83" s="406" t="e">
        <f t="shared" si="20"/>
        <v>#N/A</v>
      </c>
      <c r="Z83" s="406" t="e">
        <f t="shared" si="21"/>
        <v>#N/A</v>
      </c>
      <c r="AA83" s="223"/>
      <c r="AB83" s="224"/>
      <c r="AC83" s="224"/>
      <c r="AD83" s="226"/>
      <c r="AE83" s="217"/>
      <c r="AF83" s="217"/>
      <c r="AG83" s="217"/>
      <c r="AH83" s="217"/>
      <c r="AI83" s="232"/>
      <c r="AJ83" s="178"/>
    </row>
    <row r="84" spans="1:36" s="101" customFormat="1" ht="12.75" customHeight="1" x14ac:dyDescent="0.2">
      <c r="A84" s="138"/>
      <c r="B84" s="340"/>
      <c r="C84" s="340"/>
      <c r="D84" s="340"/>
      <c r="E84" s="340"/>
      <c r="F84" s="340"/>
      <c r="G84" s="340"/>
      <c r="H84" s="340"/>
      <c r="I84" s="115"/>
      <c r="J84" s="115"/>
      <c r="K84" s="186"/>
      <c r="L84" s="186"/>
      <c r="M84" s="186"/>
      <c r="N84" s="186"/>
      <c r="O84" s="186"/>
      <c r="P84" s="186"/>
      <c r="Q84" s="187"/>
      <c r="R84" s="177"/>
      <c r="S84" s="177"/>
      <c r="T84" s="186"/>
      <c r="U84" s="139"/>
      <c r="V84" s="154"/>
      <c r="W84" s="170"/>
      <c r="X84" s="405" t="str">
        <f t="shared" si="19"/>
        <v>Milton Keynes</v>
      </c>
      <c r="Y84" s="406" t="e">
        <f t="shared" si="20"/>
        <v>#N/A</v>
      </c>
      <c r="Z84" s="406" t="e">
        <f t="shared" si="21"/>
        <v>#N/A</v>
      </c>
      <c r="AA84" s="223"/>
      <c r="AB84" s="224"/>
      <c r="AC84" s="224"/>
      <c r="AD84" s="226"/>
      <c r="AE84" s="217"/>
      <c r="AF84" s="217"/>
      <c r="AG84" s="217"/>
      <c r="AH84" s="217"/>
      <c r="AI84" s="232"/>
      <c r="AJ84" s="178"/>
    </row>
    <row r="85" spans="1:36" s="101" customFormat="1" ht="12.75" customHeight="1" x14ac:dyDescent="0.2">
      <c r="A85" s="138"/>
      <c r="B85" s="340"/>
      <c r="C85" s="340"/>
      <c r="D85" s="340"/>
      <c r="E85" s="340"/>
      <c r="F85" s="340"/>
      <c r="G85" s="340"/>
      <c r="H85" s="340"/>
      <c r="I85" s="115"/>
      <c r="J85" s="115"/>
      <c r="K85" s="186"/>
      <c r="L85" s="186"/>
      <c r="M85" s="186"/>
      <c r="N85" s="186"/>
      <c r="O85" s="186"/>
      <c r="P85" s="186"/>
      <c r="Q85" s="187"/>
      <c r="R85" s="177"/>
      <c r="S85" s="177"/>
      <c r="T85" s="186"/>
      <c r="U85" s="139"/>
      <c r="V85" s="154"/>
      <c r="W85" s="170"/>
      <c r="X85" s="405" t="str">
        <f t="shared" si="19"/>
        <v>Oxfordshire</v>
      </c>
      <c r="Y85" s="406" t="e">
        <f t="shared" si="20"/>
        <v>#N/A</v>
      </c>
      <c r="Z85" s="406" t="e">
        <f t="shared" si="21"/>
        <v>#N/A</v>
      </c>
      <c r="AA85" s="223"/>
      <c r="AB85" s="224"/>
      <c r="AC85" s="224"/>
      <c r="AD85" s="226"/>
      <c r="AE85" s="217"/>
      <c r="AF85" s="217"/>
      <c r="AG85" s="217"/>
      <c r="AH85" s="217"/>
      <c r="AI85" s="232"/>
      <c r="AJ85" s="178"/>
    </row>
    <row r="86" spans="1:36" s="101" customFormat="1" ht="12.75" customHeight="1" x14ac:dyDescent="0.2">
      <c r="A86" s="138"/>
      <c r="B86" s="340"/>
      <c r="C86" s="340"/>
      <c r="D86" s="340"/>
      <c r="E86" s="340"/>
      <c r="F86" s="340"/>
      <c r="G86" s="340"/>
      <c r="H86" s="340"/>
      <c r="I86" s="115"/>
      <c r="J86" s="115"/>
      <c r="K86" s="186"/>
      <c r="L86" s="186"/>
      <c r="M86" s="186"/>
      <c r="N86" s="186"/>
      <c r="O86" s="186"/>
      <c r="P86" s="186"/>
      <c r="Q86" s="187"/>
      <c r="R86" s="177"/>
      <c r="S86" s="177"/>
      <c r="T86" s="186"/>
      <c r="U86" s="139"/>
      <c r="V86" s="154"/>
      <c r="W86" s="170"/>
      <c r="X86" s="405" t="str">
        <f t="shared" si="19"/>
        <v>Portsmouth</v>
      </c>
      <c r="Y86" s="406" t="e">
        <f t="shared" si="20"/>
        <v>#N/A</v>
      </c>
      <c r="Z86" s="406" t="e">
        <f t="shared" si="21"/>
        <v>#N/A</v>
      </c>
      <c r="AA86" s="223"/>
      <c r="AB86" s="224"/>
      <c r="AC86" s="224"/>
      <c r="AD86" s="226"/>
      <c r="AE86" s="217"/>
      <c r="AF86" s="217"/>
      <c r="AG86" s="217"/>
      <c r="AH86" s="217"/>
      <c r="AI86" s="232"/>
      <c r="AJ86" s="178"/>
    </row>
    <row r="87" spans="1:36" s="101" customFormat="1" ht="12.75" customHeight="1" x14ac:dyDescent="0.2">
      <c r="A87" s="138"/>
      <c r="B87" s="340"/>
      <c r="C87" s="340"/>
      <c r="D87" s="340"/>
      <c r="E87" s="340"/>
      <c r="F87" s="340"/>
      <c r="G87" s="340"/>
      <c r="H87" s="340"/>
      <c r="I87" s="115"/>
      <c r="J87" s="115"/>
      <c r="K87" s="186"/>
      <c r="L87" s="186"/>
      <c r="M87" s="186"/>
      <c r="N87" s="186"/>
      <c r="O87" s="186"/>
      <c r="P87" s="186"/>
      <c r="Q87" s="187"/>
      <c r="R87" s="177"/>
      <c r="S87" s="177"/>
      <c r="T87" s="186"/>
      <c r="U87" s="139"/>
      <c r="V87" s="154"/>
      <c r="W87" s="170"/>
      <c r="X87" s="405" t="str">
        <f t="shared" si="19"/>
        <v>Reading</v>
      </c>
      <c r="Y87" s="406" t="e">
        <f t="shared" si="20"/>
        <v>#N/A</v>
      </c>
      <c r="Z87" s="406" t="e">
        <f t="shared" si="21"/>
        <v>#N/A</v>
      </c>
      <c r="AA87" s="223"/>
      <c r="AB87" s="224"/>
      <c r="AC87" s="224"/>
      <c r="AD87" s="226"/>
      <c r="AE87" s="217"/>
      <c r="AF87" s="217"/>
      <c r="AG87" s="217"/>
      <c r="AH87" s="217"/>
      <c r="AI87" s="232"/>
      <c r="AJ87" s="178"/>
    </row>
    <row r="88" spans="1:36" s="101" customFormat="1" ht="12.75" customHeight="1" x14ac:dyDescent="0.2">
      <c r="A88" s="138"/>
      <c r="B88" s="340"/>
      <c r="C88" s="340"/>
      <c r="D88" s="340"/>
      <c r="E88" s="340"/>
      <c r="F88" s="340"/>
      <c r="G88" s="340"/>
      <c r="H88" s="340"/>
      <c r="I88" s="115"/>
      <c r="J88" s="115"/>
      <c r="K88" s="186"/>
      <c r="L88" s="186"/>
      <c r="M88" s="186"/>
      <c r="N88" s="186"/>
      <c r="O88" s="186"/>
      <c r="P88" s="186"/>
      <c r="Q88" s="187"/>
      <c r="R88" s="177"/>
      <c r="S88" s="177"/>
      <c r="T88" s="186"/>
      <c r="U88" s="139"/>
      <c r="V88" s="154"/>
      <c r="W88" s="170"/>
      <c r="X88" s="405" t="str">
        <f t="shared" si="19"/>
        <v>Slough</v>
      </c>
      <c r="Y88" s="406" t="e">
        <f t="shared" si="20"/>
        <v>#N/A</v>
      </c>
      <c r="Z88" s="406" t="e">
        <f t="shared" si="21"/>
        <v>#N/A</v>
      </c>
      <c r="AA88" s="223"/>
      <c r="AB88" s="224"/>
      <c r="AC88" s="224"/>
      <c r="AD88" s="226"/>
      <c r="AE88" s="217"/>
      <c r="AF88" s="217"/>
      <c r="AG88" s="217"/>
      <c r="AH88" s="217"/>
      <c r="AI88" s="232"/>
      <c r="AJ88" s="178"/>
    </row>
    <row r="89" spans="1:36" s="101" customFormat="1" ht="12.75" customHeight="1" x14ac:dyDescent="0.2">
      <c r="A89" s="138"/>
      <c r="B89" s="340"/>
      <c r="C89" s="340"/>
      <c r="D89" s="340"/>
      <c r="E89" s="340"/>
      <c r="F89" s="340"/>
      <c r="G89" s="340"/>
      <c r="H89" s="340"/>
      <c r="I89" s="115"/>
      <c r="J89" s="115"/>
      <c r="K89" s="186"/>
      <c r="L89" s="186"/>
      <c r="M89" s="186"/>
      <c r="N89" s="186"/>
      <c r="O89" s="186"/>
      <c r="P89" s="186"/>
      <c r="Q89" s="187"/>
      <c r="R89" s="177"/>
      <c r="S89" s="177"/>
      <c r="T89" s="186"/>
      <c r="U89" s="139"/>
      <c r="V89" s="154"/>
      <c r="W89" s="170"/>
      <c r="X89" s="405" t="str">
        <f t="shared" si="19"/>
        <v>Somerset</v>
      </c>
      <c r="Y89" s="406" t="e">
        <f t="shared" si="20"/>
        <v>#N/A</v>
      </c>
      <c r="Z89" s="406" t="e">
        <f t="shared" si="21"/>
        <v>#N/A</v>
      </c>
      <c r="AA89" s="223"/>
      <c r="AB89" s="224"/>
      <c r="AC89" s="224"/>
      <c r="AD89" s="226"/>
      <c r="AE89" s="217"/>
      <c r="AF89" s="217"/>
      <c r="AG89" s="217"/>
      <c r="AH89" s="217"/>
      <c r="AI89" s="232"/>
      <c r="AJ89" s="178"/>
    </row>
    <row r="90" spans="1:36" s="101" customFormat="1" ht="12.75" customHeight="1" x14ac:dyDescent="0.2">
      <c r="A90" s="138"/>
      <c r="B90" s="340"/>
      <c r="C90" s="340"/>
      <c r="D90" s="340"/>
      <c r="E90" s="340"/>
      <c r="F90" s="340"/>
      <c r="G90" s="340"/>
      <c r="H90" s="340"/>
      <c r="I90" s="115"/>
      <c r="J90" s="115"/>
      <c r="K90" s="186"/>
      <c r="L90" s="186"/>
      <c r="M90" s="186"/>
      <c r="N90" s="186"/>
      <c r="O90" s="186"/>
      <c r="P90" s="186"/>
      <c r="Q90" s="187"/>
      <c r="R90" s="177"/>
      <c r="S90" s="177"/>
      <c r="T90" s="186"/>
      <c r="U90" s="139"/>
      <c r="V90" s="154"/>
      <c r="W90" s="170"/>
      <c r="X90" s="405" t="str">
        <f t="shared" si="19"/>
        <v>Southampton</v>
      </c>
      <c r="Y90" s="406" t="e">
        <f t="shared" si="20"/>
        <v>#N/A</v>
      </c>
      <c r="Z90" s="406" t="e">
        <f t="shared" si="21"/>
        <v>#N/A</v>
      </c>
      <c r="AA90" s="223"/>
      <c r="AB90" s="224"/>
      <c r="AC90" s="224"/>
      <c r="AD90" s="226"/>
      <c r="AE90" s="217"/>
      <c r="AF90" s="217"/>
      <c r="AG90" s="217"/>
      <c r="AH90" s="217"/>
      <c r="AI90" s="232"/>
      <c r="AJ90" s="178"/>
    </row>
    <row r="91" spans="1:36" s="101" customFormat="1" ht="12.75" customHeight="1" x14ac:dyDescent="0.2">
      <c r="A91" s="324"/>
      <c r="B91" s="340"/>
      <c r="C91" s="340"/>
      <c r="D91" s="340"/>
      <c r="E91" s="340"/>
      <c r="F91" s="340"/>
      <c r="G91" s="340"/>
      <c r="H91" s="340"/>
      <c r="I91" s="115"/>
      <c r="J91" s="115"/>
      <c r="K91" s="186"/>
      <c r="L91" s="186"/>
      <c r="M91" s="186"/>
      <c r="N91" s="186"/>
      <c r="O91" s="186"/>
      <c r="P91" s="186"/>
      <c r="Q91" s="187"/>
      <c r="R91" s="177"/>
      <c r="S91" s="177"/>
      <c r="T91" s="186"/>
      <c r="U91" s="139"/>
      <c r="V91" s="154"/>
      <c r="W91" s="170"/>
      <c r="X91" s="405" t="str">
        <f t="shared" si="19"/>
        <v>Surrey</v>
      </c>
      <c r="Y91" s="406" t="e">
        <f t="shared" si="20"/>
        <v>#N/A</v>
      </c>
      <c r="Z91" s="406" t="e">
        <f t="shared" si="21"/>
        <v>#N/A</v>
      </c>
      <c r="AA91" s="223"/>
      <c r="AB91" s="224"/>
      <c r="AC91" s="224"/>
      <c r="AD91" s="226"/>
      <c r="AE91" s="217"/>
      <c r="AF91" s="217"/>
      <c r="AG91" s="217"/>
      <c r="AH91" s="217"/>
      <c r="AI91" s="232"/>
      <c r="AJ91" s="178"/>
    </row>
    <row r="92" spans="1:36" s="101" customFormat="1" ht="12.75" customHeight="1" x14ac:dyDescent="0.2">
      <c r="A92" s="324"/>
      <c r="B92" s="340"/>
      <c r="C92" s="340"/>
      <c r="D92" s="340"/>
      <c r="E92" s="340"/>
      <c r="F92" s="340"/>
      <c r="G92" s="340"/>
      <c r="H92" s="340"/>
      <c r="I92" s="115"/>
      <c r="J92" s="115"/>
      <c r="K92" s="186"/>
      <c r="L92" s="186"/>
      <c r="M92" s="186"/>
      <c r="N92" s="186"/>
      <c r="O92" s="186"/>
      <c r="P92" s="186"/>
      <c r="Q92" s="187"/>
      <c r="R92" s="177"/>
      <c r="S92" s="177"/>
      <c r="T92" s="186"/>
      <c r="U92" s="139"/>
      <c r="V92" s="154"/>
      <c r="W92" s="170"/>
      <c r="X92" s="405" t="str">
        <f t="shared" si="19"/>
        <v>Swindon</v>
      </c>
      <c r="Y92" s="406" t="e">
        <f t="shared" si="20"/>
        <v>#N/A</v>
      </c>
      <c r="Z92" s="406" t="e">
        <f t="shared" si="21"/>
        <v>#N/A</v>
      </c>
      <c r="AA92" s="223"/>
      <c r="AB92" s="224"/>
      <c r="AC92" s="224"/>
      <c r="AD92" s="226"/>
      <c r="AE92" s="217"/>
      <c r="AF92" s="217"/>
      <c r="AG92" s="217"/>
      <c r="AH92" s="217"/>
      <c r="AI92" s="232"/>
      <c r="AJ92" s="178"/>
    </row>
    <row r="93" spans="1:36" s="101" customFormat="1" ht="12.75" customHeight="1" x14ac:dyDescent="0.2">
      <c r="A93" s="138"/>
      <c r="B93" s="340"/>
      <c r="C93" s="340"/>
      <c r="D93" s="340"/>
      <c r="E93" s="340"/>
      <c r="F93" s="340"/>
      <c r="G93" s="340"/>
      <c r="H93" s="340"/>
      <c r="I93" s="115"/>
      <c r="J93" s="115"/>
      <c r="K93" s="186"/>
      <c r="L93" s="186"/>
      <c r="M93" s="186"/>
      <c r="N93" s="186"/>
      <c r="O93" s="186"/>
      <c r="P93" s="186"/>
      <c r="Q93" s="187"/>
      <c r="R93" s="177"/>
      <c r="S93" s="177"/>
      <c r="T93" s="186"/>
      <c r="U93" s="139"/>
      <c r="V93" s="154"/>
      <c r="W93" s="170"/>
      <c r="X93" s="405" t="str">
        <f t="shared" si="19"/>
        <v>Torbay</v>
      </c>
      <c r="Y93" s="406" t="e">
        <f t="shared" si="20"/>
        <v>#N/A</v>
      </c>
      <c r="Z93" s="406" t="e">
        <f t="shared" si="21"/>
        <v>#N/A</v>
      </c>
      <c r="AA93" s="223"/>
      <c r="AB93" s="224"/>
      <c r="AC93" s="224"/>
      <c r="AD93" s="226"/>
      <c r="AE93" s="232"/>
      <c r="AF93" s="217"/>
      <c r="AG93" s="217"/>
      <c r="AH93" s="217"/>
      <c r="AI93" s="232"/>
      <c r="AJ93" s="178"/>
    </row>
    <row r="94" spans="1:36" s="101" customFormat="1" ht="12.75" customHeight="1" x14ac:dyDescent="0.2">
      <c r="A94" s="138"/>
      <c r="B94" s="340"/>
      <c r="C94" s="340"/>
      <c r="D94" s="340"/>
      <c r="E94" s="340"/>
      <c r="F94" s="340"/>
      <c r="G94" s="340"/>
      <c r="H94" s="340"/>
      <c r="I94" s="115"/>
      <c r="J94" s="115"/>
      <c r="K94" s="186"/>
      <c r="L94" s="186"/>
      <c r="M94" s="186"/>
      <c r="N94" s="186"/>
      <c r="O94" s="186"/>
      <c r="P94" s="186"/>
      <c r="Q94" s="187"/>
      <c r="R94" s="177"/>
      <c r="S94" s="177"/>
      <c r="T94" s="186"/>
      <c r="U94" s="139"/>
      <c r="V94" s="154"/>
      <c r="W94" s="170"/>
      <c r="X94" s="405" t="str">
        <f t="shared" si="19"/>
        <v>West Berkshire</v>
      </c>
      <c r="Y94" s="406" t="e">
        <f t="shared" si="20"/>
        <v>#N/A</v>
      </c>
      <c r="Z94" s="406" t="e">
        <f t="shared" si="21"/>
        <v>#N/A</v>
      </c>
      <c r="AA94" s="223"/>
      <c r="AB94" s="224"/>
      <c r="AC94" s="224"/>
      <c r="AD94" s="226"/>
      <c r="AE94" s="232"/>
      <c r="AF94" s="217"/>
      <c r="AG94" s="217"/>
      <c r="AH94" s="217"/>
      <c r="AI94" s="232"/>
      <c r="AJ94" s="178"/>
    </row>
    <row r="95" spans="1:36" s="101" customFormat="1" ht="12.75" customHeight="1" x14ac:dyDescent="0.2">
      <c r="A95" s="138"/>
      <c r="B95" s="340"/>
      <c r="C95" s="340"/>
      <c r="D95" s="340"/>
      <c r="E95" s="340"/>
      <c r="F95" s="340"/>
      <c r="G95" s="340"/>
      <c r="H95" s="340"/>
      <c r="I95" s="115"/>
      <c r="J95" s="115"/>
      <c r="K95" s="186"/>
      <c r="L95" s="186"/>
      <c r="M95" s="186"/>
      <c r="N95" s="186"/>
      <c r="O95" s="186"/>
      <c r="P95" s="186"/>
      <c r="Q95" s="187"/>
      <c r="R95" s="177"/>
      <c r="S95" s="177"/>
      <c r="T95" s="186"/>
      <c r="U95" s="139"/>
      <c r="V95" s="154"/>
      <c r="W95" s="170"/>
      <c r="X95" s="405" t="str">
        <f t="shared" si="19"/>
        <v>West Sussex</v>
      </c>
      <c r="Y95" s="406" t="e">
        <f t="shared" si="20"/>
        <v>#N/A</v>
      </c>
      <c r="Z95" s="406" t="e">
        <f t="shared" si="21"/>
        <v>#N/A</v>
      </c>
      <c r="AA95" s="223"/>
      <c r="AB95" s="224"/>
      <c r="AC95" s="224"/>
      <c r="AD95" s="226"/>
      <c r="AE95" s="232"/>
      <c r="AF95" s="232"/>
      <c r="AG95" s="232"/>
      <c r="AH95" s="217"/>
      <c r="AI95" s="232"/>
      <c r="AJ95" s="178"/>
    </row>
    <row r="96" spans="1:36" s="101" customFormat="1" ht="12.75" customHeight="1" x14ac:dyDescent="0.2">
      <c r="A96" s="138"/>
      <c r="B96" s="340"/>
      <c r="C96" s="340"/>
      <c r="D96" s="340"/>
      <c r="E96" s="340"/>
      <c r="F96" s="340"/>
      <c r="G96" s="340"/>
      <c r="H96" s="340"/>
      <c r="I96" s="115"/>
      <c r="J96" s="115"/>
      <c r="K96" s="186"/>
      <c r="L96" s="186"/>
      <c r="M96" s="186"/>
      <c r="N96" s="186"/>
      <c r="O96" s="186"/>
      <c r="P96" s="186"/>
      <c r="Q96" s="187"/>
      <c r="R96" s="177"/>
      <c r="S96" s="177"/>
      <c r="T96" s="186"/>
      <c r="U96" s="139"/>
      <c r="V96" s="154"/>
      <c r="W96" s="170"/>
      <c r="X96" s="405" t="str">
        <f t="shared" si="19"/>
        <v>Windsor &amp; Maidenhead</v>
      </c>
      <c r="Y96" s="406" t="e">
        <f t="shared" si="20"/>
        <v>#N/A</v>
      </c>
      <c r="Z96" s="406" t="e">
        <f t="shared" si="21"/>
        <v>#N/A</v>
      </c>
      <c r="AA96" s="223"/>
      <c r="AB96" s="224"/>
      <c r="AC96" s="224"/>
      <c r="AD96" s="226"/>
      <c r="AE96" s="232"/>
      <c r="AF96" s="232"/>
      <c r="AG96" s="232"/>
      <c r="AH96" s="217"/>
      <c r="AI96" s="232"/>
      <c r="AJ96" s="178"/>
    </row>
    <row r="97" spans="1:45" s="101" customFormat="1" ht="12.75" customHeight="1" x14ac:dyDescent="0.2">
      <c r="A97" s="138"/>
      <c r="B97" s="340"/>
      <c r="C97" s="340"/>
      <c r="D97" s="340"/>
      <c r="E97" s="340"/>
      <c r="F97" s="340"/>
      <c r="G97" s="340"/>
      <c r="H97" s="340"/>
      <c r="I97" s="115"/>
      <c r="J97" s="115"/>
      <c r="K97" s="188"/>
      <c r="L97" s="188"/>
      <c r="M97" s="188"/>
      <c r="N97" s="188"/>
      <c r="O97" s="188"/>
      <c r="P97" s="188"/>
      <c r="Q97" s="189"/>
      <c r="R97" s="177"/>
      <c r="S97" s="177"/>
      <c r="T97" s="190"/>
      <c r="U97" s="139"/>
      <c r="V97" s="154"/>
      <c r="W97" s="170"/>
      <c r="X97" s="405" t="str">
        <f t="shared" si="19"/>
        <v>Wokingham</v>
      </c>
      <c r="Y97" s="406" t="e">
        <f t="shared" si="20"/>
        <v>#N/A</v>
      </c>
      <c r="Z97" s="406" t="e">
        <f t="shared" si="21"/>
        <v>#N/A</v>
      </c>
      <c r="AA97" s="223"/>
      <c r="AB97" s="224"/>
      <c r="AC97" s="224"/>
      <c r="AD97" s="226"/>
      <c r="AE97" s="232"/>
      <c r="AF97" s="232"/>
      <c r="AG97" s="232"/>
      <c r="AH97" s="217"/>
      <c r="AI97" s="232"/>
      <c r="AJ97" s="178"/>
    </row>
    <row r="98" spans="1:45" s="101" customFormat="1" ht="12.75" customHeight="1" x14ac:dyDescent="0.2">
      <c r="A98" s="138"/>
      <c r="B98" s="340"/>
      <c r="C98" s="340"/>
      <c r="D98" s="340"/>
      <c r="E98" s="340"/>
      <c r="F98" s="340"/>
      <c r="G98" s="340"/>
      <c r="H98" s="340"/>
      <c r="I98" s="115"/>
      <c r="J98" s="115"/>
      <c r="K98" s="188"/>
      <c r="L98" s="188"/>
      <c r="M98" s="188"/>
      <c r="N98" s="188"/>
      <c r="O98" s="188"/>
      <c r="P98" s="188"/>
      <c r="Q98" s="189"/>
      <c r="R98" s="177"/>
      <c r="S98" s="177"/>
      <c r="T98" s="190"/>
      <c r="U98" s="139"/>
      <c r="V98" s="154"/>
      <c r="W98" s="170"/>
      <c r="X98" s="405" t="str">
        <f>B31</f>
        <v>South East</v>
      </c>
      <c r="Y98" s="406" t="e">
        <f t="shared" si="20"/>
        <v>#N/A</v>
      </c>
      <c r="Z98" s="406" t="e">
        <f t="shared" si="21"/>
        <v>#N/A</v>
      </c>
      <c r="AA98" s="223"/>
      <c r="AB98" s="224"/>
      <c r="AC98" s="224"/>
      <c r="AD98" s="226"/>
      <c r="AE98" s="232"/>
      <c r="AF98" s="232"/>
      <c r="AG98" s="232"/>
      <c r="AH98" s="217"/>
      <c r="AI98" s="232"/>
      <c r="AJ98" s="178"/>
    </row>
    <row r="99" spans="1:45" s="101" customFormat="1" ht="11.25" customHeight="1" x14ac:dyDescent="0.2">
      <c r="A99" s="324"/>
      <c r="B99" s="340"/>
      <c r="C99" s="340"/>
      <c r="D99" s="340"/>
      <c r="E99" s="340"/>
      <c r="F99" s="340"/>
      <c r="G99" s="340"/>
      <c r="H99" s="340"/>
      <c r="I99" s="115"/>
      <c r="J99" s="115"/>
      <c r="K99" s="188"/>
      <c r="L99" s="188"/>
      <c r="M99" s="188"/>
      <c r="N99" s="188"/>
      <c r="O99" s="188"/>
      <c r="P99" s="188"/>
      <c r="Q99" s="189"/>
      <c r="R99" s="177"/>
      <c r="S99" s="177"/>
      <c r="T99" s="190"/>
      <c r="U99" s="139"/>
      <c r="V99" s="154"/>
      <c r="W99" s="170"/>
      <c r="X99" s="405" t="str">
        <f>B32</f>
        <v>England</v>
      </c>
      <c r="Y99" s="406" t="e">
        <f t="shared" si="20"/>
        <v>#N/A</v>
      </c>
      <c r="Z99" s="406" t="e">
        <f t="shared" si="21"/>
        <v>#N/A</v>
      </c>
      <c r="AA99" s="223"/>
      <c r="AB99" s="224"/>
      <c r="AC99" s="224"/>
      <c r="AD99" s="226"/>
      <c r="AE99" s="232"/>
      <c r="AF99" s="232"/>
      <c r="AG99" s="232"/>
      <c r="AH99" s="217"/>
      <c r="AI99" s="232"/>
      <c r="AJ99" s="178"/>
    </row>
    <row r="100" spans="1:45" s="88" customFormat="1" ht="38.25" customHeight="1" x14ac:dyDescent="0.2">
      <c r="A100" s="249"/>
      <c r="B100" s="340"/>
      <c r="C100" s="340"/>
      <c r="D100" s="340"/>
      <c r="E100" s="340"/>
      <c r="F100" s="340"/>
      <c r="G100" s="340"/>
      <c r="H100" s="340"/>
      <c r="I100" s="345"/>
      <c r="J100" s="192"/>
      <c r="K100" s="192"/>
      <c r="L100" s="192"/>
      <c r="M100" s="192"/>
      <c r="N100" s="192"/>
      <c r="O100" s="192"/>
      <c r="P100" s="192"/>
      <c r="Q100" s="151"/>
      <c r="R100" s="192"/>
      <c r="S100" s="192"/>
      <c r="T100" s="192"/>
      <c r="U100" s="134"/>
      <c r="V100" s="152"/>
      <c r="W100" s="168"/>
      <c r="AC100" s="224"/>
      <c r="AD100" s="226"/>
      <c r="AE100" s="210"/>
      <c r="AF100" s="210"/>
      <c r="AG100" s="210"/>
      <c r="AI100" s="210"/>
      <c r="AJ100" s="179"/>
    </row>
    <row r="101" spans="1:45" s="88" customFormat="1" ht="38.25" customHeight="1" x14ac:dyDescent="0.2">
      <c r="A101" s="249"/>
      <c r="B101" s="340"/>
      <c r="C101" s="340"/>
      <c r="D101" s="340"/>
      <c r="E101" s="340"/>
      <c r="F101" s="340"/>
      <c r="G101" s="340"/>
      <c r="H101" s="340"/>
      <c r="I101" s="345"/>
      <c r="J101" s="192"/>
      <c r="K101" s="192"/>
      <c r="L101" s="192"/>
      <c r="M101" s="192"/>
      <c r="N101" s="192"/>
      <c r="O101" s="192"/>
      <c r="P101" s="192"/>
      <c r="Q101" s="151"/>
      <c r="R101" s="192"/>
      <c r="S101" s="192"/>
      <c r="T101" s="192"/>
      <c r="U101" s="134"/>
      <c r="V101" s="152"/>
      <c r="W101" s="168"/>
      <c r="Y101" s="217"/>
      <c r="AD101" s="226"/>
      <c r="AE101" s="210"/>
      <c r="AF101" s="210"/>
      <c r="AG101" s="210"/>
      <c r="AI101" s="210"/>
      <c r="AJ101" s="179"/>
    </row>
    <row r="102" spans="1:45" s="88" customFormat="1" ht="38.25" customHeight="1" x14ac:dyDescent="0.2">
      <c r="A102" s="249"/>
      <c r="B102" s="345"/>
      <c r="C102" s="345"/>
      <c r="D102" s="345"/>
      <c r="E102" s="345"/>
      <c r="F102" s="345"/>
      <c r="G102" s="345"/>
      <c r="H102" s="345"/>
      <c r="I102" s="345"/>
      <c r="J102" s="192"/>
      <c r="K102" s="192"/>
      <c r="L102" s="192"/>
      <c r="M102" s="192"/>
      <c r="N102" s="192"/>
      <c r="O102" s="192"/>
      <c r="P102" s="192"/>
      <c r="Q102" s="151"/>
      <c r="R102" s="192"/>
      <c r="S102" s="192"/>
      <c r="T102" s="192"/>
      <c r="U102" s="134"/>
      <c r="V102" s="152"/>
      <c r="W102" s="168"/>
      <c r="Y102" s="217"/>
      <c r="AD102" s="226"/>
      <c r="AE102" s="210"/>
      <c r="AF102" s="210"/>
      <c r="AG102" s="210"/>
      <c r="AI102" s="210"/>
      <c r="AJ102" s="179"/>
    </row>
    <row r="103" spans="1:45" s="88" customFormat="1" ht="7.5" customHeight="1" x14ac:dyDescent="0.2">
      <c r="A103" s="135"/>
      <c r="B103" s="18"/>
      <c r="C103" s="18"/>
      <c r="D103" s="17"/>
      <c r="E103" s="17"/>
      <c r="F103" s="17"/>
      <c r="G103" s="17"/>
      <c r="H103" s="17"/>
      <c r="I103" s="17"/>
      <c r="J103" s="13"/>
      <c r="K103" s="19"/>
      <c r="L103" s="19"/>
      <c r="M103" s="19"/>
      <c r="N103" s="19"/>
      <c r="O103" s="19"/>
      <c r="P103" s="19"/>
      <c r="Q103" s="19"/>
      <c r="R103" s="19"/>
      <c r="S103" s="19"/>
      <c r="T103" s="20"/>
      <c r="U103" s="134"/>
      <c r="V103" s="152"/>
      <c r="W103" s="168"/>
      <c r="Y103" s="217"/>
      <c r="AI103" s="210"/>
      <c r="AJ103" s="175"/>
      <c r="AK103" s="80"/>
      <c r="AL103" s="80"/>
      <c r="AM103" s="80"/>
      <c r="AN103" s="80"/>
      <c r="AO103" s="80"/>
      <c r="AP103" s="80"/>
      <c r="AQ103" s="80"/>
    </row>
    <row r="104" spans="1:45" s="88" customFormat="1" ht="15" customHeight="1" x14ac:dyDescent="0.2">
      <c r="A104" s="1010"/>
      <c r="B104" s="1018"/>
      <c r="C104" s="1018"/>
      <c r="D104" s="1018"/>
      <c r="E104" s="1018"/>
      <c r="F104" s="1018"/>
      <c r="G104" s="1018"/>
      <c r="H104" s="1018"/>
      <c r="I104" s="1018"/>
      <c r="J104" s="1018"/>
      <c r="K104" s="1018"/>
      <c r="L104" s="1018"/>
      <c r="M104" s="1018"/>
      <c r="N104" s="1018"/>
      <c r="O104" s="1018"/>
      <c r="P104" s="1018"/>
      <c r="Q104" s="1018"/>
      <c r="R104" s="1018"/>
      <c r="S104" s="1018"/>
      <c r="T104" s="1018"/>
      <c r="U104" s="1019"/>
      <c r="V104" s="152"/>
      <c r="W104" s="168"/>
      <c r="X104" s="215"/>
      <c r="Y104" s="215"/>
      <c r="AJ104" s="179"/>
      <c r="AS104" s="80"/>
    </row>
    <row r="105" spans="1:45" s="88" customFormat="1" ht="11.25" customHeight="1" x14ac:dyDescent="0.2">
      <c r="A105" s="1020" t="str">
        <f>Home!$A$35</f>
        <v>LA's provide quarterly data on the condition that it is used by the benchmarking group for internal reporting only. Please DO NOT share other LA's data with any external partners or the public</v>
      </c>
      <c r="B105" s="1021"/>
      <c r="C105" s="1021"/>
      <c r="D105" s="1021"/>
      <c r="E105" s="1021"/>
      <c r="F105" s="1021"/>
      <c r="G105" s="1021"/>
      <c r="H105" s="1021"/>
      <c r="I105" s="1022"/>
      <c r="J105" s="1021"/>
      <c r="K105" s="1021"/>
      <c r="L105" s="1021"/>
      <c r="M105" s="1021"/>
      <c r="N105" s="1021"/>
      <c r="O105" s="1021"/>
      <c r="P105" s="1021"/>
      <c r="Q105" s="1021"/>
      <c r="R105" s="1021"/>
      <c r="S105" s="1022"/>
      <c r="T105" s="1021"/>
      <c r="U105" s="1023"/>
      <c r="V105" s="152"/>
      <c r="W105" s="168"/>
      <c r="X105" s="215"/>
      <c r="Y105" s="215"/>
      <c r="AI105" s="210"/>
      <c r="AJ105" s="178"/>
      <c r="AK105" s="101"/>
      <c r="AS105" s="80"/>
    </row>
    <row r="106" spans="1:45" ht="11.25" customHeight="1" x14ac:dyDescent="0.2">
      <c r="A106" s="129"/>
      <c r="B106" s="130"/>
      <c r="C106" s="130"/>
      <c r="D106" s="130"/>
      <c r="E106" s="130"/>
      <c r="F106" s="130"/>
      <c r="G106" s="130"/>
      <c r="H106" s="130"/>
      <c r="I106" s="130"/>
      <c r="J106" s="131"/>
      <c r="K106" s="130"/>
      <c r="L106" s="130"/>
      <c r="M106" s="130"/>
      <c r="N106" s="130"/>
      <c r="O106" s="130"/>
      <c r="P106" s="130"/>
      <c r="Q106" s="130"/>
      <c r="R106" s="130"/>
      <c r="S106" s="130"/>
      <c r="T106" s="130"/>
      <c r="U106" s="132"/>
      <c r="V106" s="152"/>
      <c r="W106" s="168"/>
      <c r="X106" s="225" t="s">
        <v>86</v>
      </c>
      <c r="Y106" s="223"/>
      <c r="Z106" s="215"/>
      <c r="AI106" s="210"/>
      <c r="AJ106" s="175"/>
    </row>
    <row r="107" spans="1:45" s="82" customFormat="1" ht="15" customHeight="1" x14ac:dyDescent="0.2">
      <c r="A107" s="136"/>
      <c r="B107" s="60" t="s">
        <v>28</v>
      </c>
      <c r="C107" s="340"/>
      <c r="D107" s="340"/>
      <c r="E107" s="340"/>
      <c r="F107" s="340"/>
      <c r="G107" s="340"/>
      <c r="H107" s="340"/>
      <c r="I107" s="340"/>
      <c r="J107" s="70"/>
      <c r="K107" s="70"/>
      <c r="L107" s="70"/>
      <c r="M107" s="70"/>
      <c r="N107" s="339"/>
      <c r="O107" s="70"/>
      <c r="P107" s="70"/>
      <c r="Q107" s="70"/>
      <c r="R107" s="70"/>
      <c r="S107" s="70"/>
      <c r="T107" s="70"/>
      <c r="U107" s="137"/>
      <c r="V107" s="153"/>
      <c r="W107" s="169"/>
      <c r="X107" s="219"/>
      <c r="Y107" s="44">
        <f t="shared" ref="Y107:AB107" si="22">D109</f>
        <v>2014</v>
      </c>
      <c r="Z107" s="44">
        <f t="shared" si="22"/>
        <v>2015</v>
      </c>
      <c r="AA107" s="44">
        <f t="shared" si="22"/>
        <v>2016</v>
      </c>
      <c r="AB107" s="44">
        <f t="shared" si="22"/>
        <v>2017</v>
      </c>
      <c r="AC107" s="44">
        <f>H109</f>
        <v>2018</v>
      </c>
      <c r="AD107" s="215"/>
      <c r="AE107" s="215"/>
      <c r="AF107" s="215"/>
      <c r="AG107" s="215"/>
      <c r="AH107" s="215"/>
      <c r="AI107" s="215"/>
      <c r="AJ107" s="176"/>
    </row>
    <row r="108" spans="1:45" ht="15" customHeight="1" x14ac:dyDescent="0.2">
      <c r="A108" s="135"/>
      <c r="B108" s="707" t="s">
        <v>810</v>
      </c>
      <c r="C108" s="340"/>
      <c r="D108" s="340"/>
      <c r="E108" s="340"/>
      <c r="F108" s="340"/>
      <c r="G108" s="340"/>
      <c r="H108" s="340"/>
      <c r="I108" s="340"/>
      <c r="J108" s="70"/>
      <c r="K108" s="70"/>
      <c r="L108" s="70"/>
      <c r="M108" s="70"/>
      <c r="N108" s="339"/>
      <c r="O108" s="70"/>
      <c r="P108" s="70"/>
      <c r="Q108" s="10"/>
      <c r="R108" s="70"/>
      <c r="S108" s="70"/>
      <c r="T108" s="70"/>
      <c r="U108" s="134"/>
      <c r="V108" s="152"/>
      <c r="W108" s="168"/>
      <c r="X108" s="48" t="str">
        <f t="shared" ref="X108:X131" si="23">B9</f>
        <v>Bracknell Forest</v>
      </c>
      <c r="Y108" s="42">
        <f>IF(Year1_Bracknell_Forest Year1_ReferralsAssessment="","",Year1_Bracknell_Forest Year1_ReferralsAssessment)</f>
        <v>951</v>
      </c>
      <c r="Z108" s="42">
        <f>IF(Year2_Bracknell_Forest Year2_ReferralsAssessment="","",Year2_Bracknell_Forest Year2_ReferralsAssessment)</f>
        <v>947</v>
      </c>
      <c r="AA108" s="42">
        <f>IF(Year3_Bracknell_Forest Year3_ReferralsAssessment="","",Year3_Bracknell_Forest Year3_ReferralsAssessment)</f>
        <v>1080</v>
      </c>
      <c r="AB108" s="42">
        <f>IF(Year4_Bracknell_Forest Year4_ReferralsAssessment="","",Year4_Bracknell_Forest Year4_ReferralsAssessment)</f>
        <v>1440</v>
      </c>
      <c r="AC108" s="42">
        <f>IF(Year5_Bracknell_Forest Year5_ReferralsAssessment="","",Year5_Bracknell_Forest Year5_ReferralsAssessment)</f>
        <v>1688</v>
      </c>
      <c r="AI108" s="210"/>
      <c r="AJ108" s="175"/>
    </row>
    <row r="109" spans="1:45" s="101" customFormat="1" ht="27" customHeight="1" x14ac:dyDescent="0.2">
      <c r="A109" s="138"/>
      <c r="B109" s="540" t="s">
        <v>215</v>
      </c>
      <c r="C109" s="97"/>
      <c r="D109" s="393">
        <f>D8</f>
        <v>2014</v>
      </c>
      <c r="E109" s="393">
        <f>E8</f>
        <v>2015</v>
      </c>
      <c r="F109" s="393">
        <f>F8</f>
        <v>2016</v>
      </c>
      <c r="G109" s="393">
        <f>G8</f>
        <v>2017</v>
      </c>
      <c r="H109" s="394">
        <f>H8</f>
        <v>2018</v>
      </c>
      <c r="I109" s="115"/>
      <c r="J109" s="115"/>
      <c r="K109" s="62"/>
      <c r="L109" s="62"/>
      <c r="M109" s="62"/>
      <c r="N109" s="62"/>
      <c r="O109" s="62"/>
      <c r="P109" s="343"/>
      <c r="Q109" s="343"/>
      <c r="R109" s="177"/>
      <c r="S109" s="177"/>
      <c r="T109" s="344"/>
      <c r="U109" s="139"/>
      <c r="V109" s="154"/>
      <c r="W109" s="170"/>
      <c r="X109" s="48" t="str">
        <f t="shared" si="23"/>
        <v>Brighton &amp; Hove</v>
      </c>
      <c r="Y109" s="42">
        <f>IF(Year1_Brighton_Hove Year1_ReferralsAssessment="","",Year1_Brighton_Hove Year1_ReferralsAssessment)</f>
        <v>2732</v>
      </c>
      <c r="Z109" s="42">
        <f>IF(Year2_Brighton_Hove Year2_ReferralsAssessment="","",Year2_Brighton_Hove Year2_ReferralsAssessment)</f>
        <v>3567</v>
      </c>
      <c r="AA109" s="42">
        <f>IF(Year3_Brighton_Hove Year3_ReferralsAssessment="","",Year3_Brighton_Hove Year3_ReferralsAssessment)</f>
        <v>3099</v>
      </c>
      <c r="AB109" s="42">
        <f>IF(Year4_Brighton_Hove Year4_ReferralsAssessment="","",Year4_Brighton_Hove Year4_ReferralsAssessment)</f>
        <v>3073</v>
      </c>
      <c r="AC109" s="42">
        <f>IF(Year5_Brighton_Hove Year5_ReferralsAssessment="","",Year5_Brighton_Hove Year5_ReferralsAssessment)</f>
        <v>3039</v>
      </c>
      <c r="AD109" s="226"/>
      <c r="AE109" s="217"/>
      <c r="AF109" s="217"/>
      <c r="AG109" s="217"/>
      <c r="AH109" s="217"/>
      <c r="AI109" s="232"/>
      <c r="AJ109" s="178"/>
    </row>
    <row r="110" spans="1:45" s="101" customFormat="1" ht="12.75" customHeight="1" x14ac:dyDescent="0.2">
      <c r="A110" s="533">
        <f>VLOOKUP(B110,Sheet1!$B$4:$C$25,2,FALSE)</f>
        <v>0</v>
      </c>
      <c r="B110" s="112" t="str">
        <f t="shared" ref="B110:B133" si="24">B9</f>
        <v>Bracknell Forest</v>
      </c>
      <c r="C110" s="97"/>
      <c r="D110" s="182">
        <f t="shared" ref="D110:D133" si="25">IF(ISNUMBER(Y108),Y108/D9,NA())</f>
        <v>0.83714788732394363</v>
      </c>
      <c r="E110" s="182">
        <f t="shared" ref="E110:E133" si="26">IF(ISNUMBER(Z108),Z108/E9,NA())</f>
        <v>0.89339622641509431</v>
      </c>
      <c r="F110" s="182">
        <f t="shared" ref="F110:F133" si="27">IF(ISNUMBER(AA108),AA108/F9,NA())</f>
        <v>0.82695252679938747</v>
      </c>
      <c r="G110" s="182">
        <f t="shared" ref="G110:G133" si="28">IF(ISNUMBER(AB108),AB108/G9,NA())</f>
        <v>0.87591240875912413</v>
      </c>
      <c r="H110" s="184">
        <f t="shared" ref="H110:H133" si="29">IF(ISNUMBER(AC108),AC108/H9,NA())</f>
        <v>0.9279824079164376</v>
      </c>
      <c r="I110" s="115"/>
      <c r="J110" s="115"/>
      <c r="K110" s="186"/>
      <c r="L110" s="186"/>
      <c r="M110" s="186"/>
      <c r="N110" s="186"/>
      <c r="O110" s="186"/>
      <c r="P110" s="186"/>
      <c r="Q110" s="187"/>
      <c r="R110" s="177"/>
      <c r="S110" s="177"/>
      <c r="T110" s="186"/>
      <c r="U110" s="139"/>
      <c r="V110" s="154"/>
      <c r="W110" s="170"/>
      <c r="X110" s="48" t="str">
        <f t="shared" si="23"/>
        <v>Buckinghamshire</v>
      </c>
      <c r="Y110" s="42">
        <f>IF(Year1_Buckinghamshire Year1_ReferralsAssessment="","",Year1_Buckinghamshire Year1_ReferralsAssessment)</f>
        <v>4071</v>
      </c>
      <c r="Z110" s="42">
        <f>IF(Year2_Buckinghamshire Year2_ReferralsAssessment="","",Year2_Buckinghamshire Year2_ReferralsAssessment)</f>
        <v>4997</v>
      </c>
      <c r="AA110" s="42">
        <f>IF(Year3_Buckinghamshire Year3_ReferralsAssessment="","",Year3_Buckinghamshire Year3_ReferralsAssessment)</f>
        <v>5824</v>
      </c>
      <c r="AB110" s="42">
        <f>IF(Year4_Buckinghamshire Year4_ReferralsAssessment="","",Year4_Buckinghamshire Year4_ReferralsAssessment)</f>
        <v>8257</v>
      </c>
      <c r="AC110" s="42">
        <f>IF(Year5_Buckinghamshire Year5_ReferralsAssessment="","",Year5_Buckinghamshire Year5_ReferralsAssessment)</f>
        <v>7660</v>
      </c>
      <c r="AD110" s="226"/>
      <c r="AE110" s="217"/>
      <c r="AF110" s="217"/>
      <c r="AG110" s="217"/>
      <c r="AH110" s="217"/>
      <c r="AI110" s="232"/>
      <c r="AJ110" s="178"/>
    </row>
    <row r="111" spans="1:45" s="101" customFormat="1" ht="12.75" customHeight="1" x14ac:dyDescent="0.2">
      <c r="A111" s="533">
        <f>VLOOKUP(B111,Sheet1!$B$4:$C$25,2,FALSE)</f>
        <v>0</v>
      </c>
      <c r="B111" s="112" t="str">
        <f t="shared" si="24"/>
        <v>Brighton &amp; Hove</v>
      </c>
      <c r="C111" s="97"/>
      <c r="D111" s="182">
        <f t="shared" si="25"/>
        <v>0.64555765595463133</v>
      </c>
      <c r="E111" s="182">
        <f t="shared" si="26"/>
        <v>0.48816203640344874</v>
      </c>
      <c r="F111" s="182">
        <f t="shared" si="27"/>
        <v>0.90455341506129594</v>
      </c>
      <c r="G111" s="182">
        <f t="shared" si="28"/>
        <v>0.90249632892804699</v>
      </c>
      <c r="H111" s="184">
        <f t="shared" si="29"/>
        <v>0.9087918660287081</v>
      </c>
      <c r="I111" s="115"/>
      <c r="J111" s="115"/>
      <c r="K111" s="186"/>
      <c r="L111" s="186"/>
      <c r="M111" s="186"/>
      <c r="N111" s="186"/>
      <c r="O111" s="186"/>
      <c r="P111" s="186"/>
      <c r="Q111" s="187"/>
      <c r="R111" s="177"/>
      <c r="S111" s="177"/>
      <c r="T111" s="186"/>
      <c r="U111" s="139"/>
      <c r="V111" s="154"/>
      <c r="W111" s="170"/>
      <c r="X111" s="48" t="str">
        <f t="shared" si="23"/>
        <v>East Sussex</v>
      </c>
      <c r="Y111" s="42">
        <f>IF(Year1_East_Sussex Year1_ReferralsAssessment="","",Year1_East_Sussex Year1_ReferralsAssessment)</f>
        <v>6243</v>
      </c>
      <c r="Z111" s="42">
        <f>IF(Year2_East_Sussex Year2_ReferralsAssessment="","",Year2_East_Sussex Year2_ReferralsAssessment)</f>
        <v>3761</v>
      </c>
      <c r="AA111" s="42">
        <f>IF(Year3_East_Sussex Year3_ReferralsAssessment="","",Year3_East_Sussex Year3_ReferralsAssessment)</f>
        <v>3117</v>
      </c>
      <c r="AB111" s="42">
        <f>IF(Year4_East_Sussex Year4_ReferralsAssessment="","",Year4_East_Sussex Year4_ReferralsAssessment)</f>
        <v>3608</v>
      </c>
      <c r="AC111" s="42">
        <f>IF(Year5_East_Sussex Year5_ReferralsAssessment="","",Year5_East_Sussex Year5_ReferralsAssessment)</f>
        <v>4286</v>
      </c>
      <c r="AD111" s="226"/>
      <c r="AE111" s="217"/>
      <c r="AF111" s="217"/>
      <c r="AG111" s="217"/>
      <c r="AH111" s="217"/>
      <c r="AI111" s="232"/>
      <c r="AJ111" s="178"/>
    </row>
    <row r="112" spans="1:45" s="101" customFormat="1" ht="12.75" customHeight="1" x14ac:dyDescent="0.2">
      <c r="A112" s="533">
        <f>VLOOKUP(B112,Sheet1!$B$4:$C$25,2,FALSE)</f>
        <v>0</v>
      </c>
      <c r="B112" s="112" t="str">
        <f t="shared" si="24"/>
        <v>Buckinghamshire</v>
      </c>
      <c r="C112" s="97"/>
      <c r="D112" s="182">
        <f t="shared" si="25"/>
        <v>0.55637556375563757</v>
      </c>
      <c r="E112" s="182">
        <f t="shared" si="26"/>
        <v>0.97426398908169232</v>
      </c>
      <c r="F112" s="182">
        <f t="shared" si="27"/>
        <v>0.83702213279678073</v>
      </c>
      <c r="G112" s="182">
        <f t="shared" si="28"/>
        <v>0.89710995219469791</v>
      </c>
      <c r="H112" s="184">
        <f t="shared" si="29"/>
        <v>0.74102737738221924</v>
      </c>
      <c r="I112" s="115"/>
      <c r="J112" s="115"/>
      <c r="K112" s="186"/>
      <c r="L112" s="186"/>
      <c r="M112" s="186"/>
      <c r="N112" s="186"/>
      <c r="O112" s="186"/>
      <c r="P112" s="186"/>
      <c r="Q112" s="187"/>
      <c r="R112" s="177"/>
      <c r="S112" s="177"/>
      <c r="T112" s="186"/>
      <c r="U112" s="139"/>
      <c r="V112" s="154"/>
      <c r="W112" s="170"/>
      <c r="X112" s="48" t="str">
        <f t="shared" si="23"/>
        <v>Hampshire</v>
      </c>
      <c r="Y112" s="42">
        <f>IF(Year1_Hampshire Year1_ReferralsAssessment="","",Year1_Hampshire Year1_ReferralsAssessment)</f>
        <v>14741</v>
      </c>
      <c r="Z112" s="42">
        <f>IF(Year2_Hampshire Year2_ReferralsAssessment="","",Year2_Hampshire Year2_ReferralsAssessment)</f>
        <v>15019</v>
      </c>
      <c r="AA112" s="42">
        <f>IF(Year3_Hampshire Year3_ReferralsAssessment="","",Year3_Hampshire Year3_ReferralsAssessment)</f>
        <v>14993</v>
      </c>
      <c r="AB112" s="42">
        <f>IF(Year4_Hampshire Year4_ReferralsAssessment="","",Year4_Hampshire Year4_ReferralsAssessment)</f>
        <v>16051</v>
      </c>
      <c r="AC112" s="42">
        <f>IF(Year5_Hampshire Year5_ReferralsAssessment="","",Year5_Hampshire Year5_ReferralsAssessment)</f>
        <v>13472</v>
      </c>
      <c r="AD112" s="226"/>
      <c r="AE112" s="217"/>
      <c r="AF112" s="217"/>
      <c r="AG112" s="217"/>
      <c r="AH112" s="217"/>
      <c r="AI112" s="232"/>
      <c r="AJ112" s="178"/>
    </row>
    <row r="113" spans="1:44" s="101" customFormat="1" ht="12.75" customHeight="1" x14ac:dyDescent="0.2">
      <c r="A113" s="533">
        <f>VLOOKUP(B113,Sheet1!$B$4:$C$25,2,FALSE)</f>
        <v>0</v>
      </c>
      <c r="B113" s="112" t="str">
        <f t="shared" si="24"/>
        <v>East Sussex</v>
      </c>
      <c r="C113" s="97"/>
      <c r="D113" s="182">
        <f t="shared" si="25"/>
        <v>0.84024226110363387</v>
      </c>
      <c r="E113" s="182">
        <f t="shared" si="26"/>
        <v>0.94260651629072678</v>
      </c>
      <c r="F113" s="182">
        <f t="shared" si="27"/>
        <v>0.97467166979362097</v>
      </c>
      <c r="G113" s="182">
        <f t="shared" si="28"/>
        <v>0.98150163220892273</v>
      </c>
      <c r="H113" s="184">
        <f t="shared" si="29"/>
        <v>0.9814517975727044</v>
      </c>
      <c r="I113" s="115"/>
      <c r="J113" s="115"/>
      <c r="K113" s="186"/>
      <c r="L113" s="186"/>
      <c r="M113" s="186"/>
      <c r="N113" s="186"/>
      <c r="O113" s="186"/>
      <c r="P113" s="186"/>
      <c r="Q113" s="187"/>
      <c r="R113" s="177"/>
      <c r="S113" s="177"/>
      <c r="T113" s="186"/>
      <c r="U113" s="139"/>
      <c r="V113" s="154"/>
      <c r="W113" s="170"/>
      <c r="X113" s="48" t="str">
        <f t="shared" si="23"/>
        <v>Isle of Wight</v>
      </c>
      <c r="Y113" s="42">
        <f>IF(Year1_Isle_of_Wight Year1_ReferralsAssessment="","",Year1_Isle_of_Wight Year1_ReferralsAssessment)</f>
        <v>1776</v>
      </c>
      <c r="Z113" s="42">
        <f>IF(Year2_Isle_of_Wight Year2_ReferralsAssessment="","",Year2_Isle_of_Wight Year2_ReferralsAssessment)</f>
        <v>2042</v>
      </c>
      <c r="AA113" s="42">
        <f>IF(Year3_Isle_of_Wight Year3_ReferralsAssessment="","",Year3_Isle_of_Wight Year3_ReferralsAssessment)</f>
        <v>2133</v>
      </c>
      <c r="AB113" s="42">
        <f>IF(Year4_Isle_of_Wight Year4_ReferralsAssessment="","",Year4_Isle_of_Wight Year4_ReferralsAssessment)</f>
        <v>2189</v>
      </c>
      <c r="AC113" s="42">
        <f>IF(Year5_Isle_of_Wight Year5_ReferralsAssessment="","",Year5_Isle_of_Wight Year5_ReferralsAssessment)</f>
        <v>1783</v>
      </c>
      <c r="AD113" s="226"/>
      <c r="AE113" s="217"/>
      <c r="AF113" s="217"/>
      <c r="AG113" s="217"/>
      <c r="AH113" s="217"/>
      <c r="AI113" s="232"/>
      <c r="AJ113" s="178"/>
    </row>
    <row r="114" spans="1:44" s="101" customFormat="1" ht="12.75" customHeight="1" x14ac:dyDescent="0.2">
      <c r="A114" s="533">
        <f>VLOOKUP(B114,Sheet1!$B$4:$C$25,2,FALSE)</f>
        <v>0</v>
      </c>
      <c r="B114" s="112" t="str">
        <f t="shared" si="24"/>
        <v>Hampshire</v>
      </c>
      <c r="C114" s="97"/>
      <c r="D114" s="182">
        <f t="shared" si="25"/>
        <v>0.9092647421662966</v>
      </c>
      <c r="E114" s="182">
        <f t="shared" si="26"/>
        <v>0.89671025135829008</v>
      </c>
      <c r="F114" s="182">
        <f t="shared" si="27"/>
        <v>0.89961598463938552</v>
      </c>
      <c r="G114" s="182">
        <f t="shared" si="28"/>
        <v>0.82588114226910214</v>
      </c>
      <c r="H114" s="184">
        <f t="shared" si="29"/>
        <v>0.83599131244182434</v>
      </c>
      <c r="I114" s="115"/>
      <c r="J114" s="115"/>
      <c r="K114" s="186"/>
      <c r="L114" s="186"/>
      <c r="M114" s="186"/>
      <c r="N114" s="186"/>
      <c r="O114" s="186"/>
      <c r="P114" s="186"/>
      <c r="Q114" s="187"/>
      <c r="R114" s="177"/>
      <c r="S114" s="177"/>
      <c r="T114" s="186"/>
      <c r="U114" s="139"/>
      <c r="V114" s="154"/>
      <c r="W114" s="170"/>
      <c r="X114" s="48" t="str">
        <f t="shared" si="23"/>
        <v>Kent</v>
      </c>
      <c r="Y114" s="42">
        <f>IF(Year1_Kent Year1_ReferralsAssessment="","",Year1_Kent Year1_ReferralsAssessment)</f>
        <v>13222</v>
      </c>
      <c r="Z114" s="42">
        <f>IF(Year2_Kent Year2_ReferralsAssessment="","",Year2_Kent Year2_ReferralsAssessment)</f>
        <v>11922</v>
      </c>
      <c r="AA114" s="42">
        <f>IF(Year3_Kent Year3_ReferralsAssessment="","",Year3_Kent Year3_ReferralsAssessment)</f>
        <v>15235</v>
      </c>
      <c r="AB114" s="42">
        <f>IF(Year4_Kent Year4_ReferralsAssessment="","",Year4_Kent Year4_ReferralsAssessment)</f>
        <v>15720</v>
      </c>
      <c r="AC114" s="42">
        <f>IF(Year5_Kent Year5_ReferralsAssessment="","",Year5_Kent Year5_ReferralsAssessment)</f>
        <v>19225</v>
      </c>
      <c r="AD114" s="226"/>
      <c r="AE114" s="217"/>
      <c r="AF114" s="217"/>
      <c r="AG114" s="217"/>
      <c r="AH114" s="217"/>
      <c r="AI114" s="232"/>
      <c r="AJ114" s="178"/>
    </row>
    <row r="115" spans="1:44" s="101" customFormat="1" ht="12.75" customHeight="1" x14ac:dyDescent="0.2">
      <c r="A115" s="533">
        <f>VLOOKUP(B115,Sheet1!$B$4:$C$25,2,FALSE)</f>
        <v>0</v>
      </c>
      <c r="B115" s="112" t="str">
        <f t="shared" si="24"/>
        <v>Isle of Wight</v>
      </c>
      <c r="C115" s="97"/>
      <c r="D115" s="182">
        <f t="shared" si="25"/>
        <v>0.80325644504748983</v>
      </c>
      <c r="E115" s="182">
        <f t="shared" si="26"/>
        <v>0.85978947368421055</v>
      </c>
      <c r="F115" s="182">
        <f t="shared" si="27"/>
        <v>0.89284219338635418</v>
      </c>
      <c r="G115" s="182">
        <f t="shared" si="28"/>
        <v>0.83773440489858397</v>
      </c>
      <c r="H115" s="184">
        <f t="shared" si="29"/>
        <v>0.80605786618444841</v>
      </c>
      <c r="I115" s="115"/>
      <c r="J115" s="115"/>
      <c r="K115" s="186"/>
      <c r="L115" s="186"/>
      <c r="M115" s="186"/>
      <c r="N115" s="186"/>
      <c r="O115" s="186"/>
      <c r="P115" s="186"/>
      <c r="Q115" s="187"/>
      <c r="R115" s="177"/>
      <c r="S115" s="177"/>
      <c r="T115" s="186"/>
      <c r="U115" s="139"/>
      <c r="V115" s="154"/>
      <c r="W115" s="170"/>
      <c r="X115" s="48" t="str">
        <f t="shared" si="23"/>
        <v>Medway</v>
      </c>
      <c r="Y115" s="42">
        <f>IF(Year1_Medway Year1_ReferralsAssessment="","",Year1_Medway Year1_ReferralsAssessment)</f>
        <v>3743</v>
      </c>
      <c r="Z115" s="42">
        <f>IF(Year2_Medway Year2_ReferralsAssessment="","",Year2_Medway Year2_ReferralsAssessment)</f>
        <v>2935</v>
      </c>
      <c r="AA115" s="42">
        <f>IF(Year3_Medway Year3_ReferralsAssessment="","",Year3_Medway Year3_ReferralsAssessment)</f>
        <v>2964</v>
      </c>
      <c r="AB115" s="42">
        <f>IF(Year4_Medway Year4_ReferralsAssessment="","",Year4_Medway Year4_ReferralsAssessment)</f>
        <v>2503</v>
      </c>
      <c r="AC115" s="42">
        <f>IF(Year5_Medway Year5_ReferralsAssessment="","",Year5_Medway Year5_ReferralsAssessment)</f>
        <v>2417</v>
      </c>
      <c r="AD115" s="226"/>
      <c r="AE115" s="217"/>
      <c r="AF115" s="217"/>
      <c r="AG115" s="217"/>
      <c r="AH115" s="217"/>
      <c r="AI115" s="232"/>
      <c r="AJ115" s="178"/>
      <c r="AR115" s="101" t="s">
        <v>104</v>
      </c>
    </row>
    <row r="116" spans="1:44" s="101" customFormat="1" ht="12.75" customHeight="1" x14ac:dyDescent="0.2">
      <c r="A116" s="533">
        <f>VLOOKUP(B116,Sheet1!$B$4:$C$25,2,FALSE)</f>
        <v>0</v>
      </c>
      <c r="B116" s="112" t="str">
        <f t="shared" si="24"/>
        <v>Kent</v>
      </c>
      <c r="C116" s="97"/>
      <c r="D116" s="182">
        <f t="shared" si="25"/>
        <v>0.689939469839282</v>
      </c>
      <c r="E116" s="182">
        <f t="shared" si="26"/>
        <v>0.72127775425010587</v>
      </c>
      <c r="F116" s="182">
        <f t="shared" si="27"/>
        <v>0.99302568113674883</v>
      </c>
      <c r="G116" s="182">
        <f t="shared" si="28"/>
        <v>0.99462195507750717</v>
      </c>
      <c r="H116" s="184">
        <f t="shared" si="29"/>
        <v>0.99236050172921075</v>
      </c>
      <c r="I116" s="115"/>
      <c r="J116" s="115"/>
      <c r="K116" s="186"/>
      <c r="L116" s="186"/>
      <c r="M116" s="186"/>
      <c r="N116" s="186"/>
      <c r="O116" s="186"/>
      <c r="P116" s="186"/>
      <c r="Q116" s="187"/>
      <c r="R116" s="177"/>
      <c r="S116" s="177"/>
      <c r="T116" s="186"/>
      <c r="U116" s="139"/>
      <c r="V116" s="154"/>
      <c r="W116" s="170"/>
      <c r="X116" s="48" t="str">
        <f t="shared" si="23"/>
        <v>Milton Keynes</v>
      </c>
      <c r="Y116" s="42">
        <f>IF(Year1_Milton_Keynes Year1_ReferralsAssessment="","",Year1_Milton_Keynes Year1_ReferralsAssessment)</f>
        <v>2047</v>
      </c>
      <c r="Z116" s="42">
        <f>IF(Year2_Milton_Keynes Year2_ReferralsAssessment="","",Year2_Milton_Keynes Year2_ReferralsAssessment)</f>
        <v>2034</v>
      </c>
      <c r="AA116" s="42">
        <f>IF(Year3_Milton_Keynes Year3_ReferralsAssessment="","",Year3_Milton_Keynes Year3_ReferralsAssessment)</f>
        <v>2126</v>
      </c>
      <c r="AB116" s="42">
        <f>IF(Year4_Milton_Keynes Year4_ReferralsAssessment="","",Year4_Milton_Keynes Year4_ReferralsAssessment)</f>
        <v>2518</v>
      </c>
      <c r="AC116" s="42">
        <f>IF(Year5_Milton_Keynes Year5_ReferralsAssessment="","",Year5_Milton_Keynes Year5_ReferralsAssessment)</f>
        <v>1926</v>
      </c>
      <c r="AD116" s="226"/>
      <c r="AE116" s="217"/>
      <c r="AF116" s="217"/>
      <c r="AG116" s="217"/>
      <c r="AH116" s="217"/>
      <c r="AI116" s="232"/>
      <c r="AJ116" s="178"/>
    </row>
    <row r="117" spans="1:44" s="101" customFormat="1" ht="12.75" customHeight="1" x14ac:dyDescent="0.2">
      <c r="A117" s="533">
        <f>VLOOKUP(B117,Sheet1!$B$4:$C$25,2,FALSE)</f>
        <v>0</v>
      </c>
      <c r="B117" s="112" t="str">
        <f t="shared" si="24"/>
        <v>Medway</v>
      </c>
      <c r="C117" s="97"/>
      <c r="D117" s="182">
        <f t="shared" si="25"/>
        <v>0.87884479924864989</v>
      </c>
      <c r="E117" s="182">
        <f t="shared" si="26"/>
        <v>0.95292207792207795</v>
      </c>
      <c r="F117" s="182">
        <f t="shared" si="27"/>
        <v>0.88004750593824232</v>
      </c>
      <c r="G117" s="182">
        <f t="shared" si="28"/>
        <v>0.91617862371888725</v>
      </c>
      <c r="H117" s="184">
        <f t="shared" si="29"/>
        <v>0.92534456355283312</v>
      </c>
      <c r="I117" s="115"/>
      <c r="J117" s="115"/>
      <c r="K117" s="186"/>
      <c r="L117" s="186"/>
      <c r="M117" s="186"/>
      <c r="N117" s="186"/>
      <c r="O117" s="186"/>
      <c r="P117" s="186"/>
      <c r="Q117" s="187"/>
      <c r="R117" s="177"/>
      <c r="S117" s="177"/>
      <c r="T117" s="186"/>
      <c r="U117" s="139"/>
      <c r="V117" s="154"/>
      <c r="W117" s="170"/>
      <c r="X117" s="48" t="str">
        <f t="shared" si="23"/>
        <v>Oxfordshire</v>
      </c>
      <c r="Y117" s="42">
        <f>IF(Year1_Oxfordshire Year1_ReferralsAssessment="","",Year1_Oxfordshire Year1_ReferralsAssessment)</f>
        <v>3636</v>
      </c>
      <c r="Z117" s="42">
        <f>IF(Year2_Oxfordshire Year2_ReferralsAssessment="","",Year2_Oxfordshire Year2_ReferralsAssessment)</f>
        <v>3974</v>
      </c>
      <c r="AA117" s="42">
        <f>IF(Year3_Oxfordshire Year3_ReferralsAssessment="","",Year3_Oxfordshire Year3_ReferralsAssessment)</f>
        <v>6185</v>
      </c>
      <c r="AB117" s="42">
        <f>IF(Year4_Oxfordshire Year4_ReferralsAssessment="","",Year4_Oxfordshire Year4_ReferralsAssessment)</f>
        <v>6597</v>
      </c>
      <c r="AC117" s="42">
        <f>IF(Year5_Oxfordshire Year5_ReferralsAssessment="","",Year5_Oxfordshire Year5_ReferralsAssessment)</f>
        <v>5413</v>
      </c>
      <c r="AD117" s="226"/>
      <c r="AE117" s="217"/>
      <c r="AF117" s="217"/>
      <c r="AG117" s="217"/>
      <c r="AH117" s="217"/>
      <c r="AI117" s="232"/>
      <c r="AJ117" s="178"/>
    </row>
    <row r="118" spans="1:44" s="101" customFormat="1" ht="12.75" customHeight="1" x14ac:dyDescent="0.2">
      <c r="A118" s="533">
        <f>VLOOKUP(B118,Sheet1!$B$4:$C$25,2,FALSE)</f>
        <v>0</v>
      </c>
      <c r="B118" s="112" t="str">
        <f t="shared" si="24"/>
        <v>Milton Keynes</v>
      </c>
      <c r="C118" s="97"/>
      <c r="D118" s="182">
        <f t="shared" si="25"/>
        <v>0.65232632249840661</v>
      </c>
      <c r="E118" s="182">
        <f t="shared" si="26"/>
        <v>0.79174776177500972</v>
      </c>
      <c r="F118" s="182">
        <f t="shared" si="27"/>
        <v>0.76778620440592271</v>
      </c>
      <c r="G118" s="182">
        <f t="shared" si="28"/>
        <v>0.81673694453454426</v>
      </c>
      <c r="H118" s="184">
        <f t="shared" si="29"/>
        <v>0.81644764730818142</v>
      </c>
      <c r="I118" s="115"/>
      <c r="J118" s="115"/>
      <c r="K118" s="186"/>
      <c r="L118" s="186"/>
      <c r="M118" s="186"/>
      <c r="N118" s="186"/>
      <c r="O118" s="186"/>
      <c r="P118" s="186"/>
      <c r="Q118" s="187"/>
      <c r="R118" s="177"/>
      <c r="S118" s="177"/>
      <c r="T118" s="186"/>
      <c r="U118" s="139"/>
      <c r="V118" s="154"/>
      <c r="W118" s="170"/>
      <c r="X118" s="48" t="str">
        <f t="shared" si="23"/>
        <v>Portsmouth</v>
      </c>
      <c r="Y118" s="42">
        <f>IF(Year1_Portsmouth Year1_ReferralsAssessment="","",Year1_Portsmouth Year1_ReferralsAssessment)</f>
        <v>1607</v>
      </c>
      <c r="Z118" s="42">
        <f>IF(Year2_Portsmouth Year2_ReferralsAssessment="","",Year2_Portsmouth Year2_ReferralsAssessment)</f>
        <v>1839</v>
      </c>
      <c r="AA118" s="42">
        <f>IF(Year3_Portsmouth Year3_ReferralsAssessment="","",Year3_Portsmouth Year3_ReferralsAssessment)</f>
        <v>2041</v>
      </c>
      <c r="AB118" s="42">
        <f>IF(Year4_Portsmouth Year4_ReferralsAssessment="","",Year4_Portsmouth Year4_ReferralsAssessment)</f>
        <v>2374</v>
      </c>
      <c r="AC118" s="42">
        <f>IF(Year5_Portsmouth Year5_ReferralsAssessment="","",Year5_Portsmouth Year5_ReferralsAssessment)</f>
        <v>2792</v>
      </c>
      <c r="AD118" s="226"/>
      <c r="AE118" s="217"/>
      <c r="AF118" s="217"/>
      <c r="AG118" s="217"/>
      <c r="AH118" s="217"/>
      <c r="AI118" s="232"/>
      <c r="AJ118" s="178"/>
    </row>
    <row r="119" spans="1:44" s="101" customFormat="1" ht="12.75" customHeight="1" x14ac:dyDescent="0.2">
      <c r="A119" s="533">
        <f>VLOOKUP(B119,Sheet1!$B$4:$C$25,2,FALSE)</f>
        <v>0</v>
      </c>
      <c r="B119" s="112" t="str">
        <f t="shared" si="24"/>
        <v>Oxfordshire</v>
      </c>
      <c r="C119" s="97"/>
      <c r="D119" s="182">
        <f t="shared" si="25"/>
        <v>0.61574936494496191</v>
      </c>
      <c r="E119" s="182">
        <f t="shared" si="26"/>
        <v>0.70174819000529753</v>
      </c>
      <c r="F119" s="182">
        <f t="shared" si="27"/>
        <v>0.91629629629629628</v>
      </c>
      <c r="G119" s="182">
        <f t="shared" si="28"/>
        <v>0.93362581375601472</v>
      </c>
      <c r="H119" s="184">
        <f t="shared" si="29"/>
        <v>0.79439389492221901</v>
      </c>
      <c r="I119" s="115"/>
      <c r="J119" s="115"/>
      <c r="K119" s="186"/>
      <c r="L119" s="186"/>
      <c r="M119" s="186"/>
      <c r="N119" s="186"/>
      <c r="O119" s="186"/>
      <c r="P119" s="186"/>
      <c r="Q119" s="187"/>
      <c r="R119" s="177"/>
      <c r="S119" s="177"/>
      <c r="T119" s="186"/>
      <c r="U119" s="139"/>
      <c r="V119" s="154"/>
      <c r="W119" s="170"/>
      <c r="X119" s="48" t="str">
        <f t="shared" si="23"/>
        <v>Reading</v>
      </c>
      <c r="Y119" s="42">
        <f>IF(Year1_Reading Year1_ReferralsAssessment="","",Year1_Reading Year1_ReferralsAssessment)</f>
        <v>1702</v>
      </c>
      <c r="Z119" s="42">
        <f>IF(Year2_Reading Year2_ReferralsAssessment="","",Year2_Reading Year2_ReferralsAssessment)</f>
        <v>1329</v>
      </c>
      <c r="AA119" s="42">
        <f>IF(Year3_Reading Year3_ReferralsAssessment="","",Year3_Reading Year3_ReferralsAssessment)</f>
        <v>2770</v>
      </c>
      <c r="AB119" s="42">
        <f>IF(Year4_Reading Year4_ReferralsAssessment="","",Year4_Reading Year4_ReferralsAssessment)</f>
        <v>3107</v>
      </c>
      <c r="AC119" s="42">
        <f>IF(Year5_Reading Year5_ReferralsAssessment="","",Year5_Reading Year5_ReferralsAssessment)</f>
        <v>2597</v>
      </c>
      <c r="AD119" s="226"/>
      <c r="AE119" s="217"/>
      <c r="AF119" s="217"/>
      <c r="AG119" s="217"/>
      <c r="AH119" s="217"/>
      <c r="AI119" s="232"/>
      <c r="AJ119" s="178"/>
    </row>
    <row r="120" spans="1:44" s="101" customFormat="1" ht="12.75" customHeight="1" x14ac:dyDescent="0.2">
      <c r="A120" s="533">
        <f>VLOOKUP(B120,Sheet1!$B$4:$C$25,2,FALSE)</f>
        <v>0</v>
      </c>
      <c r="B120" s="112" t="str">
        <f t="shared" si="24"/>
        <v>Portsmouth</v>
      </c>
      <c r="C120" s="97"/>
      <c r="D120" s="182">
        <f t="shared" si="25"/>
        <v>0.88199780461031829</v>
      </c>
      <c r="E120" s="182">
        <f t="shared" si="26"/>
        <v>0.95731389901093178</v>
      </c>
      <c r="F120" s="182">
        <f t="shared" si="27"/>
        <v>0.97515527950310554</v>
      </c>
      <c r="G120" s="182">
        <f t="shared" si="28"/>
        <v>0.9545637314032972</v>
      </c>
      <c r="H120" s="184">
        <f t="shared" si="29"/>
        <v>0.98137082601054482</v>
      </c>
      <c r="I120" s="115"/>
      <c r="J120" s="115"/>
      <c r="K120" s="186"/>
      <c r="L120" s="186"/>
      <c r="M120" s="186"/>
      <c r="N120" s="186"/>
      <c r="O120" s="186"/>
      <c r="P120" s="186"/>
      <c r="Q120" s="187"/>
      <c r="R120" s="177"/>
      <c r="S120" s="177"/>
      <c r="T120" s="186"/>
      <c r="U120" s="139"/>
      <c r="V120" s="154"/>
      <c r="W120" s="170"/>
      <c r="X120" s="48" t="str">
        <f t="shared" si="23"/>
        <v>Slough</v>
      </c>
      <c r="Y120" s="42">
        <f>IF(Year1_Slough Year1_ReferralsAssessment="","",Year1_Slough Year1_ReferralsAssessment)</f>
        <v>2432</v>
      </c>
      <c r="Z120" s="42">
        <f>IF(Year2_Slough Year2_ReferralsAssessment="","",Year2_Slough Year2_ReferralsAssessment)</f>
        <v>2234</v>
      </c>
      <c r="AA120" s="42">
        <f>IF(Year3_Slough Year3_ReferralsAssessment="","",Year3_Slough Year3_ReferralsAssessment)</f>
        <v>2745</v>
      </c>
      <c r="AB120" s="42">
        <f>IF(Year4_Slough Year4_ReferralsAssessment="","",Year4_Slough Year4_ReferralsAssessment)</f>
        <v>2228</v>
      </c>
      <c r="AC120" s="42">
        <f>IF(Year5_Slough Year5_ReferralsAssessment="","",Year5_Slough Year5_ReferralsAssessment)</f>
        <v>1579</v>
      </c>
      <c r="AD120" s="226"/>
      <c r="AE120" s="217"/>
      <c r="AF120" s="217"/>
      <c r="AG120" s="217"/>
      <c r="AH120" s="217"/>
      <c r="AI120" s="232"/>
      <c r="AJ120" s="178"/>
    </row>
    <row r="121" spans="1:44" s="101" customFormat="1" ht="12.75" customHeight="1" x14ac:dyDescent="0.2">
      <c r="A121" s="533">
        <f>VLOOKUP(B121,Sheet1!$B$4:$C$25,2,FALSE)</f>
        <v>0</v>
      </c>
      <c r="B121" s="112" t="str">
        <f t="shared" si="24"/>
        <v>Reading</v>
      </c>
      <c r="C121" s="97"/>
      <c r="D121" s="182">
        <f t="shared" si="25"/>
        <v>0.98267898383371821</v>
      </c>
      <c r="E121" s="182">
        <f t="shared" si="26"/>
        <v>0.79438135086670647</v>
      </c>
      <c r="F121" s="182">
        <f t="shared" si="27"/>
        <v>0.89993502274204029</v>
      </c>
      <c r="G121" s="182">
        <f t="shared" si="28"/>
        <v>0.95102540557086013</v>
      </c>
      <c r="H121" s="184">
        <f t="shared" si="29"/>
        <v>0.98820395738203959</v>
      </c>
      <c r="I121" s="115"/>
      <c r="J121" s="115"/>
      <c r="K121" s="186"/>
      <c r="L121" s="186"/>
      <c r="M121" s="186"/>
      <c r="N121" s="186"/>
      <c r="O121" s="186"/>
      <c r="P121" s="186"/>
      <c r="Q121" s="187"/>
      <c r="R121" s="177"/>
      <c r="S121" s="177"/>
      <c r="T121" s="186"/>
      <c r="U121" s="139"/>
      <c r="V121" s="154"/>
      <c r="W121" s="170"/>
      <c r="X121" s="48" t="str">
        <f t="shared" si="23"/>
        <v>Somerset</v>
      </c>
      <c r="Y121" s="42">
        <f>IF(Year1_Somerset Year1_ReferralsAssessment="","",Year1_Somerset Year1_ReferralsAssessment)</f>
        <v>7077</v>
      </c>
      <c r="Z121" s="42">
        <f>IF(Year2_Somerset Year2_ReferralsAssessment="","",Year2_Somerset Year2_ReferralsAssessment)</f>
        <v>5517</v>
      </c>
      <c r="AA121" s="42">
        <f>IF(Year3_Somerset Year3_ReferralsAssessment="","",Year3_Somerset Year3_ReferralsAssessment)</f>
        <v>4108</v>
      </c>
      <c r="AB121" s="42">
        <f>IF(Year4_Somerset Year4_ReferralsAssessment="","",Year4_Somerset Year4_ReferralsAssessment)</f>
        <v>4742</v>
      </c>
      <c r="AC121" s="42">
        <f>IF(Year5_Somerset Year5_ReferralsAssessment="","",Year5_Somerset Year5_ReferralsAssessment)</f>
        <v>5047</v>
      </c>
      <c r="AD121" s="226"/>
      <c r="AE121" s="217"/>
      <c r="AF121" s="217"/>
      <c r="AG121" s="217"/>
      <c r="AH121" s="217"/>
      <c r="AI121" s="232"/>
      <c r="AJ121" s="178"/>
    </row>
    <row r="122" spans="1:44" s="101" customFormat="1" ht="12.75" customHeight="1" x14ac:dyDescent="0.2">
      <c r="A122" s="533">
        <f>VLOOKUP(B122,Sheet1!$B$4:$C$25,2,FALSE)</f>
        <v>0</v>
      </c>
      <c r="B122" s="112" t="str">
        <f t="shared" si="24"/>
        <v>Slough</v>
      </c>
      <c r="C122" s="97"/>
      <c r="D122" s="182">
        <f t="shared" si="25"/>
        <v>0.97008376545672115</v>
      </c>
      <c r="E122" s="182">
        <f t="shared" si="26"/>
        <v>0.97896581945661698</v>
      </c>
      <c r="F122" s="182">
        <f t="shared" si="27"/>
        <v>0.9895457822638789</v>
      </c>
      <c r="G122" s="182">
        <f t="shared" si="28"/>
        <v>0.39170182841068918</v>
      </c>
      <c r="H122" s="184">
        <f t="shared" si="29"/>
        <v>0.99245757385292266</v>
      </c>
      <c r="I122" s="115"/>
      <c r="J122" s="115"/>
      <c r="K122" s="186"/>
      <c r="L122" s="186"/>
      <c r="M122" s="186"/>
      <c r="N122" s="186"/>
      <c r="O122" s="186"/>
      <c r="P122" s="186"/>
      <c r="Q122" s="187"/>
      <c r="R122" s="177"/>
      <c r="S122" s="177"/>
      <c r="T122" s="186"/>
      <c r="U122" s="139"/>
      <c r="V122" s="154"/>
      <c r="W122" s="170"/>
      <c r="X122" s="48" t="str">
        <f t="shared" si="23"/>
        <v>Southampton</v>
      </c>
      <c r="Y122" s="42">
        <f>IF(Year1_Southampton Year1_ReferralsAssessment="","",Year1_Southampton Year1_ReferralsAssessment)</f>
        <v>3259</v>
      </c>
      <c r="Z122" s="42">
        <f>IF(Year2_Southampton Year2_ReferralsAssessment="","",Year2_Southampton Year2_ReferralsAssessment)</f>
        <v>5641</v>
      </c>
      <c r="AA122" s="42">
        <f>IF(Year3_Southampton Year3_ReferralsAssessment="","",Year3_Southampton Year3_ReferralsAssessment)</f>
        <v>4116</v>
      </c>
      <c r="AB122" s="42">
        <f>IF(Year4_Southampton Year4_ReferralsAssessment="","",Year4_Southampton Year4_ReferralsAssessment)</f>
        <v>3036</v>
      </c>
      <c r="AC122" s="42">
        <f>IF(Year5_Southampton Year5_ReferralsAssessment="","",Year5_Southampton Year5_ReferralsAssessment)</f>
        <v>2601</v>
      </c>
      <c r="AD122" s="226"/>
      <c r="AE122" s="217"/>
      <c r="AF122" s="217"/>
      <c r="AG122" s="217"/>
      <c r="AH122" s="217"/>
      <c r="AI122" s="232"/>
      <c r="AJ122" s="178"/>
    </row>
    <row r="123" spans="1:44" s="101" customFormat="1" ht="12.75" customHeight="1" x14ac:dyDescent="0.2">
      <c r="A123" s="533">
        <f>VLOOKUP(B123,Sheet1!$B$4:$C$25,2,FALSE)</f>
        <v>0</v>
      </c>
      <c r="B123" s="112" t="str">
        <f t="shared" si="24"/>
        <v>Somerset</v>
      </c>
      <c r="C123" s="97"/>
      <c r="D123" s="182">
        <f t="shared" si="25"/>
        <v>0.96443172526573995</v>
      </c>
      <c r="E123" s="182">
        <f t="shared" si="26"/>
        <v>0.98676444285458775</v>
      </c>
      <c r="F123" s="182">
        <f t="shared" si="27"/>
        <v>0.99395112509073313</v>
      </c>
      <c r="G123" s="182">
        <f t="shared" si="28"/>
        <v>0.99267322587397944</v>
      </c>
      <c r="H123" s="184">
        <f t="shared" si="29"/>
        <v>0.97715392061955475</v>
      </c>
      <c r="I123" s="115"/>
      <c r="J123" s="115"/>
      <c r="K123" s="186"/>
      <c r="L123" s="186"/>
      <c r="M123" s="186"/>
      <c r="N123" s="186"/>
      <c r="O123" s="186"/>
      <c r="P123" s="186"/>
      <c r="Q123" s="187"/>
      <c r="R123" s="177"/>
      <c r="S123" s="177"/>
      <c r="T123" s="186"/>
      <c r="U123" s="139"/>
      <c r="V123" s="154"/>
      <c r="W123" s="170"/>
      <c r="X123" s="48" t="str">
        <f t="shared" si="23"/>
        <v>Surrey</v>
      </c>
      <c r="Y123" s="42">
        <f>IF(Year1_Surrey Year1_ReferralsAssessment="","",Year1_Surrey Year1_ReferralsAssessment)</f>
        <v>7495</v>
      </c>
      <c r="Z123" s="42">
        <f>IF(Year2_Surrey Year2_ReferralsAssessment="","",Year2_Surrey Year2_ReferralsAssessment)</f>
        <v>9658</v>
      </c>
      <c r="AA123" s="42">
        <f>IF(Year3_Surrey Year3_ReferralsAssessment="","",Year3_Surrey Year3_ReferralsAssessment)</f>
        <v>11586</v>
      </c>
      <c r="AB123" s="42">
        <f>IF(Year4_Surrey Year4_ReferralsAssessment="","",Year4_Surrey Year4_ReferralsAssessment)</f>
        <v>11571</v>
      </c>
      <c r="AC123" s="42">
        <f>IF(Year5_Surrey Year5_ReferralsAssessment="","",Year5_Surrey Year5_ReferralsAssessment)</f>
        <v>13529</v>
      </c>
      <c r="AD123" s="226"/>
      <c r="AE123" s="217"/>
      <c r="AF123" s="217"/>
      <c r="AG123" s="217"/>
      <c r="AH123" s="217"/>
      <c r="AI123" s="232"/>
      <c r="AJ123" s="178"/>
    </row>
    <row r="124" spans="1:44" s="101" customFormat="1" ht="12.75" customHeight="1" x14ac:dyDescent="0.2">
      <c r="A124" s="533">
        <f>VLOOKUP(B124,Sheet1!$B$4:$C$25,2,FALSE)</f>
        <v>0</v>
      </c>
      <c r="B124" s="112" t="str">
        <f t="shared" si="24"/>
        <v>Southampton</v>
      </c>
      <c r="C124" s="97"/>
      <c r="D124" s="182">
        <f t="shared" si="25"/>
        <v>0.93892250072025352</v>
      </c>
      <c r="E124" s="182">
        <f t="shared" si="26"/>
        <v>0.88044326517871074</v>
      </c>
      <c r="F124" s="182">
        <f t="shared" si="27"/>
        <v>1</v>
      </c>
      <c r="G124" s="182">
        <f t="shared" si="28"/>
        <v>0.99737187910643887</v>
      </c>
      <c r="H124" s="184">
        <f t="shared" si="29"/>
        <v>0.99540757749712971</v>
      </c>
      <c r="I124" s="115"/>
      <c r="J124" s="115"/>
      <c r="K124" s="186"/>
      <c r="L124" s="186"/>
      <c r="M124" s="186"/>
      <c r="N124" s="186"/>
      <c r="O124" s="186"/>
      <c r="P124" s="186"/>
      <c r="Q124" s="187"/>
      <c r="R124" s="177"/>
      <c r="S124" s="177"/>
      <c r="T124" s="186"/>
      <c r="U124" s="139"/>
      <c r="V124" s="154"/>
      <c r="W124" s="170"/>
      <c r="X124" s="48" t="str">
        <f t="shared" si="23"/>
        <v>Swindon</v>
      </c>
      <c r="Y124" s="42">
        <f>IF(Year1_Swindon Year1_ReferralsAssessment="","",Year1_Swindon Year1_ReferralsAssessment)</f>
        <v>1817</v>
      </c>
      <c r="Z124" s="42">
        <f>IF(Year2_Swindon Year2_ReferralsAssessment="","",Year2_Swindon Year2_ReferralsAssessment)</f>
        <v>2524</v>
      </c>
      <c r="AA124" s="42">
        <f>IF(Year3_Swindon Year3_ReferralsAssessment="","",Year3_Swindon Year3_ReferralsAssessment)</f>
        <v>2993</v>
      </c>
      <c r="AB124" s="42">
        <f>IF(Year4_Swindon Year4_ReferralsAssessment="","",Year4_Swindon Year4_ReferralsAssessment)</f>
        <v>2922</v>
      </c>
      <c r="AC124" s="42">
        <f>IF(Year5_Swindon Year5_ReferralsAssessment="","",Year5_Swindon Year5_ReferralsAssessment)</f>
        <v>3351</v>
      </c>
      <c r="AD124" s="226"/>
      <c r="AE124" s="217"/>
      <c r="AF124" s="217"/>
      <c r="AG124" s="217"/>
      <c r="AH124" s="217"/>
      <c r="AI124" s="232"/>
      <c r="AJ124" s="178"/>
    </row>
    <row r="125" spans="1:44" s="101" customFormat="1" ht="12.75" customHeight="1" x14ac:dyDescent="0.2">
      <c r="A125" s="533">
        <f>VLOOKUP(B125,Sheet1!$B$4:$C$25,2,FALSE)</f>
        <v>0</v>
      </c>
      <c r="B125" s="112" t="str">
        <f t="shared" si="24"/>
        <v>Surrey</v>
      </c>
      <c r="C125" s="97"/>
      <c r="D125" s="182">
        <f t="shared" si="25"/>
        <v>0.63646399456521741</v>
      </c>
      <c r="E125" s="182">
        <f t="shared" si="26"/>
        <v>0.96783244814109626</v>
      </c>
      <c r="F125" s="182">
        <f t="shared" si="27"/>
        <v>0.9845343303874915</v>
      </c>
      <c r="G125" s="182">
        <f t="shared" si="28"/>
        <v>0.99075263293090166</v>
      </c>
      <c r="H125" s="184">
        <f t="shared" si="29"/>
        <v>0.99288125642154701</v>
      </c>
      <c r="I125" s="115"/>
      <c r="J125" s="115"/>
      <c r="K125" s="186"/>
      <c r="L125" s="186"/>
      <c r="M125" s="186"/>
      <c r="N125" s="186"/>
      <c r="O125" s="186"/>
      <c r="P125" s="186"/>
      <c r="Q125" s="187"/>
      <c r="R125" s="177"/>
      <c r="S125" s="177"/>
      <c r="T125" s="186"/>
      <c r="U125" s="139"/>
      <c r="V125" s="154"/>
      <c r="W125" s="170"/>
      <c r="X125" s="48" t="str">
        <f t="shared" si="23"/>
        <v>Torbay</v>
      </c>
      <c r="Y125" s="42">
        <f>IF(Year1_Torbay Year1_ReferralsAssessment="","",Year1_Torbay Year1_ReferralsAssessment)</f>
        <v>1951</v>
      </c>
      <c r="Z125" s="42">
        <f>IF(Year2_Torbay Year2_ReferralsAssessment="","",Year2_Torbay Year2_ReferralsAssessment)</f>
        <v>1425</v>
      </c>
      <c r="AA125" s="42">
        <f>IF(Year3_Torbay Year3_ReferralsAssessment="","",Year3_Torbay Year3_ReferralsAssessment)</f>
        <v>1698</v>
      </c>
      <c r="AB125" s="42">
        <f>IF(Year4_Torbay Year4_ReferralsAssessment="","",Year4_Torbay Year4_ReferralsAssessment)</f>
        <v>1386</v>
      </c>
      <c r="AC125" s="42">
        <f>IF(Year5_Torbay Year5_ReferralsAssessment="","",Year5_Torbay Year5_ReferralsAssessment)</f>
        <v>1587</v>
      </c>
      <c r="AD125" s="226"/>
      <c r="AE125" s="217"/>
      <c r="AF125" s="217"/>
      <c r="AG125" s="217"/>
      <c r="AH125" s="217"/>
      <c r="AI125" s="232"/>
      <c r="AJ125" s="178"/>
    </row>
    <row r="126" spans="1:44" s="101" customFormat="1" ht="12.75" customHeight="1" x14ac:dyDescent="0.2">
      <c r="A126" s="533">
        <f>VLOOKUP(B126,Sheet1!$B$4:$C$25,2,FALSE)</f>
        <v>0</v>
      </c>
      <c r="B126" s="112" t="str">
        <f t="shared" si="24"/>
        <v>Swindon</v>
      </c>
      <c r="C126" s="97"/>
      <c r="D126" s="182">
        <f t="shared" si="25"/>
        <v>0.80612244897959184</v>
      </c>
      <c r="E126" s="182">
        <f t="shared" si="26"/>
        <v>0.95245283018867921</v>
      </c>
      <c r="F126" s="182">
        <f t="shared" si="27"/>
        <v>0.87900146842878124</v>
      </c>
      <c r="G126" s="182">
        <f t="shared" si="28"/>
        <v>0.96722939424031773</v>
      </c>
      <c r="H126" s="184">
        <f t="shared" si="29"/>
        <v>0.92390405293631095</v>
      </c>
      <c r="I126" s="115"/>
      <c r="J126" s="115"/>
      <c r="K126" s="186"/>
      <c r="L126" s="186"/>
      <c r="M126" s="186"/>
      <c r="N126" s="186"/>
      <c r="O126" s="186"/>
      <c r="P126" s="186"/>
      <c r="Q126" s="187"/>
      <c r="R126" s="177"/>
      <c r="S126" s="177"/>
      <c r="T126" s="186"/>
      <c r="U126" s="139"/>
      <c r="V126" s="154"/>
      <c r="W126" s="170"/>
      <c r="X126" s="48" t="str">
        <f t="shared" si="23"/>
        <v>West Berkshire</v>
      </c>
      <c r="Y126" s="42">
        <f>IF(Year1_West_Berkshire Year1_ReferralsAssessment="","",Year1_West_Berkshire Year1_ReferralsAssessment)</f>
        <v>1243</v>
      </c>
      <c r="Z126" s="42">
        <f>IF(Year2_West_Berkshire Year2_ReferralsAssessment="","",Year2_West_Berkshire Year2_ReferralsAssessment)</f>
        <v>1259</v>
      </c>
      <c r="AA126" s="42">
        <f>IF(Year3_West_Berkshire Year3_ReferralsAssessment="","",Year3_West_Berkshire Year3_ReferralsAssessment)</f>
        <v>1365</v>
      </c>
      <c r="AB126" s="42">
        <f>IF(Year4_West_Berkshire Year4_ReferralsAssessment="","",Year4_West_Berkshire Year4_ReferralsAssessment)</f>
        <v>1652</v>
      </c>
      <c r="AC126" s="42">
        <f>IF(Year5_West_Berkshire Year5_ReferralsAssessment="","",Year5_West_Berkshire Year5_ReferralsAssessment)</f>
        <v>1512</v>
      </c>
      <c r="AD126" s="226"/>
      <c r="AE126" s="217"/>
      <c r="AF126" s="217"/>
      <c r="AG126" s="217"/>
      <c r="AH126" s="217"/>
      <c r="AI126" s="232"/>
      <c r="AJ126" s="178"/>
    </row>
    <row r="127" spans="1:44" s="101" customFormat="1" ht="12.75" customHeight="1" x14ac:dyDescent="0.2">
      <c r="A127" s="533">
        <f>VLOOKUP(B127,Sheet1!$B$4:$C$25,2,FALSE)</f>
        <v>0</v>
      </c>
      <c r="B127" s="112" t="str">
        <f t="shared" si="24"/>
        <v>Torbay</v>
      </c>
      <c r="C127" s="97"/>
      <c r="D127" s="182">
        <f t="shared" si="25"/>
        <v>0.81021594684385378</v>
      </c>
      <c r="E127" s="182">
        <f t="shared" si="26"/>
        <v>0.66776007497656986</v>
      </c>
      <c r="F127" s="182">
        <f t="shared" si="27"/>
        <v>0.85412474849094566</v>
      </c>
      <c r="G127" s="182">
        <f t="shared" si="28"/>
        <v>0.85767326732673266</v>
      </c>
      <c r="H127" s="184">
        <f t="shared" si="29"/>
        <v>0.87922437673130194</v>
      </c>
      <c r="I127" s="115"/>
      <c r="J127" s="115"/>
      <c r="K127" s="186"/>
      <c r="L127" s="186"/>
      <c r="M127" s="186"/>
      <c r="N127" s="186"/>
      <c r="O127" s="186"/>
      <c r="P127" s="186"/>
      <c r="Q127" s="187"/>
      <c r="R127" s="177"/>
      <c r="S127" s="177"/>
      <c r="T127" s="186"/>
      <c r="U127" s="139"/>
      <c r="V127" s="154"/>
      <c r="W127" s="170"/>
      <c r="X127" s="48" t="str">
        <f t="shared" si="23"/>
        <v>West Sussex</v>
      </c>
      <c r="Y127" s="42">
        <f>IF(Year1_West_Sussex Year1_ReferralsAssessment="","",Year1_West_Sussex Year1_ReferralsAssessment)</f>
        <v>6168</v>
      </c>
      <c r="Z127" s="42">
        <f>IF(Year2_West_Sussex Year2_ReferralsAssessment="","",Year2_West_Sussex Year2_ReferralsAssessment)</f>
        <v>6262</v>
      </c>
      <c r="AA127" s="42">
        <f>IF(Year3_West_Sussex Year3_ReferralsAssessment="","",Year3_West_Sussex Year3_ReferralsAssessment)</f>
        <v>7152</v>
      </c>
      <c r="AB127" s="42">
        <f>IF(Year4_West_Sussex Year4_ReferralsAssessment="","",Year4_West_Sussex Year4_ReferralsAssessment)</f>
        <v>7614</v>
      </c>
      <c r="AC127" s="42">
        <f>IF(Year5_West_Sussex Year5_ReferralsAssessment="","",Year5_West_Sussex Year5_ReferralsAssessment)</f>
        <v>9995</v>
      </c>
      <c r="AD127" s="226"/>
      <c r="AE127" s="217"/>
      <c r="AF127" s="217"/>
      <c r="AG127" s="217"/>
      <c r="AH127" s="217"/>
      <c r="AI127" s="232"/>
      <c r="AJ127" s="178"/>
    </row>
    <row r="128" spans="1:44" s="101" customFormat="1" ht="12.75" customHeight="1" x14ac:dyDescent="0.2">
      <c r="A128" s="533">
        <f>VLOOKUP(B128,Sheet1!$B$4:$C$25,2,FALSE)</f>
        <v>0</v>
      </c>
      <c r="B128" s="112" t="str">
        <f t="shared" si="24"/>
        <v>West Berkshire</v>
      </c>
      <c r="C128" s="97"/>
      <c r="D128" s="182">
        <f t="shared" si="25"/>
        <v>1</v>
      </c>
      <c r="E128" s="182">
        <f t="shared" si="26"/>
        <v>1</v>
      </c>
      <c r="F128" s="182">
        <f t="shared" si="27"/>
        <v>1</v>
      </c>
      <c r="G128" s="182">
        <f t="shared" si="28"/>
        <v>1</v>
      </c>
      <c r="H128" s="184">
        <f t="shared" si="29"/>
        <v>1</v>
      </c>
      <c r="I128" s="115"/>
      <c r="J128" s="115"/>
      <c r="K128" s="186"/>
      <c r="L128" s="186"/>
      <c r="M128" s="186"/>
      <c r="N128" s="186"/>
      <c r="O128" s="186"/>
      <c r="P128" s="186"/>
      <c r="Q128" s="187"/>
      <c r="R128" s="177"/>
      <c r="S128" s="177"/>
      <c r="T128" s="186"/>
      <c r="U128" s="139"/>
      <c r="V128" s="154"/>
      <c r="W128" s="170"/>
      <c r="X128" s="48" t="str">
        <f t="shared" si="23"/>
        <v>Windsor &amp; Maidenhead</v>
      </c>
      <c r="Y128" s="42">
        <f>IF(Year1_Windsor_Maidenhead Year1_ReferralsAssessment="","",Year1_Windsor_Maidenhead Year1_ReferralsAssessment)</f>
        <v>963</v>
      </c>
      <c r="Z128" s="42">
        <f>IF(Year2_Windsor_Maidenhead Year2_ReferralsAssessment="","",Year2_Windsor_Maidenhead Year2_ReferralsAssessment)</f>
        <v>987</v>
      </c>
      <c r="AA128" s="42">
        <f>IF(Year3_Windsor_Maidenhead Year3_ReferralsAssessment="","",Year3_Windsor_Maidenhead Year3_ReferralsAssessment)</f>
        <v>908</v>
      </c>
      <c r="AB128" s="42">
        <f>IF(Year4_Windsor_Maidenhead Year4_ReferralsAssessment="","",Year4_Windsor_Maidenhead Year4_ReferralsAssessment)</f>
        <v>876</v>
      </c>
      <c r="AC128" s="42">
        <f>IF(Year5_Windsor_Maidenhead Year5_ReferralsAssessment="","",Year5_Windsor_Maidenhead Year5_ReferralsAssessment)</f>
        <v>910</v>
      </c>
      <c r="AD128" s="226"/>
      <c r="AE128" s="232"/>
      <c r="AF128" s="217"/>
      <c r="AG128" s="217"/>
      <c r="AH128" s="217"/>
      <c r="AI128" s="232"/>
      <c r="AJ128" s="178"/>
    </row>
    <row r="129" spans="1:45" s="101" customFormat="1" ht="12.75" customHeight="1" x14ac:dyDescent="0.2">
      <c r="A129" s="533">
        <f>VLOOKUP(B129,Sheet1!$B$4:$C$25,2,FALSE)</f>
        <v>0</v>
      </c>
      <c r="B129" s="112" t="str">
        <f t="shared" si="24"/>
        <v>West Sussex</v>
      </c>
      <c r="C129" s="97"/>
      <c r="D129" s="182">
        <f t="shared" si="25"/>
        <v>0.93383800151400453</v>
      </c>
      <c r="E129" s="182">
        <f t="shared" si="26"/>
        <v>0.90530576839670374</v>
      </c>
      <c r="F129" s="182">
        <f t="shared" si="27"/>
        <v>0.87786915428992263</v>
      </c>
      <c r="G129" s="182">
        <f t="shared" si="28"/>
        <v>0.87106738359455438</v>
      </c>
      <c r="H129" s="184">
        <f t="shared" si="29"/>
        <v>1</v>
      </c>
      <c r="I129" s="115"/>
      <c r="J129" s="115"/>
      <c r="K129" s="186"/>
      <c r="L129" s="186"/>
      <c r="M129" s="186"/>
      <c r="N129" s="186"/>
      <c r="O129" s="186"/>
      <c r="P129" s="186"/>
      <c r="Q129" s="187"/>
      <c r="R129" s="177"/>
      <c r="S129" s="177"/>
      <c r="T129" s="186"/>
      <c r="U129" s="139"/>
      <c r="V129" s="154"/>
      <c r="W129" s="170"/>
      <c r="X129" s="48" t="str">
        <f t="shared" si="23"/>
        <v>Wokingham</v>
      </c>
      <c r="Y129" s="42">
        <f>IF(Year1_Wokingham Year1_ReferralsAssessment="","",Year1_Wokingham Year1_ReferralsAssessment)</f>
        <v>983</v>
      </c>
      <c r="Z129" s="42">
        <f>IF(Year2_Wokingham Year2_ReferralsAssessment="","",Year2_Wokingham Year2_ReferralsAssessment)</f>
        <v>985</v>
      </c>
      <c r="AA129" s="42">
        <f>IF(Year3_Wokingham Year3_ReferralsAssessment="","",Year3_Wokingham Year3_ReferralsAssessment)</f>
        <v>1131</v>
      </c>
      <c r="AB129" s="42">
        <f>IF(Year4_Wokingham Year4_ReferralsAssessment="","",Year4_Wokingham Year4_ReferralsAssessment)</f>
        <v>900</v>
      </c>
      <c r="AC129" s="42">
        <f>IF(Year5_Wokingham Year5_ReferralsAssessment="","",Year5_Wokingham Year5_ReferralsAssessment)</f>
        <v>1322</v>
      </c>
      <c r="AD129" s="226"/>
      <c r="AE129" s="232"/>
      <c r="AF129" s="217"/>
      <c r="AG129" s="217"/>
      <c r="AH129" s="217"/>
      <c r="AI129" s="232"/>
      <c r="AJ129" s="178"/>
    </row>
    <row r="130" spans="1:45" s="101" customFormat="1" ht="12.75" customHeight="1" x14ac:dyDescent="0.2">
      <c r="A130" s="533">
        <f>VLOOKUP(B130,Sheet1!$B$4:$C$25,2,FALSE)</f>
        <v>0</v>
      </c>
      <c r="B130" s="112" t="str">
        <f t="shared" si="24"/>
        <v>Windsor &amp; Maidenhead</v>
      </c>
      <c r="C130" s="97"/>
      <c r="D130" s="182">
        <f t="shared" si="25"/>
        <v>0.92329817833173533</v>
      </c>
      <c r="E130" s="182">
        <f t="shared" si="26"/>
        <v>0.94179389312977102</v>
      </c>
      <c r="F130" s="182">
        <f t="shared" si="27"/>
        <v>0.81434977578475332</v>
      </c>
      <c r="G130" s="182">
        <f t="shared" si="28"/>
        <v>0.88306451612903225</v>
      </c>
      <c r="H130" s="184">
        <f t="shared" si="29"/>
        <v>0.85768143261074459</v>
      </c>
      <c r="I130" s="115"/>
      <c r="J130" s="115"/>
      <c r="K130" s="186"/>
      <c r="L130" s="186"/>
      <c r="M130" s="186"/>
      <c r="N130" s="186"/>
      <c r="O130" s="186"/>
      <c r="P130" s="186"/>
      <c r="Q130" s="187"/>
      <c r="R130" s="177"/>
      <c r="S130" s="177"/>
      <c r="T130" s="186"/>
      <c r="U130" s="139"/>
      <c r="V130" s="154"/>
      <c r="W130" s="170"/>
      <c r="X130" s="48" t="str">
        <f t="shared" si="23"/>
        <v>South East</v>
      </c>
      <c r="Y130" s="55">
        <f>IF(Year1_SouthEast Year1_ReferralsAssessment="","",Year1_SouthEast Year1_ReferralsAssessment)</f>
        <v>79014</v>
      </c>
      <c r="Z130" s="55">
        <f>IF(Year2_SouthEast Year2_ReferralsAssessment="","",Year2_SouthEast Year2_ReferralsAssessment)</f>
        <v>81400</v>
      </c>
      <c r="AA130" s="55">
        <f>IF(Year3_SouthEast Year3_ReferralsAssessment="","",Year3_SouthEast Year3_ReferralsAssessment)</f>
        <v>90570</v>
      </c>
      <c r="AB130" s="55">
        <f>IF(Year4_SouthEast Year4_ReferralsAssessment="","",Year4_SouthEast Year4_ReferralsAssessment)</f>
        <v>95310</v>
      </c>
      <c r="AC130" s="55">
        <f>IF(Year5_SouthEast Year5_ReferralsAssessment="","",Year5_SouthEast Year5_ReferralsAssessment)</f>
        <v>97740</v>
      </c>
      <c r="AD130" s="226"/>
      <c r="AE130" s="232"/>
      <c r="AF130" s="232"/>
      <c r="AG130" s="232"/>
      <c r="AH130" s="217"/>
      <c r="AI130" s="232"/>
      <c r="AJ130" s="178"/>
    </row>
    <row r="131" spans="1:45" s="101" customFormat="1" ht="12.75" customHeight="1" x14ac:dyDescent="0.2">
      <c r="A131" s="533">
        <f>VLOOKUP(B131,Sheet1!$B$4:$C$25,2,FALSE)</f>
        <v>0</v>
      </c>
      <c r="B131" s="112" t="str">
        <f t="shared" si="24"/>
        <v>Wokingham</v>
      </c>
      <c r="C131" s="97"/>
      <c r="D131" s="182">
        <f t="shared" si="25"/>
        <v>0.6942090395480226</v>
      </c>
      <c r="E131" s="182">
        <f t="shared" si="26"/>
        <v>0.99494949494949492</v>
      </c>
      <c r="F131" s="182">
        <f t="shared" si="27"/>
        <v>1</v>
      </c>
      <c r="G131" s="182">
        <f t="shared" si="28"/>
        <v>0.99228224917309815</v>
      </c>
      <c r="H131" s="184">
        <f t="shared" si="29"/>
        <v>0.96425966447848288</v>
      </c>
      <c r="I131" s="115"/>
      <c r="J131" s="115"/>
      <c r="K131" s="186"/>
      <c r="L131" s="186"/>
      <c r="M131" s="186"/>
      <c r="N131" s="186"/>
      <c r="O131" s="186"/>
      <c r="P131" s="186"/>
      <c r="Q131" s="187"/>
      <c r="R131" s="177"/>
      <c r="S131" s="177"/>
      <c r="T131" s="186"/>
      <c r="U131" s="139"/>
      <c r="V131" s="154"/>
      <c r="W131" s="170"/>
      <c r="X131" s="48" t="str">
        <f t="shared" si="23"/>
        <v>England</v>
      </c>
      <c r="Y131" s="55">
        <f>IF(Year1_England Year1_ReferralsAssessment="","",Year1_England Year1_ReferralsAssessment)</f>
        <v>565400</v>
      </c>
      <c r="Z131" s="55">
        <f>IF(Year2_England Year2_ReferralsAssessment="","",Year2_England Year2_ReferralsAssessment)</f>
        <v>548100</v>
      </c>
      <c r="AA131" s="55">
        <f>IF(Year3_England Year3_ReferralsAssessment="","",Year3_England Year3_ReferralsAssessment)</f>
        <v>559670</v>
      </c>
      <c r="AB131" s="55">
        <f>IF(Year4_England Year4_ReferralsAssessment="","",Year4_England Year4_ReferralsAssessment)</f>
        <v>580080</v>
      </c>
      <c r="AC131" s="55">
        <f>IF(Year5_England Year5_ReferralsAssessment="","",Year5_England Year5_ReferralsAssessment)</f>
        <v>593940</v>
      </c>
      <c r="AD131" s="226"/>
      <c r="AE131" s="232"/>
      <c r="AF131" s="232"/>
      <c r="AG131" s="232"/>
      <c r="AH131" s="217"/>
      <c r="AI131" s="232"/>
      <c r="AJ131" s="178"/>
    </row>
    <row r="132" spans="1:45" s="101" customFormat="1" ht="12.75" customHeight="1" x14ac:dyDescent="0.2">
      <c r="A132" s="138"/>
      <c r="B132" s="146" t="str">
        <f t="shared" si="24"/>
        <v>South East</v>
      </c>
      <c r="C132" s="97"/>
      <c r="D132" s="183">
        <f t="shared" si="25"/>
        <v>0.76997437121780565</v>
      </c>
      <c r="E132" s="183">
        <f t="shared" si="26"/>
        <v>0.84004127966976261</v>
      </c>
      <c r="F132" s="183">
        <f t="shared" si="27"/>
        <v>0.92645253682487727</v>
      </c>
      <c r="G132" s="183">
        <f t="shared" si="28"/>
        <v>0.88974981329350267</v>
      </c>
      <c r="H132" s="185">
        <f t="shared" si="29"/>
        <v>0.91697157331832257</v>
      </c>
      <c r="I132" s="115"/>
      <c r="J132" s="115"/>
      <c r="K132" s="188"/>
      <c r="L132" s="188"/>
      <c r="M132" s="188"/>
      <c r="N132" s="188"/>
      <c r="O132" s="188"/>
      <c r="P132" s="188"/>
      <c r="Q132" s="189"/>
      <c r="R132" s="177"/>
      <c r="S132" s="177"/>
      <c r="T132" s="190"/>
      <c r="U132" s="139"/>
      <c r="V132" s="154"/>
      <c r="W132" s="170"/>
      <c r="X132" s="399"/>
      <c r="Y132" s="400"/>
      <c r="Z132" s="223"/>
      <c r="AA132" s="223"/>
      <c r="AB132" s="224"/>
      <c r="AC132" s="224"/>
      <c r="AD132" s="226"/>
      <c r="AE132" s="232"/>
      <c r="AF132" s="232"/>
      <c r="AG132" s="232"/>
      <c r="AH132" s="217"/>
      <c r="AI132" s="232"/>
      <c r="AJ132" s="178"/>
    </row>
    <row r="133" spans="1:45" s="101" customFormat="1" ht="12.75" customHeight="1" x14ac:dyDescent="0.2">
      <c r="A133" s="138"/>
      <c r="B133" s="370" t="str">
        <f t="shared" si="24"/>
        <v>England</v>
      </c>
      <c r="C133" s="97"/>
      <c r="D133" s="401">
        <f t="shared" si="25"/>
        <v>0.85953177257525082</v>
      </c>
      <c r="E133" s="401">
        <f t="shared" si="26"/>
        <v>0.86233480176211452</v>
      </c>
      <c r="F133" s="401">
        <f t="shared" si="27"/>
        <v>0.90055835358102565</v>
      </c>
      <c r="G133" s="401">
        <f t="shared" si="28"/>
        <v>0.89778988423203121</v>
      </c>
      <c r="H133" s="402">
        <f t="shared" si="29"/>
        <v>0.90590729527324865</v>
      </c>
      <c r="I133" s="115"/>
      <c r="J133" s="115"/>
      <c r="K133" s="188"/>
      <c r="L133" s="188"/>
      <c r="M133" s="188"/>
      <c r="N133" s="188"/>
      <c r="O133" s="188"/>
      <c r="P133" s="188"/>
      <c r="Q133" s="189"/>
      <c r="R133" s="177"/>
      <c r="S133" s="177"/>
      <c r="T133" s="190"/>
      <c r="U133" s="139"/>
      <c r="V133" s="154"/>
      <c r="W133" s="170"/>
      <c r="X133" s="88"/>
      <c r="Y133" s="88"/>
      <c r="Z133" s="223"/>
      <c r="AA133" s="223"/>
      <c r="AB133" s="224"/>
      <c r="AC133" s="224"/>
      <c r="AD133" s="226"/>
      <c r="AE133" s="232"/>
      <c r="AF133" s="232"/>
      <c r="AG133" s="232"/>
      <c r="AH133" s="217"/>
      <c r="AI133" s="232"/>
      <c r="AJ133" s="178"/>
    </row>
    <row r="134" spans="1:45" s="101" customFormat="1" ht="7.5" customHeight="1" x14ac:dyDescent="0.2">
      <c r="A134" s="324"/>
      <c r="B134" s="115"/>
      <c r="C134" s="115"/>
      <c r="D134" s="115"/>
      <c r="E134" s="115"/>
      <c r="F134" s="115"/>
      <c r="G134" s="115"/>
      <c r="H134" s="115"/>
      <c r="I134" s="115"/>
      <c r="J134" s="115"/>
      <c r="K134" s="188"/>
      <c r="L134" s="188"/>
      <c r="M134" s="188"/>
      <c r="N134" s="188"/>
      <c r="O134" s="188"/>
      <c r="P134" s="188"/>
      <c r="Q134" s="189"/>
      <c r="R134" s="177"/>
      <c r="S134" s="177"/>
      <c r="T134" s="190"/>
      <c r="U134" s="139"/>
      <c r="V134" s="154"/>
      <c r="W134" s="170"/>
      <c r="X134" s="88"/>
      <c r="Y134" s="88"/>
      <c r="Z134" s="223"/>
      <c r="AA134" s="223"/>
      <c r="AB134" s="224"/>
      <c r="AC134" s="224"/>
      <c r="AD134" s="226"/>
      <c r="AE134" s="232"/>
      <c r="AF134" s="232"/>
      <c r="AG134" s="232"/>
      <c r="AH134" s="217"/>
      <c r="AI134" s="232"/>
      <c r="AJ134" s="178"/>
    </row>
    <row r="135" spans="1:45" s="88" customFormat="1" ht="39" customHeight="1" x14ac:dyDescent="0.2">
      <c r="A135" s="249"/>
      <c r="B135" s="254"/>
      <c r="C135" s="254"/>
      <c r="D135" s="254"/>
      <c r="E135" s="254"/>
      <c r="F135" s="254"/>
      <c r="G135" s="254"/>
      <c r="H135" s="254"/>
      <c r="I135" s="345"/>
      <c r="J135" s="192"/>
      <c r="K135" s="192"/>
      <c r="L135" s="192"/>
      <c r="M135" s="192"/>
      <c r="N135" s="192"/>
      <c r="O135" s="192"/>
      <c r="P135" s="192"/>
      <c r="Q135" s="151"/>
      <c r="R135" s="192"/>
      <c r="S135" s="192"/>
      <c r="T135" s="192"/>
      <c r="U135" s="134"/>
      <c r="V135" s="152"/>
      <c r="W135" s="168"/>
      <c r="AC135" s="224"/>
      <c r="AD135" s="226"/>
      <c r="AE135" s="210"/>
      <c r="AF135" s="210"/>
      <c r="AG135" s="210"/>
      <c r="AI135" s="210"/>
      <c r="AJ135" s="179"/>
    </row>
    <row r="136" spans="1:45" s="88" customFormat="1" ht="38.25" customHeight="1" x14ac:dyDescent="0.2">
      <c r="A136" s="249"/>
      <c r="B136" s="254"/>
      <c r="C136" s="254"/>
      <c r="D136" s="254"/>
      <c r="E136" s="254"/>
      <c r="F136" s="254"/>
      <c r="G136" s="254"/>
      <c r="H136" s="254"/>
      <c r="I136" s="345"/>
      <c r="J136" s="192"/>
      <c r="K136" s="192"/>
      <c r="L136" s="192"/>
      <c r="M136" s="192"/>
      <c r="N136" s="192"/>
      <c r="O136" s="192"/>
      <c r="P136" s="192"/>
      <c r="Q136" s="151"/>
      <c r="R136" s="192"/>
      <c r="S136" s="192"/>
      <c r="T136" s="192"/>
      <c r="U136" s="134"/>
      <c r="V136" s="152"/>
      <c r="W136" s="168"/>
      <c r="Y136" s="217"/>
      <c r="AD136" s="226"/>
      <c r="AE136" s="210"/>
      <c r="AF136" s="210"/>
      <c r="AG136" s="210"/>
      <c r="AI136" s="210"/>
      <c r="AJ136" s="179"/>
    </row>
    <row r="137" spans="1:45" s="88" customFormat="1" ht="38.25" customHeight="1" x14ac:dyDescent="0.2">
      <c r="A137" s="249"/>
      <c r="B137" s="254"/>
      <c r="C137" s="254"/>
      <c r="D137" s="254"/>
      <c r="E137" s="254"/>
      <c r="F137" s="254"/>
      <c r="G137" s="254"/>
      <c r="H137" s="254"/>
      <c r="I137" s="345"/>
      <c r="J137" s="192"/>
      <c r="K137" s="192"/>
      <c r="L137" s="192"/>
      <c r="M137" s="192"/>
      <c r="N137" s="192"/>
      <c r="O137" s="192"/>
      <c r="P137" s="192"/>
      <c r="Q137" s="151"/>
      <c r="R137" s="192"/>
      <c r="S137" s="192"/>
      <c r="T137" s="192"/>
      <c r="U137" s="134"/>
      <c r="V137" s="152"/>
      <c r="W137" s="168"/>
      <c r="Y137" s="217"/>
      <c r="AD137" s="226"/>
      <c r="AE137" s="210"/>
      <c r="AF137" s="210"/>
      <c r="AG137" s="210"/>
      <c r="AI137" s="210"/>
      <c r="AJ137" s="179"/>
    </row>
    <row r="138" spans="1:45" s="88" customFormat="1" ht="7.5" customHeight="1" x14ac:dyDescent="0.2">
      <c r="A138" s="135"/>
      <c r="B138" s="18"/>
      <c r="C138" s="18"/>
      <c r="D138" s="17"/>
      <c r="E138" s="17"/>
      <c r="F138" s="17"/>
      <c r="G138" s="17"/>
      <c r="H138" s="17"/>
      <c r="I138" s="17"/>
      <c r="J138" s="13"/>
      <c r="K138" s="19"/>
      <c r="L138" s="19"/>
      <c r="M138" s="19"/>
      <c r="N138" s="19"/>
      <c r="O138" s="19"/>
      <c r="P138" s="19"/>
      <c r="Q138" s="19"/>
      <c r="R138" s="19"/>
      <c r="S138" s="19"/>
      <c r="T138" s="20"/>
      <c r="U138" s="134"/>
      <c r="V138" s="152"/>
      <c r="W138" s="168"/>
      <c r="Y138" s="217"/>
      <c r="AI138" s="210"/>
      <c r="AJ138" s="175"/>
      <c r="AK138" s="80"/>
      <c r="AL138" s="80"/>
      <c r="AM138" s="80"/>
      <c r="AN138" s="80"/>
      <c r="AO138" s="80"/>
      <c r="AP138" s="80"/>
      <c r="AQ138" s="80"/>
    </row>
    <row r="139" spans="1:45" s="88" customFormat="1" ht="15" customHeight="1" x14ac:dyDescent="0.2">
      <c r="A139" s="1010"/>
      <c r="B139" s="1018"/>
      <c r="C139" s="1018"/>
      <c r="D139" s="1018"/>
      <c r="E139" s="1018"/>
      <c r="F139" s="1018"/>
      <c r="G139" s="1018"/>
      <c r="H139" s="1018"/>
      <c r="I139" s="1018"/>
      <c r="J139" s="1018"/>
      <c r="K139" s="1018"/>
      <c r="L139" s="1018"/>
      <c r="M139" s="1018"/>
      <c r="N139" s="1018"/>
      <c r="O139" s="1018"/>
      <c r="P139" s="1018"/>
      <c r="Q139" s="1018"/>
      <c r="R139" s="1018"/>
      <c r="S139" s="1018"/>
      <c r="T139" s="1018"/>
      <c r="U139" s="1019"/>
      <c r="V139" s="152"/>
      <c r="W139" s="168"/>
      <c r="AJ139" s="179"/>
      <c r="AS139" s="80"/>
    </row>
    <row r="140" spans="1:45" s="88" customFormat="1" ht="11.25" customHeight="1" x14ac:dyDescent="0.2">
      <c r="A140" s="1020" t="str">
        <f>Home!$A$35</f>
        <v>LA's provide quarterly data on the condition that it is used by the benchmarking group for internal reporting only. Please DO NOT share other LA's data with any external partners or the public</v>
      </c>
      <c r="B140" s="1021"/>
      <c r="C140" s="1021"/>
      <c r="D140" s="1021"/>
      <c r="E140" s="1021"/>
      <c r="F140" s="1021"/>
      <c r="G140" s="1021"/>
      <c r="H140" s="1021"/>
      <c r="I140" s="1022"/>
      <c r="J140" s="1021"/>
      <c r="K140" s="1021"/>
      <c r="L140" s="1021"/>
      <c r="M140" s="1021"/>
      <c r="N140" s="1021"/>
      <c r="O140" s="1021"/>
      <c r="P140" s="1021"/>
      <c r="Q140" s="1021"/>
      <c r="R140" s="1021"/>
      <c r="S140" s="1022"/>
      <c r="T140" s="1021"/>
      <c r="U140" s="1023"/>
      <c r="V140" s="152"/>
      <c r="W140" s="168"/>
      <c r="AI140" s="210"/>
      <c r="AJ140" s="178"/>
      <c r="AK140" s="101"/>
      <c r="AS140" s="80"/>
    </row>
    <row r="141" spans="1:45" ht="11.25" customHeight="1" x14ac:dyDescent="0.2">
      <c r="A141" s="157"/>
      <c r="B141" s="130"/>
      <c r="C141" s="130"/>
      <c r="D141" s="130"/>
      <c r="E141" s="130"/>
      <c r="F141" s="130"/>
      <c r="G141" s="130"/>
      <c r="H141" s="130"/>
      <c r="I141" s="130"/>
      <c r="J141" s="131"/>
      <c r="K141" s="130"/>
      <c r="L141" s="130"/>
      <c r="M141" s="130"/>
      <c r="N141" s="130"/>
      <c r="O141" s="130"/>
      <c r="P141" s="130"/>
      <c r="Q141" s="130"/>
      <c r="R141" s="130"/>
      <c r="S141" s="130"/>
      <c r="T141" s="130"/>
      <c r="U141" s="130"/>
      <c r="V141" s="152"/>
      <c r="W141" s="168"/>
      <c r="AE141" s="89"/>
      <c r="AH141" s="210"/>
      <c r="AI141" s="210"/>
      <c r="AJ141" s="175"/>
      <c r="AL141" s="88"/>
      <c r="AM141" s="88"/>
      <c r="AN141" s="88"/>
      <c r="AO141" s="88"/>
      <c r="AP141" s="88"/>
      <c r="AQ141" s="88"/>
    </row>
    <row r="142" spans="1:45" ht="11.25" customHeight="1" x14ac:dyDescent="0.2">
      <c r="A142" s="158"/>
      <c r="B142" s="9"/>
      <c r="C142" s="9"/>
      <c r="D142" s="9"/>
      <c r="E142" s="9"/>
      <c r="F142" s="9"/>
      <c r="G142" s="9"/>
      <c r="H142" s="9"/>
      <c r="I142" s="9"/>
      <c r="J142" s="13"/>
      <c r="K142" s="9"/>
      <c r="L142" s="9"/>
      <c r="M142" s="9"/>
      <c r="N142" s="9"/>
      <c r="O142" s="9"/>
      <c r="P142" s="9"/>
      <c r="Q142" s="9"/>
      <c r="R142" s="9"/>
      <c r="S142" s="9"/>
      <c r="T142" s="9"/>
      <c r="U142" s="9"/>
      <c r="V142" s="152"/>
      <c r="W142" s="168"/>
      <c r="AE142" s="89"/>
      <c r="AH142" s="210"/>
      <c r="AI142" s="210"/>
      <c r="AJ142" s="175"/>
      <c r="AL142" s="88"/>
      <c r="AM142" s="88"/>
      <c r="AN142" s="88"/>
      <c r="AO142" s="88"/>
      <c r="AP142" s="88"/>
      <c r="AQ142" s="88"/>
    </row>
    <row r="143" spans="1:45" ht="11.25" customHeight="1" x14ac:dyDescent="0.2">
      <c r="A143" s="158"/>
      <c r="B143" s="1006" t="s">
        <v>82</v>
      </c>
      <c r="C143" s="120"/>
      <c r="D143" s="15"/>
      <c r="E143" s="15"/>
      <c r="F143" s="9"/>
      <c r="G143" s="9"/>
      <c r="H143" s="9"/>
      <c r="I143" s="9"/>
      <c r="J143" s="13"/>
      <c r="K143" s="9"/>
      <c r="L143" s="9"/>
      <c r="M143" s="9"/>
      <c r="N143" s="9"/>
      <c r="O143" s="9"/>
      <c r="P143" s="9"/>
      <c r="Q143" s="9"/>
      <c r="R143" s="9"/>
      <c r="S143" s="9"/>
      <c r="T143" s="9"/>
      <c r="U143" s="9"/>
      <c r="V143" s="152"/>
      <c r="W143" s="168"/>
      <c r="AE143" s="89"/>
      <c r="AH143" s="210"/>
      <c r="AI143" s="210"/>
      <c r="AJ143" s="175"/>
      <c r="AL143" s="88"/>
      <c r="AM143" s="88"/>
      <c r="AN143" s="88"/>
      <c r="AO143" s="88"/>
      <c r="AP143" s="88"/>
      <c r="AQ143" s="88"/>
    </row>
    <row r="144" spans="1:45" ht="11.25" customHeight="1" x14ac:dyDescent="0.2">
      <c r="A144" s="158"/>
      <c r="B144" s="1007"/>
      <c r="C144" s="121"/>
      <c r="D144" s="9"/>
      <c r="E144" s="9"/>
      <c r="F144" s="9"/>
      <c r="G144" s="9"/>
      <c r="H144" s="9"/>
      <c r="I144" s="9"/>
      <c r="J144" s="13"/>
      <c r="K144" s="9"/>
      <c r="L144" s="9"/>
      <c r="M144" s="9"/>
      <c r="N144" s="9"/>
      <c r="O144" s="9"/>
      <c r="P144" s="9"/>
      <c r="Q144" s="9"/>
      <c r="R144" s="9"/>
      <c r="S144" s="9"/>
      <c r="T144" s="9"/>
      <c r="U144" s="9"/>
      <c r="V144" s="152"/>
      <c r="W144" s="168"/>
      <c r="AE144" s="89"/>
      <c r="AH144" s="210"/>
      <c r="AI144" s="210"/>
      <c r="AJ144" s="175"/>
    </row>
    <row r="145" spans="1:36" ht="11.25" customHeight="1" x14ac:dyDescent="0.2">
      <c r="A145" s="158"/>
      <c r="B145" s="973" t="s">
        <v>81</v>
      </c>
      <c r="C145" s="974"/>
      <c r="D145" s="974"/>
      <c r="E145" s="974"/>
      <c r="F145" s="974"/>
      <c r="G145" s="974"/>
      <c r="H145" s="9"/>
      <c r="I145" s="9"/>
      <c r="J145" s="13"/>
      <c r="K145" s="9"/>
      <c r="L145" s="9"/>
      <c r="M145" s="9"/>
      <c r="N145" s="9"/>
      <c r="O145" s="9"/>
      <c r="P145" s="9"/>
      <c r="Q145" s="9"/>
      <c r="R145" s="9"/>
      <c r="S145" s="9"/>
      <c r="T145" s="9"/>
      <c r="U145" s="9"/>
      <c r="V145" s="152"/>
      <c r="W145" s="168"/>
      <c r="AE145" s="89"/>
      <c r="AH145" s="210"/>
      <c r="AI145" s="210"/>
      <c r="AJ145" s="175"/>
    </row>
    <row r="146" spans="1:36" ht="11.25" customHeight="1" x14ac:dyDescent="0.2">
      <c r="A146" s="158"/>
      <c r="B146" s="973"/>
      <c r="C146" s="974"/>
      <c r="D146" s="974"/>
      <c r="E146" s="974"/>
      <c r="F146" s="974"/>
      <c r="G146" s="974"/>
      <c r="H146" s="9"/>
      <c r="I146" s="9"/>
      <c r="J146" s="13"/>
      <c r="K146" s="9"/>
      <c r="L146" s="9"/>
      <c r="M146" s="9"/>
      <c r="N146" s="9"/>
      <c r="O146" s="9"/>
      <c r="P146" s="9"/>
      <c r="Q146" s="9"/>
      <c r="R146" s="9"/>
      <c r="S146" s="9"/>
      <c r="T146" s="9"/>
      <c r="U146" s="9"/>
      <c r="V146" s="152"/>
      <c r="W146" s="168"/>
      <c r="AE146" s="89"/>
      <c r="AH146" s="215"/>
      <c r="AI146" s="215"/>
      <c r="AJ146" s="176"/>
    </row>
    <row r="147" spans="1:36" s="82" customFormat="1" ht="11.25" customHeight="1" x14ac:dyDescent="0.2">
      <c r="A147" s="158"/>
      <c r="B147" s="973" t="s">
        <v>78</v>
      </c>
      <c r="C147" s="975"/>
      <c r="D147" s="975"/>
      <c r="E147" s="975"/>
      <c r="F147" s="975"/>
      <c r="G147" s="975"/>
      <c r="H147" s="15"/>
      <c r="I147" s="15"/>
      <c r="J147" s="15"/>
      <c r="K147" s="15"/>
      <c r="L147" s="15"/>
      <c r="M147" s="15"/>
      <c r="N147" s="15"/>
      <c r="O147" s="15"/>
      <c r="P147" s="15"/>
      <c r="Q147" s="15"/>
      <c r="R147" s="15"/>
      <c r="S147" s="15"/>
      <c r="T147" s="15"/>
      <c r="U147" s="15"/>
      <c r="V147" s="155"/>
      <c r="W147" s="172"/>
      <c r="X147" s="88"/>
      <c r="Y147" s="88"/>
      <c r="Z147" s="88"/>
      <c r="AA147" s="88"/>
      <c r="AB147" s="88"/>
      <c r="AC147" s="88"/>
      <c r="AD147" s="88"/>
      <c r="AE147" s="89"/>
      <c r="AF147" s="88"/>
      <c r="AG147" s="88"/>
      <c r="AH147" s="210"/>
      <c r="AI147" s="210"/>
      <c r="AJ147" s="175"/>
    </row>
    <row r="148" spans="1:36" ht="11.25" customHeight="1" x14ac:dyDescent="0.2">
      <c r="A148" s="158"/>
      <c r="B148" s="973"/>
      <c r="C148" s="975"/>
      <c r="D148" s="975"/>
      <c r="E148" s="975"/>
      <c r="F148" s="975"/>
      <c r="G148" s="975"/>
      <c r="H148" s="9"/>
      <c r="I148" s="9"/>
      <c r="J148" s="13"/>
      <c r="K148" s="9"/>
      <c r="L148" s="9"/>
      <c r="M148" s="9"/>
      <c r="N148" s="9"/>
      <c r="O148" s="9"/>
      <c r="P148" s="9"/>
      <c r="Q148" s="9"/>
      <c r="R148" s="9"/>
      <c r="S148" s="9"/>
      <c r="T148" s="9"/>
      <c r="U148" s="9"/>
      <c r="V148" s="152"/>
      <c r="W148" s="168"/>
      <c r="AE148" s="89"/>
      <c r="AH148" s="210"/>
      <c r="AI148" s="210"/>
      <c r="AJ148" s="175"/>
    </row>
    <row r="149" spans="1:36" ht="11.25" customHeight="1" x14ac:dyDescent="0.2">
      <c r="A149" s="158"/>
      <c r="B149" s="976" t="s">
        <v>18</v>
      </c>
      <c r="C149" s="977"/>
      <c r="D149" s="977"/>
      <c r="E149" s="977"/>
      <c r="F149" s="977"/>
      <c r="G149" s="977"/>
      <c r="H149" s="9"/>
      <c r="I149" s="9"/>
      <c r="J149" s="13"/>
      <c r="K149" s="9"/>
      <c r="L149" s="9"/>
      <c r="M149" s="9"/>
      <c r="N149" s="9"/>
      <c r="O149" s="9"/>
      <c r="P149" s="9"/>
      <c r="Q149" s="9"/>
      <c r="R149" s="9"/>
      <c r="S149" s="9"/>
      <c r="T149" s="9"/>
      <c r="U149" s="9"/>
      <c r="V149" s="152"/>
      <c r="W149" s="168"/>
      <c r="AE149" s="89"/>
      <c r="AH149" s="210"/>
      <c r="AI149" s="210"/>
      <c r="AJ149" s="175"/>
    </row>
    <row r="150" spans="1:36" ht="11.25" customHeight="1" x14ac:dyDescent="0.2">
      <c r="A150" s="158"/>
      <c r="B150" s="976"/>
      <c r="C150" s="977"/>
      <c r="D150" s="977"/>
      <c r="E150" s="977"/>
      <c r="F150" s="977"/>
      <c r="G150" s="977"/>
      <c r="H150" s="9"/>
      <c r="I150" s="9"/>
      <c r="J150" s="13"/>
      <c r="K150" s="9"/>
      <c r="L150" s="9"/>
      <c r="M150" s="9"/>
      <c r="N150" s="9"/>
      <c r="O150" s="9"/>
      <c r="P150" s="9"/>
      <c r="Q150" s="9"/>
      <c r="R150" s="9"/>
      <c r="S150" s="9"/>
      <c r="T150" s="9"/>
      <c r="U150" s="9"/>
      <c r="V150" s="152"/>
      <c r="W150" s="168"/>
      <c r="AE150" s="89"/>
      <c r="AH150" s="210"/>
      <c r="AI150" s="210"/>
      <c r="AJ150" s="175"/>
    </row>
    <row r="151" spans="1:36" ht="11.25" customHeight="1" x14ac:dyDescent="0.2">
      <c r="A151" s="158"/>
      <c r="B151" s="976" t="s">
        <v>210</v>
      </c>
      <c r="C151" s="976"/>
      <c r="D151" s="978"/>
      <c r="E151" s="978"/>
      <c r="F151" s="978"/>
      <c r="G151" s="924"/>
      <c r="H151" s="9"/>
      <c r="I151" s="9"/>
      <c r="J151" s="13"/>
      <c r="K151" s="9"/>
      <c r="L151" s="9"/>
      <c r="M151" s="9"/>
      <c r="N151" s="9"/>
      <c r="O151" s="9"/>
      <c r="P151" s="9"/>
      <c r="Q151" s="9"/>
      <c r="R151" s="9"/>
      <c r="S151" s="9"/>
      <c r="T151" s="9"/>
      <c r="U151" s="11"/>
      <c r="V151" s="281"/>
      <c r="W151" s="168"/>
      <c r="AE151" s="89"/>
      <c r="AH151" s="210"/>
      <c r="AI151" s="210"/>
      <c r="AJ151" s="175"/>
    </row>
    <row r="152" spans="1:36" ht="11.25" customHeight="1" x14ac:dyDescent="0.2">
      <c r="A152" s="158"/>
      <c r="B152" s="976"/>
      <c r="C152" s="976"/>
      <c r="D152" s="978"/>
      <c r="E152" s="978"/>
      <c r="F152" s="978"/>
      <c r="G152" s="924"/>
      <c r="H152" s="9"/>
      <c r="I152" s="9"/>
      <c r="J152" s="13"/>
      <c r="K152" s="9"/>
      <c r="L152" s="9"/>
      <c r="M152" s="9"/>
      <c r="N152" s="9"/>
      <c r="O152" s="9"/>
      <c r="P152" s="9"/>
      <c r="Q152" s="9"/>
      <c r="R152" s="9"/>
      <c r="S152" s="9"/>
      <c r="T152" s="9"/>
      <c r="U152" s="11"/>
      <c r="V152" s="281"/>
      <c r="W152" s="168"/>
      <c r="AE152" s="89"/>
      <c r="AH152" s="210"/>
      <c r="AI152" s="210"/>
      <c r="AJ152" s="175"/>
    </row>
    <row r="153" spans="1:36" ht="11.25" customHeight="1" x14ac:dyDescent="0.2">
      <c r="A153" s="158"/>
      <c r="B153" s="976" t="s">
        <v>211</v>
      </c>
      <c r="C153" s="976"/>
      <c r="D153" s="978"/>
      <c r="E153" s="978"/>
      <c r="F153" s="978"/>
      <c r="G153" s="924"/>
      <c r="H153" s="9"/>
      <c r="I153" s="9"/>
      <c r="J153" s="13"/>
      <c r="K153" s="9"/>
      <c r="L153" s="9"/>
      <c r="M153" s="9"/>
      <c r="N153" s="9"/>
      <c r="O153" s="9"/>
      <c r="P153" s="9"/>
      <c r="Q153" s="9"/>
      <c r="R153" s="9"/>
      <c r="S153" s="9"/>
      <c r="T153" s="9"/>
      <c r="U153" s="11"/>
      <c r="V153" s="281"/>
      <c r="W153" s="168"/>
      <c r="AE153" s="89"/>
      <c r="AH153" s="210"/>
      <c r="AI153" s="210"/>
      <c r="AJ153" s="175"/>
    </row>
    <row r="154" spans="1:36" ht="11.25" customHeight="1" x14ac:dyDescent="0.2">
      <c r="A154" s="158"/>
      <c r="B154" s="976"/>
      <c r="C154" s="976"/>
      <c r="D154" s="978"/>
      <c r="E154" s="978"/>
      <c r="F154" s="978"/>
      <c r="G154" s="924"/>
      <c r="H154" s="9"/>
      <c r="I154" s="9"/>
      <c r="J154" s="13"/>
      <c r="K154" s="9"/>
      <c r="L154" s="9"/>
      <c r="M154" s="9"/>
      <c r="N154" s="9"/>
      <c r="O154" s="9"/>
      <c r="P154" s="9"/>
      <c r="Q154" s="9"/>
      <c r="R154" s="9"/>
      <c r="S154" s="9"/>
      <c r="T154" s="9"/>
      <c r="U154" s="11"/>
      <c r="V154" s="281"/>
      <c r="W154" s="168"/>
      <c r="AE154" s="89"/>
      <c r="AH154" s="210"/>
      <c r="AI154" s="210"/>
      <c r="AJ154" s="175"/>
    </row>
    <row r="155" spans="1:36" ht="11.25" customHeight="1" x14ac:dyDescent="0.2">
      <c r="A155" s="158"/>
      <c r="B155" s="976" t="s">
        <v>212</v>
      </c>
      <c r="C155" s="976"/>
      <c r="D155" s="978"/>
      <c r="E155" s="978"/>
      <c r="F155" s="978"/>
      <c r="G155" s="924"/>
      <c r="H155" s="9"/>
      <c r="I155" s="9"/>
      <c r="J155" s="13"/>
      <c r="K155" s="9"/>
      <c r="L155" s="9"/>
      <c r="M155" s="9"/>
      <c r="N155" s="9"/>
      <c r="O155" s="9"/>
      <c r="P155" s="9"/>
      <c r="Q155" s="9"/>
      <c r="R155" s="9"/>
      <c r="S155" s="9"/>
      <c r="T155" s="9"/>
      <c r="U155" s="11"/>
      <c r="V155" s="281"/>
      <c r="W155" s="168"/>
      <c r="AE155" s="89"/>
      <c r="AH155" s="210"/>
      <c r="AI155" s="210"/>
      <c r="AJ155" s="175"/>
    </row>
    <row r="156" spans="1:36" ht="11.25" customHeight="1" x14ac:dyDescent="0.2">
      <c r="A156" s="158"/>
      <c r="B156" s="976"/>
      <c r="C156" s="976"/>
      <c r="D156" s="978"/>
      <c r="E156" s="978"/>
      <c r="F156" s="978"/>
      <c r="G156" s="924"/>
      <c r="H156" s="9"/>
      <c r="I156" s="9"/>
      <c r="J156" s="13"/>
      <c r="K156" s="9"/>
      <c r="L156" s="9"/>
      <c r="M156" s="9"/>
      <c r="N156" s="9"/>
      <c r="O156" s="9"/>
      <c r="P156" s="9"/>
      <c r="Q156" s="9"/>
      <c r="R156" s="9"/>
      <c r="S156" s="9"/>
      <c r="T156" s="9"/>
      <c r="U156" s="11"/>
      <c r="V156" s="281"/>
      <c r="W156" s="168"/>
      <c r="AE156" s="89"/>
      <c r="AH156" s="210"/>
      <c r="AI156" s="210"/>
      <c r="AJ156" s="175"/>
    </row>
    <row r="157" spans="1:36" ht="11.25" customHeight="1" x14ac:dyDescent="0.2">
      <c r="A157" s="158"/>
      <c r="B157" s="973" t="s">
        <v>80</v>
      </c>
      <c r="C157" s="974"/>
      <c r="D157" s="974"/>
      <c r="E157" s="974"/>
      <c r="F157" s="974"/>
      <c r="G157" s="974"/>
      <c r="H157" s="9"/>
      <c r="I157" s="9"/>
      <c r="J157" s="13"/>
      <c r="K157" s="9"/>
      <c r="L157" s="9"/>
      <c r="M157" s="9"/>
      <c r="N157" s="9"/>
      <c r="O157" s="9"/>
      <c r="P157" s="9"/>
      <c r="Q157" s="9"/>
      <c r="R157" s="9"/>
      <c r="S157" s="9"/>
      <c r="T157" s="9"/>
      <c r="U157" s="9"/>
      <c r="V157" s="152"/>
      <c r="W157" s="168"/>
      <c r="AE157" s="89"/>
      <c r="AH157" s="210"/>
      <c r="AI157" s="210"/>
      <c r="AJ157" s="175"/>
    </row>
    <row r="158" spans="1:36" ht="11.25" customHeight="1" x14ac:dyDescent="0.2">
      <c r="A158" s="158"/>
      <c r="B158" s="973"/>
      <c r="C158" s="974"/>
      <c r="D158" s="974"/>
      <c r="E158" s="974"/>
      <c r="F158" s="974"/>
      <c r="G158" s="974"/>
      <c r="H158" s="9"/>
      <c r="I158" s="9"/>
      <c r="J158" s="13"/>
      <c r="K158" s="9"/>
      <c r="L158" s="9"/>
      <c r="M158" s="9"/>
      <c r="N158" s="9"/>
      <c r="O158" s="9"/>
      <c r="P158" s="9"/>
      <c r="Q158" s="9"/>
      <c r="R158" s="9"/>
      <c r="S158" s="9"/>
      <c r="T158" s="9"/>
      <c r="U158" s="9"/>
      <c r="V158" s="152"/>
      <c r="W158" s="168"/>
      <c r="AE158" s="89"/>
      <c r="AH158" s="210"/>
      <c r="AI158" s="210"/>
      <c r="AJ158" s="175"/>
    </row>
    <row r="159" spans="1:36" ht="11.25" customHeight="1" x14ac:dyDescent="0.2">
      <c r="A159" s="158"/>
      <c r="B159" s="973" t="s">
        <v>69</v>
      </c>
      <c r="C159" s="974"/>
      <c r="D159" s="974"/>
      <c r="E159" s="974"/>
      <c r="F159" s="974"/>
      <c r="G159" s="974"/>
      <c r="H159" s="9"/>
      <c r="I159" s="9"/>
      <c r="J159" s="13"/>
      <c r="K159" s="9"/>
      <c r="L159" s="9"/>
      <c r="M159" s="9"/>
      <c r="N159" s="9"/>
      <c r="O159" s="9"/>
      <c r="P159" s="9"/>
      <c r="Q159" s="9"/>
      <c r="R159" s="9"/>
      <c r="S159" s="9"/>
      <c r="T159" s="9"/>
      <c r="U159" s="9"/>
      <c r="V159" s="152"/>
      <c r="W159" s="168"/>
      <c r="AE159" s="89"/>
      <c r="AH159" s="210"/>
      <c r="AI159" s="210"/>
      <c r="AJ159" s="175"/>
    </row>
    <row r="160" spans="1:36" ht="11.25" customHeight="1" x14ac:dyDescent="0.2">
      <c r="A160" s="158"/>
      <c r="B160" s="973"/>
      <c r="C160" s="974"/>
      <c r="D160" s="974"/>
      <c r="E160" s="974"/>
      <c r="F160" s="974"/>
      <c r="G160" s="974"/>
      <c r="H160" s="9"/>
      <c r="I160" s="9"/>
      <c r="J160" s="13"/>
      <c r="K160" s="9"/>
      <c r="L160" s="9"/>
      <c r="M160" s="9"/>
      <c r="N160" s="9"/>
      <c r="O160" s="9"/>
      <c r="P160" s="9"/>
      <c r="Q160" s="9"/>
      <c r="R160" s="9"/>
      <c r="S160" s="9"/>
      <c r="T160" s="9"/>
      <c r="U160" s="9"/>
      <c r="V160" s="152"/>
      <c r="W160" s="168"/>
      <c r="AE160" s="89"/>
      <c r="AH160" s="210"/>
      <c r="AI160" s="210"/>
      <c r="AJ160" s="175"/>
    </row>
    <row r="161" spans="1:36" ht="11.25" customHeight="1" x14ac:dyDescent="0.2">
      <c r="A161" s="158"/>
      <c r="B161" s="973" t="s">
        <v>25</v>
      </c>
      <c r="C161" s="974"/>
      <c r="D161" s="974"/>
      <c r="E161" s="974"/>
      <c r="F161" s="974"/>
      <c r="G161" s="974"/>
      <c r="H161" s="9"/>
      <c r="I161" s="9"/>
      <c r="J161" s="13"/>
      <c r="K161" s="9"/>
      <c r="L161" s="9"/>
      <c r="M161" s="9"/>
      <c r="N161" s="9"/>
      <c r="O161" s="9"/>
      <c r="P161" s="9"/>
      <c r="Q161" s="9"/>
      <c r="R161" s="9"/>
      <c r="S161" s="9"/>
      <c r="T161" s="9"/>
      <c r="U161" s="9"/>
      <c r="V161" s="152"/>
      <c r="W161" s="168"/>
      <c r="AE161" s="89"/>
      <c r="AH161" s="210"/>
      <c r="AI161" s="210"/>
      <c r="AJ161" s="175"/>
    </row>
    <row r="162" spans="1:36" ht="11.25" customHeight="1" x14ac:dyDescent="0.2">
      <c r="A162" s="158"/>
      <c r="B162" s="973"/>
      <c r="C162" s="974"/>
      <c r="D162" s="974"/>
      <c r="E162" s="974"/>
      <c r="F162" s="974"/>
      <c r="G162" s="974"/>
      <c r="H162" s="9"/>
      <c r="I162" s="9"/>
      <c r="J162" s="13"/>
      <c r="K162" s="9"/>
      <c r="L162" s="9"/>
      <c r="M162" s="9"/>
      <c r="N162" s="9"/>
      <c r="O162" s="9"/>
      <c r="P162" s="9"/>
      <c r="Q162" s="9"/>
      <c r="R162" s="9"/>
      <c r="S162" s="9"/>
      <c r="T162" s="9"/>
      <c r="U162" s="9"/>
      <c r="V162" s="152"/>
      <c r="W162" s="168"/>
      <c r="AE162" s="89"/>
      <c r="AH162" s="210"/>
      <c r="AI162" s="210"/>
      <c r="AJ162" s="175"/>
    </row>
    <row r="163" spans="1:36" ht="11.25" customHeight="1" x14ac:dyDescent="0.2">
      <c r="A163" s="158"/>
      <c r="B163" s="973" t="s">
        <v>23</v>
      </c>
      <c r="C163" s="974"/>
      <c r="D163" s="974"/>
      <c r="E163" s="974"/>
      <c r="F163" s="974"/>
      <c r="G163" s="974"/>
      <c r="H163" s="9"/>
      <c r="I163" s="9"/>
      <c r="J163" s="13"/>
      <c r="K163" s="9"/>
      <c r="L163" s="9"/>
      <c r="M163" s="9"/>
      <c r="N163" s="9"/>
      <c r="O163" s="9"/>
      <c r="P163" s="9"/>
      <c r="Q163" s="9"/>
      <c r="R163" s="9"/>
      <c r="S163" s="9"/>
      <c r="T163" s="9"/>
      <c r="U163" s="9"/>
      <c r="V163" s="152"/>
      <c r="W163" s="168"/>
      <c r="AE163" s="89"/>
      <c r="AH163" s="210"/>
      <c r="AI163" s="210"/>
      <c r="AJ163" s="175"/>
    </row>
    <row r="164" spans="1:36" ht="11.25" customHeight="1" x14ac:dyDescent="0.2">
      <c r="A164" s="158"/>
      <c r="B164" s="973"/>
      <c r="C164" s="974"/>
      <c r="D164" s="974"/>
      <c r="E164" s="974"/>
      <c r="F164" s="974"/>
      <c r="G164" s="974"/>
      <c r="H164" s="9"/>
      <c r="I164" s="9"/>
      <c r="J164" s="13"/>
      <c r="K164" s="9"/>
      <c r="L164" s="9"/>
      <c r="M164" s="9"/>
      <c r="N164" s="9"/>
      <c r="O164" s="9"/>
      <c r="P164" s="9"/>
      <c r="Q164" s="9"/>
      <c r="R164" s="9"/>
      <c r="S164" s="9"/>
      <c r="T164" s="9"/>
      <c r="U164" s="9"/>
      <c r="V164" s="152"/>
      <c r="W164" s="168"/>
      <c r="AE164" s="89"/>
      <c r="AH164" s="210"/>
      <c r="AI164" s="210"/>
      <c r="AJ164" s="175"/>
    </row>
    <row r="165" spans="1:36" ht="11.25" customHeight="1" x14ac:dyDescent="0.2">
      <c r="A165" s="158"/>
      <c r="B165" s="973" t="s">
        <v>26</v>
      </c>
      <c r="C165" s="974"/>
      <c r="D165" s="974"/>
      <c r="E165" s="974"/>
      <c r="F165" s="974"/>
      <c r="G165" s="974"/>
      <c r="H165" s="9"/>
      <c r="I165" s="9"/>
      <c r="J165" s="13"/>
      <c r="K165" s="9"/>
      <c r="L165" s="9"/>
      <c r="M165" s="9"/>
      <c r="N165" s="9"/>
      <c r="O165" s="9"/>
      <c r="P165" s="9"/>
      <c r="Q165" s="9"/>
      <c r="R165" s="9"/>
      <c r="S165" s="9"/>
      <c r="T165" s="9"/>
      <c r="U165" s="9"/>
      <c r="V165" s="152"/>
      <c r="W165" s="168"/>
      <c r="AE165" s="89"/>
      <c r="AH165" s="210"/>
      <c r="AI165" s="210"/>
      <c r="AJ165" s="175"/>
    </row>
    <row r="166" spans="1:36" ht="11.25" customHeight="1" x14ac:dyDescent="0.2">
      <c r="A166" s="158"/>
      <c r="B166" s="973"/>
      <c r="C166" s="974"/>
      <c r="D166" s="974"/>
      <c r="E166" s="974"/>
      <c r="F166" s="974"/>
      <c r="G166" s="974"/>
      <c r="H166" s="9"/>
      <c r="I166" s="9"/>
      <c r="J166" s="13"/>
      <c r="K166" s="9"/>
      <c r="L166" s="9"/>
      <c r="M166" s="9"/>
      <c r="N166" s="9"/>
      <c r="O166" s="9"/>
      <c r="P166" s="9"/>
      <c r="Q166" s="9"/>
      <c r="R166" s="9"/>
      <c r="S166" s="9"/>
      <c r="T166" s="9"/>
      <c r="U166" s="9"/>
      <c r="V166" s="152"/>
      <c r="W166" s="168"/>
      <c r="AE166" s="89"/>
      <c r="AH166" s="210"/>
      <c r="AI166" s="210"/>
      <c r="AJ166" s="175"/>
    </row>
    <row r="167" spans="1:36" ht="11.25" customHeight="1" x14ac:dyDescent="0.2">
      <c r="A167" s="158"/>
      <c r="B167" s="973" t="s">
        <v>19</v>
      </c>
      <c r="C167" s="974"/>
      <c r="D167" s="974"/>
      <c r="E167" s="974"/>
      <c r="F167" s="974"/>
      <c r="G167" s="974"/>
      <c r="H167" s="9"/>
      <c r="I167" s="9"/>
      <c r="J167" s="13"/>
      <c r="K167" s="9"/>
      <c r="L167" s="9"/>
      <c r="M167" s="9"/>
      <c r="N167" s="9"/>
      <c r="O167" s="9"/>
      <c r="P167" s="9"/>
      <c r="Q167" s="9"/>
      <c r="R167" s="9"/>
      <c r="S167" s="9"/>
      <c r="T167" s="9"/>
      <c r="U167" s="9"/>
      <c r="V167" s="152"/>
      <c r="W167" s="168"/>
      <c r="AE167" s="89"/>
      <c r="AH167" s="210"/>
      <c r="AI167" s="210"/>
      <c r="AJ167" s="175"/>
    </row>
    <row r="168" spans="1:36" ht="11.25" customHeight="1" x14ac:dyDescent="0.2">
      <c r="A168" s="158"/>
      <c r="B168" s="973"/>
      <c r="C168" s="974"/>
      <c r="D168" s="974"/>
      <c r="E168" s="974"/>
      <c r="F168" s="974"/>
      <c r="G168" s="974"/>
      <c r="H168" s="9"/>
      <c r="I168" s="9"/>
      <c r="J168" s="13"/>
      <c r="K168" s="9"/>
      <c r="L168" s="9"/>
      <c r="M168" s="9"/>
      <c r="N168" s="9"/>
      <c r="O168" s="9"/>
      <c r="P168" s="9"/>
      <c r="Q168" s="9"/>
      <c r="R168" s="9"/>
      <c r="S168" s="9"/>
      <c r="T168" s="9"/>
      <c r="U168" s="9"/>
      <c r="V168" s="152"/>
      <c r="W168" s="168"/>
      <c r="AE168" s="89"/>
      <c r="AH168" s="210"/>
      <c r="AI168" s="210"/>
      <c r="AJ168" s="175"/>
    </row>
    <row r="169" spans="1:36" ht="11.25" customHeight="1" x14ac:dyDescent="0.2">
      <c r="A169" s="158"/>
      <c r="B169" s="973" t="s">
        <v>20</v>
      </c>
      <c r="C169" s="930"/>
      <c r="D169" s="930"/>
      <c r="E169" s="930"/>
      <c r="F169" s="930"/>
      <c r="G169" s="930"/>
      <c r="H169" s="930"/>
      <c r="I169" s="9"/>
      <c r="J169" s="13"/>
      <c r="K169" s="9"/>
      <c r="L169" s="9"/>
      <c r="M169" s="9"/>
      <c r="N169" s="9"/>
      <c r="O169" s="9"/>
      <c r="P169" s="9"/>
      <c r="Q169" s="9"/>
      <c r="R169" s="9"/>
      <c r="S169" s="9"/>
      <c r="T169" s="9"/>
      <c r="U169" s="9"/>
      <c r="V169" s="152"/>
      <c r="W169" s="168"/>
      <c r="AE169" s="89"/>
      <c r="AH169" s="210"/>
      <c r="AI169" s="210"/>
      <c r="AJ169" s="175"/>
    </row>
    <row r="170" spans="1:36" ht="11.25" customHeight="1" x14ac:dyDescent="0.2">
      <c r="A170" s="158"/>
      <c r="B170" s="930"/>
      <c r="C170" s="930"/>
      <c r="D170" s="930"/>
      <c r="E170" s="930"/>
      <c r="F170" s="930"/>
      <c r="G170" s="930"/>
      <c r="H170" s="930"/>
      <c r="I170" s="9"/>
      <c r="J170" s="13"/>
      <c r="K170" s="9"/>
      <c r="L170" s="9"/>
      <c r="M170" s="9"/>
      <c r="N170" s="9"/>
      <c r="O170" s="9"/>
      <c r="P170" s="9"/>
      <c r="Q170" s="9"/>
      <c r="R170" s="9"/>
      <c r="S170" s="9"/>
      <c r="T170" s="9"/>
      <c r="U170" s="9"/>
      <c r="V170" s="152"/>
      <c r="W170" s="168"/>
      <c r="AE170" s="89"/>
      <c r="AH170" s="210"/>
      <c r="AI170" s="210"/>
      <c r="AJ170" s="175"/>
    </row>
    <row r="171" spans="1:36" ht="11.25" customHeight="1" x14ac:dyDescent="0.2">
      <c r="A171" s="158"/>
      <c r="B171" s="973" t="s">
        <v>21</v>
      </c>
      <c r="C171" s="974"/>
      <c r="D171" s="974"/>
      <c r="E171" s="974"/>
      <c r="F171" s="974"/>
      <c r="G171" s="974"/>
      <c r="H171" s="9"/>
      <c r="I171" s="9"/>
      <c r="J171" s="13"/>
      <c r="K171" s="9"/>
      <c r="L171" s="9"/>
      <c r="M171" s="9"/>
      <c r="N171" s="9"/>
      <c r="O171" s="9"/>
      <c r="P171" s="9"/>
      <c r="Q171" s="9"/>
      <c r="R171" s="9"/>
      <c r="S171" s="9"/>
      <c r="T171" s="9"/>
      <c r="U171" s="9"/>
      <c r="V171" s="152"/>
      <c r="W171" s="168"/>
      <c r="AE171" s="89"/>
      <c r="AH171" s="210"/>
      <c r="AI171" s="210"/>
      <c r="AJ171" s="175"/>
    </row>
    <row r="172" spans="1:36" ht="11.25" customHeight="1" x14ac:dyDescent="0.2">
      <c r="A172" s="158"/>
      <c r="B172" s="973"/>
      <c r="C172" s="974"/>
      <c r="D172" s="974"/>
      <c r="E172" s="974"/>
      <c r="F172" s="974"/>
      <c r="G172" s="974"/>
      <c r="H172" s="9"/>
      <c r="I172" s="9"/>
      <c r="J172" s="13"/>
      <c r="K172" s="9"/>
      <c r="L172" s="9"/>
      <c r="M172" s="9"/>
      <c r="N172" s="9"/>
      <c r="O172" s="9"/>
      <c r="P172" s="9"/>
      <c r="Q172" s="9"/>
      <c r="R172" s="9"/>
      <c r="S172" s="9"/>
      <c r="T172" s="9"/>
      <c r="U172" s="9"/>
      <c r="V172" s="152"/>
      <c r="W172" s="168"/>
      <c r="AE172" s="89"/>
      <c r="AH172" s="210"/>
      <c r="AI172" s="210"/>
      <c r="AJ172" s="175"/>
    </row>
    <row r="173" spans="1:36" ht="11.25" customHeight="1" x14ac:dyDescent="0.2">
      <c r="A173" s="158"/>
      <c r="B173" s="973" t="s">
        <v>27</v>
      </c>
      <c r="C173" s="974"/>
      <c r="D173" s="974"/>
      <c r="E173" s="974"/>
      <c r="F173" s="974"/>
      <c r="G173" s="974"/>
      <c r="H173" s="9"/>
      <c r="I173" s="9"/>
      <c r="J173" s="13"/>
      <c r="K173" s="9"/>
      <c r="L173" s="9"/>
      <c r="M173" s="9"/>
      <c r="N173" s="9"/>
      <c r="O173" s="9"/>
      <c r="P173" s="9"/>
      <c r="Q173" s="9"/>
      <c r="R173" s="9"/>
      <c r="S173" s="9"/>
      <c r="T173" s="9"/>
      <c r="U173" s="9"/>
      <c r="V173" s="152"/>
      <c r="W173" s="168"/>
      <c r="AE173" s="89"/>
      <c r="AH173" s="210"/>
      <c r="AI173" s="210"/>
      <c r="AJ173" s="175"/>
    </row>
    <row r="174" spans="1:36" ht="11.25" customHeight="1" x14ac:dyDescent="0.2">
      <c r="A174" s="158"/>
      <c r="B174" s="973"/>
      <c r="C174" s="974"/>
      <c r="D174" s="974"/>
      <c r="E174" s="974"/>
      <c r="F174" s="974"/>
      <c r="G174" s="974"/>
      <c r="H174" s="9"/>
      <c r="I174" s="9"/>
      <c r="J174" s="13"/>
      <c r="K174" s="9"/>
      <c r="L174" s="9"/>
      <c r="M174" s="9"/>
      <c r="N174" s="9"/>
      <c r="O174" s="9"/>
      <c r="P174" s="9"/>
      <c r="Q174" s="9"/>
      <c r="R174" s="9"/>
      <c r="S174" s="9"/>
      <c r="T174" s="9"/>
      <c r="U174" s="9"/>
      <c r="V174" s="152"/>
      <c r="W174" s="168"/>
      <c r="AE174" s="89"/>
      <c r="AH174" s="210"/>
      <c r="AI174" s="210"/>
      <c r="AJ174" s="175"/>
    </row>
    <row r="175" spans="1:36" ht="11.25" customHeight="1" x14ac:dyDescent="0.2">
      <c r="A175" s="158"/>
      <c r="B175" s="973" t="s">
        <v>22</v>
      </c>
      <c r="C175" s="974"/>
      <c r="D175" s="974"/>
      <c r="E175" s="974"/>
      <c r="F175" s="974"/>
      <c r="G175" s="974"/>
      <c r="H175" s="9"/>
      <c r="I175" s="9"/>
      <c r="J175" s="13"/>
      <c r="K175" s="9"/>
      <c r="L175" s="9"/>
      <c r="M175" s="9"/>
      <c r="N175" s="9"/>
      <c r="O175" s="9"/>
      <c r="P175" s="9"/>
      <c r="Q175" s="9"/>
      <c r="R175" s="9"/>
      <c r="S175" s="9"/>
      <c r="T175" s="9"/>
      <c r="U175" s="9"/>
      <c r="V175" s="152"/>
      <c r="W175" s="168"/>
      <c r="AE175" s="89"/>
      <c r="AH175" s="210"/>
      <c r="AI175" s="210"/>
      <c r="AJ175" s="175"/>
    </row>
    <row r="176" spans="1:36" ht="11.25" customHeight="1" x14ac:dyDescent="0.2">
      <c r="A176" s="158"/>
      <c r="B176" s="973"/>
      <c r="C176" s="974"/>
      <c r="D176" s="974"/>
      <c r="E176" s="974"/>
      <c r="F176" s="974"/>
      <c r="G176" s="974"/>
      <c r="H176" s="9"/>
      <c r="I176" s="9"/>
      <c r="J176" s="13"/>
      <c r="K176" s="9"/>
      <c r="L176" s="9"/>
      <c r="M176" s="9"/>
      <c r="N176" s="9"/>
      <c r="O176" s="9"/>
      <c r="P176" s="9"/>
      <c r="Q176" s="9"/>
      <c r="R176" s="9"/>
      <c r="S176" s="9"/>
      <c r="T176" s="9"/>
      <c r="U176" s="9"/>
      <c r="V176" s="152"/>
      <c r="W176" s="168"/>
      <c r="AE176" s="89"/>
      <c r="AH176" s="210"/>
      <c r="AI176" s="210"/>
      <c r="AJ176" s="175"/>
    </row>
    <row r="177" spans="1:45" ht="11.25" customHeight="1" x14ac:dyDescent="0.2">
      <c r="A177" s="158"/>
      <c r="B177" s="973" t="s">
        <v>874</v>
      </c>
      <c r="C177" s="975"/>
      <c r="D177" s="975"/>
      <c r="E177" s="975"/>
      <c r="F177" s="975"/>
      <c r="G177" s="975"/>
      <c r="H177" s="9"/>
      <c r="I177" s="9"/>
      <c r="J177" s="13"/>
      <c r="K177" s="9"/>
      <c r="L177" s="9"/>
      <c r="M177" s="9"/>
      <c r="N177" s="9"/>
      <c r="O177" s="9"/>
      <c r="P177" s="9"/>
      <c r="Q177" s="9"/>
      <c r="R177" s="9"/>
      <c r="S177" s="9"/>
      <c r="T177" s="9"/>
      <c r="U177" s="9"/>
      <c r="V177" s="152"/>
      <c r="W177" s="168"/>
      <c r="AE177" s="89"/>
      <c r="AH177" s="210"/>
      <c r="AI177" s="210"/>
      <c r="AJ177" s="175"/>
    </row>
    <row r="178" spans="1:45" ht="11.25" customHeight="1" x14ac:dyDescent="0.2">
      <c r="A178" s="158"/>
      <c r="B178" s="973"/>
      <c r="C178" s="975"/>
      <c r="D178" s="975"/>
      <c r="E178" s="975"/>
      <c r="F178" s="975"/>
      <c r="G178" s="975"/>
      <c r="H178" s="9"/>
      <c r="I178" s="9"/>
      <c r="J178" s="13"/>
      <c r="K178" s="9"/>
      <c r="L178" s="9"/>
      <c r="M178" s="9"/>
      <c r="N178" s="9"/>
      <c r="O178" s="9"/>
      <c r="P178" s="9"/>
      <c r="Q178" s="9"/>
      <c r="R178" s="9"/>
      <c r="S178" s="9"/>
      <c r="T178" s="9"/>
      <c r="U178" s="9"/>
      <c r="V178" s="152"/>
      <c r="W178" s="168"/>
      <c r="AE178" s="89"/>
      <c r="AH178" s="210"/>
      <c r="AI178" s="210"/>
      <c r="AJ178" s="175"/>
    </row>
    <row r="179" spans="1:45" ht="11.25" customHeight="1" x14ac:dyDescent="0.2">
      <c r="A179" s="158"/>
      <c r="B179" s="973"/>
      <c r="C179" s="973"/>
      <c r="D179" s="973"/>
      <c r="E179" s="973"/>
      <c r="F179" s="975"/>
      <c r="G179" s="975"/>
      <c r="H179" s="975"/>
      <c r="I179" s="9"/>
      <c r="J179" s="13"/>
      <c r="K179" s="9"/>
      <c r="L179" s="9"/>
      <c r="M179" s="9"/>
      <c r="N179" s="9"/>
      <c r="O179" s="9"/>
      <c r="P179" s="9"/>
      <c r="Q179" s="9"/>
      <c r="R179" s="9"/>
      <c r="S179" s="9"/>
      <c r="T179" s="9"/>
      <c r="U179" s="9"/>
      <c r="V179" s="152"/>
      <c r="W179" s="168"/>
      <c r="AE179" s="89"/>
      <c r="AH179" s="210"/>
      <c r="AI179" s="210"/>
      <c r="AJ179" s="175"/>
    </row>
    <row r="180" spans="1:45" ht="11.25" customHeight="1" x14ac:dyDescent="0.2">
      <c r="A180" s="158"/>
      <c r="B180" s="973"/>
      <c r="C180" s="973"/>
      <c r="D180" s="973"/>
      <c r="E180" s="973"/>
      <c r="F180" s="975"/>
      <c r="G180" s="975"/>
      <c r="H180" s="975"/>
      <c r="I180" s="9"/>
      <c r="J180" s="13"/>
      <c r="K180" s="9"/>
      <c r="L180" s="9"/>
      <c r="M180" s="9"/>
      <c r="N180" s="9"/>
      <c r="O180" s="9"/>
      <c r="P180" s="9"/>
      <c r="Q180" s="9"/>
      <c r="R180" s="9"/>
      <c r="S180" s="9"/>
      <c r="T180" s="9"/>
      <c r="U180" s="9"/>
      <c r="V180" s="152"/>
      <c r="W180" s="168"/>
      <c r="AE180" s="89"/>
      <c r="AH180" s="210"/>
      <c r="AI180" s="210"/>
      <c r="AJ180" s="175"/>
    </row>
    <row r="181" spans="1:45" ht="18.75" customHeight="1" x14ac:dyDescent="0.2">
      <c r="A181" s="159"/>
      <c r="B181" s="160"/>
      <c r="C181" s="160"/>
      <c r="D181" s="160"/>
      <c r="E181" s="160"/>
      <c r="F181" s="160"/>
      <c r="G181" s="160"/>
      <c r="H181" s="160"/>
      <c r="I181" s="160"/>
      <c r="J181" s="161"/>
      <c r="K181" s="160"/>
      <c r="L181" s="160"/>
      <c r="M181" s="160"/>
      <c r="N181" s="160"/>
      <c r="O181" s="160"/>
      <c r="P181" s="160"/>
      <c r="Q181" s="160"/>
      <c r="R181" s="160"/>
      <c r="S181" s="160"/>
      <c r="T181" s="160"/>
      <c r="U181" s="160"/>
      <c r="V181" s="156"/>
      <c r="W181" s="180"/>
      <c r="X181" s="227"/>
      <c r="Y181" s="227"/>
      <c r="Z181" s="227"/>
      <c r="AA181" s="227"/>
      <c r="AB181" s="227"/>
      <c r="AC181" s="227"/>
      <c r="AD181" s="227"/>
      <c r="AE181" s="227"/>
      <c r="AF181" s="227"/>
      <c r="AG181" s="227"/>
      <c r="AH181" s="227"/>
      <c r="AI181" s="648"/>
      <c r="AJ181" s="94"/>
    </row>
    <row r="182" spans="1:45" s="87" customFormat="1" ht="11.25" customHeight="1" x14ac:dyDescent="0.2">
      <c r="A182" s="80"/>
      <c r="B182" s="80"/>
      <c r="C182" s="80"/>
      <c r="D182" s="80"/>
      <c r="E182" s="80"/>
      <c r="F182" s="80"/>
      <c r="G182" s="80"/>
      <c r="H182" s="80"/>
      <c r="I182" s="80"/>
      <c r="J182" s="106"/>
      <c r="K182" s="80"/>
      <c r="L182" s="80"/>
      <c r="M182" s="80"/>
      <c r="N182" s="80"/>
      <c r="O182" s="80"/>
      <c r="P182" s="80"/>
      <c r="Q182" s="80"/>
      <c r="R182" s="80"/>
      <c r="S182" s="80"/>
      <c r="T182" s="80"/>
      <c r="U182" s="80"/>
      <c r="V182" s="181"/>
      <c r="X182" s="88"/>
      <c r="Y182" s="88"/>
      <c r="Z182" s="88"/>
      <c r="AA182" s="88"/>
      <c r="AB182" s="88"/>
      <c r="AC182" s="88"/>
      <c r="AD182" s="88"/>
      <c r="AE182" s="88"/>
      <c r="AF182" s="88"/>
      <c r="AG182" s="88"/>
      <c r="AH182" s="88"/>
      <c r="AI182" s="80"/>
      <c r="AJ182" s="80"/>
      <c r="AK182" s="80"/>
      <c r="AL182" s="80"/>
      <c r="AM182" s="80"/>
      <c r="AN182" s="80"/>
      <c r="AO182" s="80"/>
      <c r="AP182" s="80"/>
      <c r="AQ182" s="80"/>
      <c r="AR182" s="80"/>
      <c r="AS182" s="80"/>
    </row>
    <row r="308" spans="37:37" ht="11.25" customHeight="1" x14ac:dyDescent="0.2">
      <c r="AK308" s="80" t="b">
        <v>1</v>
      </c>
    </row>
  </sheetData>
  <mergeCells count="42">
    <mergeCell ref="B171:G172"/>
    <mergeCell ref="B173:G174"/>
    <mergeCell ref="B175:G176"/>
    <mergeCell ref="B177:G178"/>
    <mergeCell ref="B179:H180"/>
    <mergeCell ref="R7:T7"/>
    <mergeCell ref="B5:N6"/>
    <mergeCell ref="D7:H7"/>
    <mergeCell ref="I7:I8"/>
    <mergeCell ref="K7:O7"/>
    <mergeCell ref="P7:P8"/>
    <mergeCell ref="B7:B8"/>
    <mergeCell ref="AA39:AA40"/>
    <mergeCell ref="AB39:AB40"/>
    <mergeCell ref="M64:P64"/>
    <mergeCell ref="Q64:R64"/>
    <mergeCell ref="S64:T64"/>
    <mergeCell ref="B151:F152"/>
    <mergeCell ref="B153:F154"/>
    <mergeCell ref="B34:T34"/>
    <mergeCell ref="A36:U36"/>
    <mergeCell ref="A37:U37"/>
    <mergeCell ref="M63:O63"/>
    <mergeCell ref="Q63:T63"/>
    <mergeCell ref="A69:U69"/>
    <mergeCell ref="A70:U70"/>
    <mergeCell ref="B169:H170"/>
    <mergeCell ref="A104:U104"/>
    <mergeCell ref="A105:U105"/>
    <mergeCell ref="B159:G160"/>
    <mergeCell ref="B161:G162"/>
    <mergeCell ref="B163:G164"/>
    <mergeCell ref="B165:G166"/>
    <mergeCell ref="B167:G168"/>
    <mergeCell ref="B155:F156"/>
    <mergeCell ref="B145:G146"/>
    <mergeCell ref="B147:G148"/>
    <mergeCell ref="B149:G150"/>
    <mergeCell ref="B157:G158"/>
    <mergeCell ref="A139:U139"/>
    <mergeCell ref="A140:U140"/>
    <mergeCell ref="B143:B144"/>
  </mergeCells>
  <conditionalFormatting sqref="X69:AB69 Z8:AD8 Y107:AC107">
    <cfRule type="cellIs" dxfId="260" priority="47" stopIfTrue="1" operator="equal">
      <formula>0</formula>
    </cfRule>
  </conditionalFormatting>
  <conditionalFormatting sqref="B9:B30 B50:C65 B110:B131 H110:H131 K9:P30">
    <cfRule type="containsErrors" dxfId="259" priority="49">
      <formula>ISERROR(B9)</formula>
    </cfRule>
  </conditionalFormatting>
  <conditionalFormatting sqref="B31:B32 B132:B133">
    <cfRule type="expression" dxfId="258" priority="50" stopIfTrue="1">
      <formula>$B31=$Y$4</formula>
    </cfRule>
  </conditionalFormatting>
  <conditionalFormatting sqref="R9:T30">
    <cfRule type="containsErrors" dxfId="257" priority="29">
      <formula>ISERROR(R9)</formula>
    </cfRule>
  </conditionalFormatting>
  <conditionalFormatting sqref="B110:B131 G110:H131">
    <cfRule type="expression" dxfId="256" priority="23">
      <formula>$B110=$Y$4</formula>
    </cfRule>
  </conditionalFormatting>
  <conditionalFormatting sqref="D110:G131">
    <cfRule type="expression" dxfId="255" priority="25">
      <formula>$B110=$Y$4</formula>
    </cfRule>
    <cfRule type="containsErrors" dxfId="254" priority="26">
      <formula>ISERROR(D110)</formula>
    </cfRule>
  </conditionalFormatting>
  <conditionalFormatting sqref="A9:A30">
    <cfRule type="cellIs" dxfId="253" priority="24" operator="equal">
      <formula>0</formula>
    </cfRule>
  </conditionalFormatting>
  <conditionalFormatting sqref="A110:A131">
    <cfRule type="cellIs" dxfId="252" priority="51" operator="equal">
      <formula>0</formula>
    </cfRule>
  </conditionalFormatting>
  <conditionalFormatting sqref="B9:B30 B50:C65 R9:T30 K9:P30">
    <cfRule type="expression" dxfId="251" priority="48">
      <formula>$B9=$Y$4</formula>
    </cfRule>
  </conditionalFormatting>
  <conditionalFormatting sqref="A1:A69 A106:A139 A71:A104 A141:A1048576">
    <cfRule type="containsErrors" dxfId="250" priority="22">
      <formula>ISERROR(A1)</formula>
    </cfRule>
  </conditionalFormatting>
  <conditionalFormatting sqref="G110:G131">
    <cfRule type="containsErrors" dxfId="249" priority="13">
      <formula>ISERROR(G110)</formula>
    </cfRule>
  </conditionalFormatting>
  <conditionalFormatting sqref="D9:H30">
    <cfRule type="containsErrors" dxfId="248" priority="11">
      <formula>ISERROR(D9)</formula>
    </cfRule>
  </conditionalFormatting>
  <conditionalFormatting sqref="AF9:AG27">
    <cfRule type="containsErrors" dxfId="247" priority="9">
      <formula>ISERROR(AF9)</formula>
    </cfRule>
  </conditionalFormatting>
  <conditionalFormatting sqref="AF9:AG20 AG10:AG27">
    <cfRule type="expression" dxfId="246" priority="8">
      <formula>$B9=$W$4</formula>
    </cfRule>
  </conditionalFormatting>
  <conditionalFormatting sqref="D9:I30">
    <cfRule type="expression" dxfId="245" priority="6">
      <formula>$B9=$Y$4</formula>
    </cfRule>
  </conditionalFormatting>
  <conditionalFormatting sqref="D132:H132 D31:I31 K31:P31 R31:T31">
    <cfRule type="containsErrors" dxfId="244" priority="5">
      <formula>ISERROR(D31)</formula>
    </cfRule>
  </conditionalFormatting>
  <conditionalFormatting sqref="A70">
    <cfRule type="containsErrors" dxfId="243" priority="4">
      <formula>ISERROR(A70)</formula>
    </cfRule>
  </conditionalFormatting>
  <conditionalFormatting sqref="A105">
    <cfRule type="containsErrors" dxfId="242" priority="3">
      <formula>ISERROR(A105)</formula>
    </cfRule>
  </conditionalFormatting>
  <conditionalFormatting sqref="A140">
    <cfRule type="containsErrors" dxfId="241" priority="1">
      <formula>ISERROR(A140)</formula>
    </cfRule>
  </conditionalFormatting>
  <hyperlinks>
    <hyperlink ref="B145:B146" location="Coverage!A1" display="Participating LA's"/>
    <hyperlink ref="B147:B148" location="IDACI!A1" display="IDACI"/>
    <hyperlink ref="B177:B178" location="Adoption!A1" display="Adoption"/>
    <hyperlink ref="B175:B176" location="'Looked After Children'!A1" display="Looked After Children"/>
    <hyperlink ref="B173:B174" location="'Court Applications'!A1" display="Court Applications"/>
    <hyperlink ref="B171:B172" location="'Child Protection Plans'!A1" display="Child Protection Plans"/>
    <hyperlink ref="B169:B170" location="'Initial CP Conferences'!A1" display="Initial Child Protection Conferences"/>
    <hyperlink ref="B167:B168" location="'Section 47 Enquiries'!A1" display="Section 47 Enquiries"/>
    <hyperlink ref="B165:B166" location="'Children in Need'!A1" display="Children in Need"/>
    <hyperlink ref="B163:B164" location="Assessments!A1" display="Assessments"/>
    <hyperlink ref="B161:B162" location="'Re-referrals'!A1" display="Re-referrals"/>
    <hyperlink ref="B159:B160" location="Referral_Source!A1" display="Referral Source"/>
    <hyperlink ref="B157:B158" location="Referrals!A1" display="Referrals"/>
    <hyperlink ref="B149:B150" location="Population!A1" display="Population"/>
    <hyperlink ref="B147:G148" location="IDACI!A1" display="IDACI"/>
    <hyperlink ref="B151:B152" location="CAF_EHA!A1" display="CAF (EHA's)"/>
    <hyperlink ref="B155:B156" location="CAF_EHA!A1" display="CAF (EHA's)"/>
    <hyperlink ref="B153:B154" location="CAF_EHA!A1" display="CAF (EHA's)"/>
    <hyperlink ref="B151:F152" location="EH_Referrals!A1" display="Early Help Referrals"/>
    <hyperlink ref="B153:F154" location="EH_Assessments!A1" display="Early Help Assessments"/>
    <hyperlink ref="B155:F156" location="EH_Clients!A1" display="Early Help Clients"/>
    <hyperlink ref="B177:G178" location="Adoption!A1" display="Permanenc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7" max="18" man="1"/>
    <brk id="70" max="20" man="1"/>
    <brk id="105" max="20" man="1"/>
  </rowBreaks>
  <ignoredErrors>
    <ignoredError sqref="A9:A30 A110:A133"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defaultSize="0" autoFill="0" autoLine="0" autoPict="0" macro="[0]!CheckBox1_Click" altText="">
                <anchor>
                  <from>
                    <xdr:col>22</xdr:col>
                    <xdr:colOff>66675</xdr:colOff>
                    <xdr:row>38</xdr:row>
                    <xdr:rowOff>85725</xdr:rowOff>
                  </from>
                  <to>
                    <xdr:col>35</xdr:col>
                    <xdr:colOff>47625</xdr:colOff>
                    <xdr:row>40</xdr:row>
                    <xdr:rowOff>19050</xdr:rowOff>
                  </to>
                </anchor>
              </controlPr>
            </control>
          </mc:Choice>
        </mc:AlternateContent>
        <mc:AlternateContent xmlns:mc="http://schemas.openxmlformats.org/markup-compatibility/2006">
          <mc:Choice Requires="x14">
            <control shapeId="34818" r:id="rId5" name="Check Box 2">
              <controlPr defaultSize="0" autoFill="0" autoLine="0" autoPict="0" macro="[0]!CheckBox1_Click" altText="">
                <anchor>
                  <from>
                    <xdr:col>22</xdr:col>
                    <xdr:colOff>66675</xdr:colOff>
                    <xdr:row>39</xdr:row>
                    <xdr:rowOff>161925</xdr:rowOff>
                  </from>
                  <to>
                    <xdr:col>35</xdr:col>
                    <xdr:colOff>47625</xdr:colOff>
                    <xdr:row>41</xdr:row>
                    <xdr:rowOff>19050</xdr:rowOff>
                  </to>
                </anchor>
              </controlPr>
            </control>
          </mc:Choice>
        </mc:AlternateContent>
        <mc:AlternateContent xmlns:mc="http://schemas.openxmlformats.org/markup-compatibility/2006">
          <mc:Choice Requires="x14">
            <control shapeId="34819" r:id="rId6" name="Check Box 3">
              <controlPr defaultSize="0" autoFill="0" autoLine="0" autoPict="0" macro="[0]!CheckBox1_Click" altText="">
                <anchor>
                  <from>
                    <xdr:col>22</xdr:col>
                    <xdr:colOff>66675</xdr:colOff>
                    <xdr:row>40</xdr:row>
                    <xdr:rowOff>161925</xdr:rowOff>
                  </from>
                  <to>
                    <xdr:col>35</xdr:col>
                    <xdr:colOff>47625</xdr:colOff>
                    <xdr:row>42</xdr:row>
                    <xdr:rowOff>19050</xdr:rowOff>
                  </to>
                </anchor>
              </controlPr>
            </control>
          </mc:Choice>
        </mc:AlternateContent>
        <mc:AlternateContent xmlns:mc="http://schemas.openxmlformats.org/markup-compatibility/2006">
          <mc:Choice Requires="x14">
            <control shapeId="34820" r:id="rId7" name="Check Box 4">
              <controlPr defaultSize="0" autoFill="0" autoLine="0" autoPict="0" macro="[0]!CheckBox1_Click" altText="">
                <anchor>
                  <from>
                    <xdr:col>22</xdr:col>
                    <xdr:colOff>66675</xdr:colOff>
                    <xdr:row>41</xdr:row>
                    <xdr:rowOff>161925</xdr:rowOff>
                  </from>
                  <to>
                    <xdr:col>35</xdr:col>
                    <xdr:colOff>47625</xdr:colOff>
                    <xdr:row>43</xdr:row>
                    <xdr:rowOff>19050</xdr:rowOff>
                  </to>
                </anchor>
              </controlPr>
            </control>
          </mc:Choice>
        </mc:AlternateContent>
        <mc:AlternateContent xmlns:mc="http://schemas.openxmlformats.org/markup-compatibility/2006">
          <mc:Choice Requires="x14">
            <control shapeId="34821" r:id="rId8" name="Check Box 5">
              <controlPr defaultSize="0" autoFill="0" autoLine="0" autoPict="0" macro="[0]!CheckBox1_Click" altText="">
                <anchor>
                  <from>
                    <xdr:col>22</xdr:col>
                    <xdr:colOff>66675</xdr:colOff>
                    <xdr:row>42</xdr:row>
                    <xdr:rowOff>161925</xdr:rowOff>
                  </from>
                  <to>
                    <xdr:col>35</xdr:col>
                    <xdr:colOff>47625</xdr:colOff>
                    <xdr:row>44</xdr:row>
                    <xdr:rowOff>19050</xdr:rowOff>
                  </to>
                </anchor>
              </controlPr>
            </control>
          </mc:Choice>
        </mc:AlternateContent>
        <mc:AlternateContent xmlns:mc="http://schemas.openxmlformats.org/markup-compatibility/2006">
          <mc:Choice Requires="x14">
            <control shapeId="34822" r:id="rId9" name="Check Box 6">
              <controlPr defaultSize="0" autoFill="0" autoLine="0" autoPict="0" macro="[0]!CheckBox1_Click" altText="">
                <anchor>
                  <from>
                    <xdr:col>22</xdr:col>
                    <xdr:colOff>66675</xdr:colOff>
                    <xdr:row>43</xdr:row>
                    <xdr:rowOff>161925</xdr:rowOff>
                  </from>
                  <to>
                    <xdr:col>35</xdr:col>
                    <xdr:colOff>47625</xdr:colOff>
                    <xdr:row>45</xdr:row>
                    <xdr:rowOff>19050</xdr:rowOff>
                  </to>
                </anchor>
              </controlPr>
            </control>
          </mc:Choice>
        </mc:AlternateContent>
        <mc:AlternateContent xmlns:mc="http://schemas.openxmlformats.org/markup-compatibility/2006">
          <mc:Choice Requires="x14">
            <control shapeId="34823" r:id="rId10" name="Check Box 7">
              <controlPr defaultSize="0" autoFill="0" autoLine="0" autoPict="0" macro="[0]!CheckBox1_Click" altText="">
                <anchor>
                  <from>
                    <xdr:col>22</xdr:col>
                    <xdr:colOff>66675</xdr:colOff>
                    <xdr:row>44</xdr:row>
                    <xdr:rowOff>161925</xdr:rowOff>
                  </from>
                  <to>
                    <xdr:col>35</xdr:col>
                    <xdr:colOff>47625</xdr:colOff>
                    <xdr:row>46</xdr:row>
                    <xdr:rowOff>19050</xdr:rowOff>
                  </to>
                </anchor>
              </controlPr>
            </control>
          </mc:Choice>
        </mc:AlternateContent>
        <mc:AlternateContent xmlns:mc="http://schemas.openxmlformats.org/markup-compatibility/2006">
          <mc:Choice Requires="x14">
            <control shapeId="34824" r:id="rId11" name="Check Box 8">
              <controlPr defaultSize="0" autoFill="0" autoLine="0" autoPict="0" macro="[0]!CheckBox1_Click" altText="">
                <anchor>
                  <from>
                    <xdr:col>22</xdr:col>
                    <xdr:colOff>66675</xdr:colOff>
                    <xdr:row>45</xdr:row>
                    <xdr:rowOff>161925</xdr:rowOff>
                  </from>
                  <to>
                    <xdr:col>35</xdr:col>
                    <xdr:colOff>47625</xdr:colOff>
                    <xdr:row>47</xdr:row>
                    <xdr:rowOff>19050</xdr:rowOff>
                  </to>
                </anchor>
              </controlPr>
            </control>
          </mc:Choice>
        </mc:AlternateContent>
        <mc:AlternateContent xmlns:mc="http://schemas.openxmlformats.org/markup-compatibility/2006">
          <mc:Choice Requires="x14">
            <control shapeId="34825" r:id="rId12" name="Check Box 9">
              <controlPr defaultSize="0" autoFill="0" autoLine="0" autoPict="0" macro="[0]!CheckBox1_Click" altText="">
                <anchor>
                  <from>
                    <xdr:col>22</xdr:col>
                    <xdr:colOff>66675</xdr:colOff>
                    <xdr:row>46</xdr:row>
                    <xdr:rowOff>161925</xdr:rowOff>
                  </from>
                  <to>
                    <xdr:col>35</xdr:col>
                    <xdr:colOff>47625</xdr:colOff>
                    <xdr:row>48</xdr:row>
                    <xdr:rowOff>19050</xdr:rowOff>
                  </to>
                </anchor>
              </controlPr>
            </control>
          </mc:Choice>
        </mc:AlternateContent>
        <mc:AlternateContent xmlns:mc="http://schemas.openxmlformats.org/markup-compatibility/2006">
          <mc:Choice Requires="x14">
            <control shapeId="34826" r:id="rId13" name="Check Box 10">
              <controlPr defaultSize="0" autoFill="0" autoLine="0" autoPict="0" macro="[0]!CheckBox1_Click" altText="">
                <anchor>
                  <from>
                    <xdr:col>22</xdr:col>
                    <xdr:colOff>66675</xdr:colOff>
                    <xdr:row>47</xdr:row>
                    <xdr:rowOff>161925</xdr:rowOff>
                  </from>
                  <to>
                    <xdr:col>35</xdr:col>
                    <xdr:colOff>47625</xdr:colOff>
                    <xdr:row>49</xdr:row>
                    <xdr:rowOff>19050</xdr:rowOff>
                  </to>
                </anchor>
              </controlPr>
            </control>
          </mc:Choice>
        </mc:AlternateContent>
        <mc:AlternateContent xmlns:mc="http://schemas.openxmlformats.org/markup-compatibility/2006">
          <mc:Choice Requires="x14">
            <control shapeId="34827" r:id="rId14" name="Check Box 11">
              <controlPr defaultSize="0" autoFill="0" autoLine="0" autoPict="0" macro="[0]!CheckBox1_Click" altText="">
                <anchor>
                  <from>
                    <xdr:col>22</xdr:col>
                    <xdr:colOff>66675</xdr:colOff>
                    <xdr:row>48</xdr:row>
                    <xdr:rowOff>161925</xdr:rowOff>
                  </from>
                  <to>
                    <xdr:col>35</xdr:col>
                    <xdr:colOff>47625</xdr:colOff>
                    <xdr:row>50</xdr:row>
                    <xdr:rowOff>19050</xdr:rowOff>
                  </to>
                </anchor>
              </controlPr>
            </control>
          </mc:Choice>
        </mc:AlternateContent>
        <mc:AlternateContent xmlns:mc="http://schemas.openxmlformats.org/markup-compatibility/2006">
          <mc:Choice Requires="x14">
            <control shapeId="34828" r:id="rId15" name="Check Box 12">
              <controlPr defaultSize="0" autoFill="0" autoLine="0" autoPict="0" macro="[0]!CheckBox1_Click" altText="">
                <anchor>
                  <from>
                    <xdr:col>22</xdr:col>
                    <xdr:colOff>66675</xdr:colOff>
                    <xdr:row>49</xdr:row>
                    <xdr:rowOff>161925</xdr:rowOff>
                  </from>
                  <to>
                    <xdr:col>35</xdr:col>
                    <xdr:colOff>47625</xdr:colOff>
                    <xdr:row>51</xdr:row>
                    <xdr:rowOff>19050</xdr:rowOff>
                  </to>
                </anchor>
              </controlPr>
            </control>
          </mc:Choice>
        </mc:AlternateContent>
        <mc:AlternateContent xmlns:mc="http://schemas.openxmlformats.org/markup-compatibility/2006">
          <mc:Choice Requires="x14">
            <control shapeId="34829" r:id="rId16" name="Check Box 13">
              <controlPr defaultSize="0" autoFill="0" autoLine="0" autoPict="0" macro="[0]!CheckBox1_Click" altText="">
                <anchor>
                  <from>
                    <xdr:col>22</xdr:col>
                    <xdr:colOff>66675</xdr:colOff>
                    <xdr:row>50</xdr:row>
                    <xdr:rowOff>161925</xdr:rowOff>
                  </from>
                  <to>
                    <xdr:col>35</xdr:col>
                    <xdr:colOff>47625</xdr:colOff>
                    <xdr:row>52</xdr:row>
                    <xdr:rowOff>19050</xdr:rowOff>
                  </to>
                </anchor>
              </controlPr>
            </control>
          </mc:Choice>
        </mc:AlternateContent>
        <mc:AlternateContent xmlns:mc="http://schemas.openxmlformats.org/markup-compatibility/2006">
          <mc:Choice Requires="x14">
            <control shapeId="34830" r:id="rId17" name="Check Box 14">
              <controlPr defaultSize="0" autoFill="0" autoLine="0" autoPict="0" macro="[0]!CheckBox1_Click" altText="">
                <anchor>
                  <from>
                    <xdr:col>22</xdr:col>
                    <xdr:colOff>66675</xdr:colOff>
                    <xdr:row>51</xdr:row>
                    <xdr:rowOff>161925</xdr:rowOff>
                  </from>
                  <to>
                    <xdr:col>35</xdr:col>
                    <xdr:colOff>47625</xdr:colOff>
                    <xdr:row>53</xdr:row>
                    <xdr:rowOff>19050</xdr:rowOff>
                  </to>
                </anchor>
              </controlPr>
            </control>
          </mc:Choice>
        </mc:AlternateContent>
        <mc:AlternateContent xmlns:mc="http://schemas.openxmlformats.org/markup-compatibility/2006">
          <mc:Choice Requires="x14">
            <control shapeId="34831" r:id="rId18" name="Check Box 15">
              <controlPr defaultSize="0" autoFill="0" autoLine="0" autoPict="0" macro="[0]!CheckBox1_Click" altText="">
                <anchor>
                  <from>
                    <xdr:col>22</xdr:col>
                    <xdr:colOff>66675</xdr:colOff>
                    <xdr:row>52</xdr:row>
                    <xdr:rowOff>161925</xdr:rowOff>
                  </from>
                  <to>
                    <xdr:col>35</xdr:col>
                    <xdr:colOff>47625</xdr:colOff>
                    <xdr:row>54</xdr:row>
                    <xdr:rowOff>19050</xdr:rowOff>
                  </to>
                </anchor>
              </controlPr>
            </control>
          </mc:Choice>
        </mc:AlternateContent>
        <mc:AlternateContent xmlns:mc="http://schemas.openxmlformats.org/markup-compatibility/2006">
          <mc:Choice Requires="x14">
            <control shapeId="34832" r:id="rId19" name="Check Box 16">
              <controlPr defaultSize="0" autoFill="0" autoLine="0" autoPict="0" macro="[0]!CheckBox1_Click" altText="">
                <anchor>
                  <from>
                    <xdr:col>22</xdr:col>
                    <xdr:colOff>66675</xdr:colOff>
                    <xdr:row>53</xdr:row>
                    <xdr:rowOff>161925</xdr:rowOff>
                  </from>
                  <to>
                    <xdr:col>35</xdr:col>
                    <xdr:colOff>47625</xdr:colOff>
                    <xdr:row>55</xdr:row>
                    <xdr:rowOff>19050</xdr:rowOff>
                  </to>
                </anchor>
              </controlPr>
            </control>
          </mc:Choice>
        </mc:AlternateContent>
        <mc:AlternateContent xmlns:mc="http://schemas.openxmlformats.org/markup-compatibility/2006">
          <mc:Choice Requires="x14">
            <control shapeId="34833" r:id="rId20" name="Check Box 17">
              <controlPr defaultSize="0" autoFill="0" autoLine="0" autoPict="0" macro="[0]!CheckBox1_Click" altText="">
                <anchor>
                  <from>
                    <xdr:col>22</xdr:col>
                    <xdr:colOff>66675</xdr:colOff>
                    <xdr:row>56</xdr:row>
                    <xdr:rowOff>161925</xdr:rowOff>
                  </from>
                  <to>
                    <xdr:col>35</xdr:col>
                    <xdr:colOff>47625</xdr:colOff>
                    <xdr:row>58</xdr:row>
                    <xdr:rowOff>19050</xdr:rowOff>
                  </to>
                </anchor>
              </controlPr>
            </control>
          </mc:Choice>
        </mc:AlternateContent>
        <mc:AlternateContent xmlns:mc="http://schemas.openxmlformats.org/markup-compatibility/2006">
          <mc:Choice Requires="x14">
            <control shapeId="34834" r:id="rId21" name="Check Box 18">
              <controlPr defaultSize="0" autoFill="0" autoLine="0" autoPict="0" macro="[0]!CheckBox1_Click" altText="">
                <anchor>
                  <from>
                    <xdr:col>22</xdr:col>
                    <xdr:colOff>66675</xdr:colOff>
                    <xdr:row>57</xdr:row>
                    <xdr:rowOff>161925</xdr:rowOff>
                  </from>
                  <to>
                    <xdr:col>35</xdr:col>
                    <xdr:colOff>47625</xdr:colOff>
                    <xdr:row>59</xdr:row>
                    <xdr:rowOff>19050</xdr:rowOff>
                  </to>
                </anchor>
              </controlPr>
            </control>
          </mc:Choice>
        </mc:AlternateContent>
        <mc:AlternateContent xmlns:mc="http://schemas.openxmlformats.org/markup-compatibility/2006">
          <mc:Choice Requires="x14">
            <control shapeId="34835" r:id="rId22" name="Check Box 19">
              <controlPr defaultSize="0" autoFill="0" autoLine="0" autoPict="0" macro="[0]!CheckBox1_Click" altText="">
                <anchor>
                  <from>
                    <xdr:col>22</xdr:col>
                    <xdr:colOff>66675</xdr:colOff>
                    <xdr:row>58</xdr:row>
                    <xdr:rowOff>161925</xdr:rowOff>
                  </from>
                  <to>
                    <xdr:col>35</xdr:col>
                    <xdr:colOff>47625</xdr:colOff>
                    <xdr:row>60</xdr:row>
                    <xdr:rowOff>19050</xdr:rowOff>
                  </to>
                </anchor>
              </controlPr>
            </control>
          </mc:Choice>
        </mc:AlternateContent>
        <mc:AlternateContent xmlns:mc="http://schemas.openxmlformats.org/markup-compatibility/2006">
          <mc:Choice Requires="x14">
            <control shapeId="34836" r:id="rId23" name="Check Box 20">
              <controlPr defaultSize="0" autoFill="0" autoLine="0" autoPict="0" macro="[0]!CheckBox1_Click" altText="">
                <anchor>
                  <from>
                    <xdr:col>22</xdr:col>
                    <xdr:colOff>66675</xdr:colOff>
                    <xdr:row>59</xdr:row>
                    <xdr:rowOff>161925</xdr:rowOff>
                  </from>
                  <to>
                    <xdr:col>35</xdr:col>
                    <xdr:colOff>47625</xdr:colOff>
                    <xdr:row>61</xdr:row>
                    <xdr:rowOff>19050</xdr:rowOff>
                  </to>
                </anchor>
              </controlPr>
            </control>
          </mc:Choice>
        </mc:AlternateContent>
        <mc:AlternateContent xmlns:mc="http://schemas.openxmlformats.org/markup-compatibility/2006">
          <mc:Choice Requires="x14">
            <control shapeId="34837" r:id="rId24" name="Check Box 21">
              <controlPr defaultSize="0" autoFill="0" autoLine="0" autoPict="0" macro="[0]!CheckBox1_Click" altText="">
                <anchor>
                  <from>
                    <xdr:col>22</xdr:col>
                    <xdr:colOff>66675</xdr:colOff>
                    <xdr:row>60</xdr:row>
                    <xdr:rowOff>161925</xdr:rowOff>
                  </from>
                  <to>
                    <xdr:col>35</xdr:col>
                    <xdr:colOff>47625</xdr:colOff>
                    <xdr:row>62</xdr:row>
                    <xdr:rowOff>19050</xdr:rowOff>
                  </to>
                </anchor>
              </controlPr>
            </control>
          </mc:Choice>
        </mc:AlternateContent>
        <mc:AlternateContent xmlns:mc="http://schemas.openxmlformats.org/markup-compatibility/2006">
          <mc:Choice Requires="x14">
            <control shapeId="34838" r:id="rId25" name="Check Box 22">
              <controlPr defaultSize="0" autoFill="0" autoLine="0" autoPict="0" macro="[0]!CheckBox1_Click" altText="">
                <anchor>
                  <from>
                    <xdr:col>22</xdr:col>
                    <xdr:colOff>66675</xdr:colOff>
                    <xdr:row>54</xdr:row>
                    <xdr:rowOff>161925</xdr:rowOff>
                  </from>
                  <to>
                    <xdr:col>35</xdr:col>
                    <xdr:colOff>47625</xdr:colOff>
                    <xdr:row>56</xdr:row>
                    <xdr:rowOff>19050</xdr:rowOff>
                  </to>
                </anchor>
              </controlPr>
            </control>
          </mc:Choice>
        </mc:AlternateContent>
        <mc:AlternateContent xmlns:mc="http://schemas.openxmlformats.org/markup-compatibility/2006">
          <mc:Choice Requires="x14">
            <control shapeId="34839" r:id="rId26" name="Check Box 23">
              <controlPr defaultSize="0" autoFill="0" autoLine="0" autoPict="0" macro="[0]!CheckBox1_Click" altText="">
                <anchor>
                  <from>
                    <xdr:col>22</xdr:col>
                    <xdr:colOff>66675</xdr:colOff>
                    <xdr:row>55</xdr:row>
                    <xdr:rowOff>161925</xdr:rowOff>
                  </from>
                  <to>
                    <xdr:col>35</xdr:col>
                    <xdr:colOff>47625</xdr:colOff>
                    <xdr:row>57</xdr:row>
                    <xdr:rowOff>19050</xdr:rowOff>
                  </to>
                </anchor>
              </controlPr>
            </control>
          </mc:Choice>
        </mc:AlternateContent>
        <mc:AlternateContent xmlns:mc="http://schemas.openxmlformats.org/markup-compatibility/2006">
          <mc:Choice Requires="x14">
            <control shapeId="34840" r:id="rId27" name="Check Box 24">
              <controlPr defaultSize="0" autoFill="0" autoLine="0" autoPict="0" macro="[0]!CheckBox1_Click" altText="">
                <anchor>
                  <from>
                    <xdr:col>22</xdr:col>
                    <xdr:colOff>66675</xdr:colOff>
                    <xdr:row>61</xdr:row>
                    <xdr:rowOff>161925</xdr:rowOff>
                  </from>
                  <to>
                    <xdr:col>35</xdr:col>
                    <xdr:colOff>47625</xdr:colOff>
                    <xdr:row>63</xdr:row>
                    <xdr:rowOff>28575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BN283"/>
  <sheetViews>
    <sheetView showRowColHeaders="0" zoomScaleNormal="100" zoomScaleSheetLayoutView="100" workbookViewId="0"/>
  </sheetViews>
  <sheetFormatPr defaultColWidth="9.140625" defaultRowHeight="11.25" customHeight="1" x14ac:dyDescent="0.2"/>
  <cols>
    <col min="1" max="1" width="2.140625" style="80" customWidth="1"/>
    <col min="2" max="2" width="20.42578125" style="80" customWidth="1"/>
    <col min="3" max="3" width="1.42578125" style="80" customWidth="1"/>
    <col min="4" max="4" width="5.42578125" style="80" customWidth="1"/>
    <col min="5" max="6" width="5.28515625" style="80" customWidth="1"/>
    <col min="7" max="7" width="5.42578125" style="80" customWidth="1"/>
    <col min="8" max="8" width="5.28515625" style="80" customWidth="1"/>
    <col min="9" max="9" width="5.42578125" style="80" customWidth="1"/>
    <col min="10" max="12" width="5.28515625" style="80" customWidth="1"/>
    <col min="13" max="13" width="5.42578125" style="80" customWidth="1"/>
    <col min="14" max="14" width="5.28515625" style="80" customWidth="1"/>
    <col min="15" max="15" width="5.42578125" style="106" customWidth="1"/>
    <col min="16" max="17" width="5.28515625" style="80" customWidth="1"/>
    <col min="18" max="18" width="5.42578125" style="80" customWidth="1"/>
    <col min="19" max="19" width="5.28515625" style="80" customWidth="1"/>
    <col min="20" max="20" width="5.42578125" style="80" customWidth="1"/>
    <col min="21" max="23" width="5.28515625" style="80" customWidth="1"/>
    <col min="24" max="24" width="5" style="80" customWidth="1"/>
    <col min="25" max="25" width="2.140625" style="80" customWidth="1"/>
    <col min="26" max="26" width="6.42578125" style="87" customWidth="1"/>
    <col min="27" max="27" width="4.85546875" style="87" customWidth="1"/>
    <col min="28" max="28" width="17.85546875" style="88" hidden="1" customWidth="1"/>
    <col min="29" max="29" width="19.42578125" style="88" hidden="1" customWidth="1"/>
    <col min="30" max="30" width="22.5703125" style="88" hidden="1" customWidth="1"/>
    <col min="31" max="31" width="5.7109375" style="88" hidden="1" customWidth="1"/>
    <col min="32" max="38" width="6.7109375" style="88" hidden="1" customWidth="1"/>
    <col min="39" max="53" width="6.7109375" style="80" hidden="1" customWidth="1"/>
    <col min="54" max="54" width="9.140625" style="80" hidden="1" customWidth="1"/>
    <col min="55" max="55" width="17" style="80" hidden="1" customWidth="1"/>
    <col min="56" max="66" width="9.140625" style="80" hidden="1" customWidth="1"/>
    <col min="67" max="16384" width="9.140625" style="80"/>
  </cols>
  <sheetData>
    <row r="1" spans="1:55" ht="18.75" customHeight="1" x14ac:dyDescent="0.2">
      <c r="A1" s="129"/>
      <c r="B1" s="130"/>
      <c r="C1" s="130"/>
      <c r="D1" s="130"/>
      <c r="E1" s="130"/>
      <c r="F1" s="130"/>
      <c r="G1" s="130"/>
      <c r="H1" s="130"/>
      <c r="I1" s="130"/>
      <c r="J1" s="130"/>
      <c r="K1" s="130"/>
      <c r="L1" s="130"/>
      <c r="M1" s="130"/>
      <c r="N1" s="130"/>
      <c r="O1" s="131"/>
      <c r="P1" s="130"/>
      <c r="Q1" s="130"/>
      <c r="R1" s="130"/>
      <c r="S1" s="130"/>
      <c r="T1" s="130"/>
      <c r="U1" s="130"/>
      <c r="V1" s="130"/>
      <c r="W1" s="130"/>
      <c r="X1" s="130"/>
      <c r="Y1" s="132"/>
      <c r="Z1" s="306"/>
      <c r="AA1" s="881"/>
      <c r="AB1" s="206"/>
      <c r="AC1" s="206"/>
      <c r="AD1" s="206"/>
      <c r="AE1" s="206"/>
      <c r="AF1" s="206"/>
      <c r="AG1" s="206"/>
      <c r="AH1" s="206"/>
      <c r="AI1" s="206"/>
      <c r="AJ1" s="206"/>
      <c r="AK1" s="206"/>
      <c r="AL1" s="206"/>
      <c r="AM1" s="207"/>
      <c r="AN1" s="208"/>
    </row>
    <row r="2" spans="1:55" ht="18.75" customHeight="1" x14ac:dyDescent="0.2">
      <c r="A2" s="135"/>
      <c r="B2" s="145" t="s">
        <v>69</v>
      </c>
      <c r="C2" s="9"/>
      <c r="D2" s="9"/>
      <c r="E2" s="9"/>
      <c r="F2" s="9"/>
      <c r="G2" s="9"/>
      <c r="H2" s="9"/>
      <c r="I2" s="9"/>
      <c r="J2" s="9"/>
      <c r="K2" s="9"/>
      <c r="L2" s="9"/>
      <c r="M2" s="9"/>
      <c r="N2" s="9"/>
      <c r="O2" s="13"/>
      <c r="P2" s="9"/>
      <c r="Q2" s="9"/>
      <c r="R2" s="9"/>
      <c r="S2" s="9"/>
      <c r="T2" s="9"/>
      <c r="U2" s="9"/>
      <c r="V2" s="9"/>
      <c r="W2" s="9"/>
      <c r="X2" s="9"/>
      <c r="Y2" s="134"/>
      <c r="Z2" s="179"/>
      <c r="AA2" s="209"/>
      <c r="AM2" s="210"/>
      <c r="AN2" s="211"/>
    </row>
    <row r="3" spans="1:55" ht="18.75" customHeight="1" x14ac:dyDescent="0.2">
      <c r="A3" s="141"/>
      <c r="B3" s="142"/>
      <c r="C3" s="142"/>
      <c r="D3" s="142"/>
      <c r="E3" s="142"/>
      <c r="F3" s="142"/>
      <c r="G3" s="142"/>
      <c r="H3" s="142"/>
      <c r="I3" s="142"/>
      <c r="J3" s="142"/>
      <c r="K3" s="142"/>
      <c r="L3" s="142"/>
      <c r="M3" s="142"/>
      <c r="N3" s="142"/>
      <c r="O3" s="143"/>
      <c r="P3" s="142"/>
      <c r="Q3" s="142"/>
      <c r="R3" s="142"/>
      <c r="S3" s="142"/>
      <c r="T3" s="142"/>
      <c r="U3" s="142"/>
      <c r="V3" s="142"/>
      <c r="W3" s="142"/>
      <c r="X3" s="142"/>
      <c r="Y3" s="144"/>
      <c r="Z3" s="179"/>
      <c r="AA3" s="209"/>
      <c r="AM3" s="210"/>
      <c r="AN3" s="211"/>
    </row>
    <row r="4" spans="1:55" ht="11.25" customHeight="1" x14ac:dyDescent="0.2">
      <c r="A4" s="129"/>
      <c r="B4" s="130"/>
      <c r="C4" s="130"/>
      <c r="D4" s="130"/>
      <c r="E4" s="130"/>
      <c r="F4" s="130"/>
      <c r="G4" s="130"/>
      <c r="H4" s="130"/>
      <c r="I4" s="130"/>
      <c r="J4" s="130"/>
      <c r="K4" s="130"/>
      <c r="L4" s="130"/>
      <c r="M4" s="130"/>
      <c r="N4" s="130"/>
      <c r="O4" s="131"/>
      <c r="P4" s="130"/>
      <c r="Q4" s="130"/>
      <c r="R4" s="130"/>
      <c r="S4" s="130"/>
      <c r="T4" s="130"/>
      <c r="U4" s="130"/>
      <c r="V4" s="130"/>
      <c r="W4" s="130"/>
      <c r="X4" s="130"/>
      <c r="Y4" s="132"/>
      <c r="Z4" s="152"/>
      <c r="AA4" s="209"/>
      <c r="AB4" s="212" t="e">
        <f>VLOOKUP(AC4,$AB$9:$AC$30,2,FALSE)</f>
        <v>#N/A</v>
      </c>
      <c r="AC4" s="83" t="str">
        <f>Home!$D$10</f>
        <v>(none)</v>
      </c>
      <c r="AD4" s="43" t="str">
        <f>"Selected LA- "&amp;AC4</f>
        <v>Selected LA- (none)</v>
      </c>
      <c r="AM4" s="210"/>
      <c r="AN4" s="211"/>
    </row>
    <row r="5" spans="1:55" s="82" customFormat="1" ht="16.5" customHeight="1" x14ac:dyDescent="0.2">
      <c r="A5" s="512"/>
      <c r="B5" s="725" t="str">
        <f>V5&amp;" of Referrals from each Source "&amp;Frontpage!J5</f>
        <v>Proportion (%) of Referrals from each Source 2017-18</v>
      </c>
      <c r="C5" s="721"/>
      <c r="D5" s="721"/>
      <c r="E5" s="721"/>
      <c r="F5" s="721"/>
      <c r="G5" s="721"/>
      <c r="H5" s="721"/>
      <c r="I5" s="721"/>
      <c r="J5" s="721"/>
      <c r="K5" s="721"/>
      <c r="L5" s="721"/>
      <c r="M5" s="63"/>
      <c r="N5" s="70"/>
      <c r="O5" s="70"/>
      <c r="P5" s="70"/>
      <c r="Q5" s="70"/>
      <c r="R5" s="1071" t="s">
        <v>106</v>
      </c>
      <c r="S5" s="1072"/>
      <c r="T5" s="1072"/>
      <c r="U5" s="1073"/>
      <c r="V5" s="1074" t="s">
        <v>105</v>
      </c>
      <c r="W5" s="1074"/>
      <c r="X5" s="1075"/>
      <c r="Y5" s="137"/>
      <c r="Z5" s="153"/>
      <c r="AA5" s="213"/>
      <c r="AB5" s="214" t="s">
        <v>88</v>
      </c>
      <c r="AC5" s="215"/>
      <c r="AD5" s="215"/>
      <c r="AE5" s="215"/>
      <c r="AF5" s="215"/>
      <c r="AG5" s="215"/>
      <c r="AH5" s="215"/>
      <c r="AI5" s="215"/>
      <c r="AJ5" s="215"/>
      <c r="AK5" s="215"/>
      <c r="AL5" s="215"/>
      <c r="AM5" s="215"/>
      <c r="AN5" s="216"/>
    </row>
    <row r="6" spans="1:55" ht="13.5" customHeight="1" x14ac:dyDescent="0.2">
      <c r="A6" s="309"/>
      <c r="B6" s="724" t="s">
        <v>113</v>
      </c>
      <c r="C6" s="721"/>
      <c r="D6" s="721"/>
      <c r="E6" s="721"/>
      <c r="F6" s="721"/>
      <c r="G6" s="721"/>
      <c r="H6" s="721"/>
      <c r="I6" s="721"/>
      <c r="J6" s="721"/>
      <c r="K6" s="721"/>
      <c r="L6" s="721"/>
      <c r="M6" s="70"/>
      <c r="N6" s="70"/>
      <c r="O6" s="70"/>
      <c r="P6" s="70"/>
      <c r="Q6" s="70"/>
      <c r="R6" s="70"/>
      <c r="S6" s="70"/>
      <c r="T6" s="70"/>
      <c r="U6" s="70"/>
      <c r="V6" s="58"/>
      <c r="W6" s="70"/>
      <c r="X6" s="70"/>
      <c r="Y6" s="134"/>
      <c r="Z6" s="152"/>
      <c r="AA6" s="209"/>
      <c r="AB6" s="214" t="s">
        <v>107</v>
      </c>
      <c r="AC6" s="217"/>
      <c r="AF6" s="88">
        <v>3</v>
      </c>
      <c r="AG6" s="88">
        <v>4</v>
      </c>
      <c r="AH6" s="88">
        <v>5</v>
      </c>
      <c r="AI6" s="88">
        <v>6</v>
      </c>
      <c r="AJ6" s="88">
        <v>7</v>
      </c>
      <c r="AK6" s="88">
        <v>8</v>
      </c>
      <c r="AL6" s="88">
        <v>9</v>
      </c>
      <c r="AM6" s="88">
        <v>10</v>
      </c>
      <c r="AN6" s="88">
        <v>11</v>
      </c>
      <c r="AO6" s="88">
        <v>12</v>
      </c>
      <c r="AP6" s="88">
        <v>13</v>
      </c>
      <c r="AQ6" s="88">
        <v>14</v>
      </c>
      <c r="AR6" s="88">
        <v>15</v>
      </c>
      <c r="AS6" s="88">
        <v>16</v>
      </c>
      <c r="AT6" s="88">
        <v>17</v>
      </c>
      <c r="AU6" s="88">
        <v>18</v>
      </c>
      <c r="AV6" s="88">
        <v>19</v>
      </c>
      <c r="AW6" s="88">
        <v>20</v>
      </c>
      <c r="AX6" s="88">
        <v>21</v>
      </c>
      <c r="AY6" s="88">
        <v>22</v>
      </c>
      <c r="AZ6" s="88">
        <v>23</v>
      </c>
      <c r="BA6" s="88">
        <v>24</v>
      </c>
    </row>
    <row r="7" spans="1:55" ht="13.5" hidden="1" customHeight="1" x14ac:dyDescent="0.2">
      <c r="A7" s="309"/>
      <c r="B7" s="1081" t="s">
        <v>215</v>
      </c>
      <c r="C7" s="70"/>
      <c r="D7" s="197" t="s">
        <v>49</v>
      </c>
      <c r="E7" s="197" t="s">
        <v>50</v>
      </c>
      <c r="F7" s="197" t="s">
        <v>51</v>
      </c>
      <c r="G7" s="197" t="s">
        <v>52</v>
      </c>
      <c r="H7" s="197" t="s">
        <v>53</v>
      </c>
      <c r="I7" s="197" t="s">
        <v>54</v>
      </c>
      <c r="J7" s="197" t="s">
        <v>55</v>
      </c>
      <c r="K7" s="197" t="s">
        <v>56</v>
      </c>
      <c r="L7" s="197" t="s">
        <v>57</v>
      </c>
      <c r="M7" s="197" t="s">
        <v>58</v>
      </c>
      <c r="N7" s="197" t="s">
        <v>59</v>
      </c>
      <c r="O7" s="197" t="s">
        <v>60</v>
      </c>
      <c r="P7" s="197">
        <v>4</v>
      </c>
      <c r="Q7" s="197" t="s">
        <v>61</v>
      </c>
      <c r="R7" s="197" t="s">
        <v>62</v>
      </c>
      <c r="S7" s="197" t="s">
        <v>63</v>
      </c>
      <c r="T7" s="197">
        <v>6</v>
      </c>
      <c r="U7" s="197">
        <v>7</v>
      </c>
      <c r="V7" s="197">
        <v>8</v>
      </c>
      <c r="W7" s="197">
        <v>9</v>
      </c>
      <c r="X7" s="198">
        <v>10</v>
      </c>
      <c r="Y7" s="134"/>
      <c r="Z7" s="152"/>
      <c r="AA7" s="209"/>
      <c r="AB7" s="214" t="s">
        <v>105</v>
      </c>
      <c r="AC7" s="218"/>
      <c r="AD7" s="219"/>
      <c r="AE7" s="219"/>
      <c r="AF7" s="197" t="s">
        <v>49</v>
      </c>
      <c r="AG7" s="197" t="s">
        <v>50</v>
      </c>
      <c r="AH7" s="197" t="s">
        <v>51</v>
      </c>
      <c r="AI7" s="197" t="s">
        <v>52</v>
      </c>
      <c r="AJ7" s="197" t="s">
        <v>53</v>
      </c>
      <c r="AK7" s="197" t="s">
        <v>54</v>
      </c>
      <c r="AL7" s="197" t="s">
        <v>55</v>
      </c>
      <c r="AM7" s="197" t="s">
        <v>56</v>
      </c>
      <c r="AN7" s="197" t="s">
        <v>57</v>
      </c>
      <c r="AO7" s="197" t="s">
        <v>58</v>
      </c>
      <c r="AP7" s="197" t="s">
        <v>59</v>
      </c>
      <c r="AQ7" s="197" t="s">
        <v>60</v>
      </c>
      <c r="AR7" s="197">
        <v>4</v>
      </c>
      <c r="AS7" s="197" t="s">
        <v>61</v>
      </c>
      <c r="AT7" s="197" t="s">
        <v>62</v>
      </c>
      <c r="AU7" s="197" t="s">
        <v>63</v>
      </c>
      <c r="AV7" s="197">
        <v>6</v>
      </c>
      <c r="AW7" s="197">
        <v>7</v>
      </c>
      <c r="AX7" s="197">
        <v>8</v>
      </c>
      <c r="AY7" s="197">
        <v>9</v>
      </c>
      <c r="AZ7" s="198">
        <v>10</v>
      </c>
      <c r="BA7" s="1069" t="s">
        <v>87</v>
      </c>
    </row>
    <row r="8" spans="1:55" s="101" customFormat="1" ht="61.5" hidden="1" customHeight="1" thickBot="1" x14ac:dyDescent="0.25">
      <c r="A8" s="324"/>
      <c r="B8" s="1082"/>
      <c r="C8" s="177"/>
      <c r="D8" s="193" t="s">
        <v>34</v>
      </c>
      <c r="E8" s="123" t="s">
        <v>35</v>
      </c>
      <c r="F8" s="123" t="s">
        <v>36</v>
      </c>
      <c r="G8" s="123" t="s">
        <v>37</v>
      </c>
      <c r="H8" s="123" t="s">
        <v>38</v>
      </c>
      <c r="I8" s="123" t="s">
        <v>39</v>
      </c>
      <c r="J8" s="123" t="s">
        <v>40</v>
      </c>
      <c r="K8" s="123" t="s">
        <v>41</v>
      </c>
      <c r="L8" s="123" t="s">
        <v>42</v>
      </c>
      <c r="M8" s="123" t="s">
        <v>43</v>
      </c>
      <c r="N8" s="123" t="s">
        <v>44</v>
      </c>
      <c r="O8" s="123" t="s">
        <v>45</v>
      </c>
      <c r="P8" s="123" t="s">
        <v>46</v>
      </c>
      <c r="Q8" s="123" t="s">
        <v>47</v>
      </c>
      <c r="R8" s="123" t="s">
        <v>48</v>
      </c>
      <c r="S8" s="123" t="s">
        <v>68</v>
      </c>
      <c r="T8" s="123" t="s">
        <v>24</v>
      </c>
      <c r="U8" s="123" t="s">
        <v>67</v>
      </c>
      <c r="V8" s="123" t="s">
        <v>66</v>
      </c>
      <c r="W8" s="123" t="s">
        <v>64</v>
      </c>
      <c r="X8" s="122" t="s">
        <v>65</v>
      </c>
      <c r="Y8" s="139"/>
      <c r="Z8" s="154"/>
      <c r="AA8" s="220"/>
      <c r="AB8" s="219"/>
      <c r="AC8" s="219"/>
      <c r="AD8" s="219"/>
      <c r="AE8" s="219"/>
      <c r="AF8" s="193" t="s">
        <v>34</v>
      </c>
      <c r="AG8" s="123" t="s">
        <v>35</v>
      </c>
      <c r="AH8" s="123" t="s">
        <v>36</v>
      </c>
      <c r="AI8" s="123" t="s">
        <v>37</v>
      </c>
      <c r="AJ8" s="123" t="s">
        <v>38</v>
      </c>
      <c r="AK8" s="123" t="s">
        <v>39</v>
      </c>
      <c r="AL8" s="123" t="s">
        <v>40</v>
      </c>
      <c r="AM8" s="123" t="s">
        <v>41</v>
      </c>
      <c r="AN8" s="123" t="s">
        <v>42</v>
      </c>
      <c r="AO8" s="123" t="s">
        <v>43</v>
      </c>
      <c r="AP8" s="123" t="s">
        <v>44</v>
      </c>
      <c r="AQ8" s="123" t="s">
        <v>45</v>
      </c>
      <c r="AR8" s="123" t="s">
        <v>46</v>
      </c>
      <c r="AS8" s="123" t="s">
        <v>47</v>
      </c>
      <c r="AT8" s="123" t="s">
        <v>48</v>
      </c>
      <c r="AU8" s="123" t="s">
        <v>68</v>
      </c>
      <c r="AV8" s="123" t="s">
        <v>24</v>
      </c>
      <c r="AW8" s="123" t="s">
        <v>67</v>
      </c>
      <c r="AX8" s="123" t="s">
        <v>66</v>
      </c>
      <c r="AY8" s="123" t="s">
        <v>64</v>
      </c>
      <c r="AZ8" s="122" t="s">
        <v>65</v>
      </c>
      <c r="BA8" s="1070"/>
    </row>
    <row r="9" spans="1:55" s="101" customFormat="1" ht="13.5" hidden="1" customHeight="1" x14ac:dyDescent="0.2">
      <c r="A9" s="533">
        <f>VLOOKUP(B9,Sheet1!$B$4:$C$25,2,FALSE)</f>
        <v>0</v>
      </c>
      <c r="B9" s="112" t="s">
        <v>0</v>
      </c>
      <c r="C9" s="97"/>
      <c r="D9" s="113">
        <f t="shared" ref="D9:J15" si="0">VLOOKUP(CONCATENATE($B9,$V$5),$AD$9:$BA$79,AF$6,FALSE)</f>
        <v>6.4321055525013744</v>
      </c>
      <c r="E9" s="113"/>
      <c r="F9" s="113"/>
      <c r="G9" s="113"/>
      <c r="H9" s="113">
        <f t="shared" si="0"/>
        <v>27.322704782847719</v>
      </c>
      <c r="I9" s="113">
        <f t="shared" si="0"/>
        <v>2.1440351841671248</v>
      </c>
      <c r="J9" s="113">
        <f t="shared" si="0"/>
        <v>7.4766355140186906</v>
      </c>
      <c r="K9" s="113"/>
      <c r="L9" s="113"/>
      <c r="M9" s="113"/>
      <c r="N9" s="113"/>
      <c r="O9" s="113"/>
      <c r="P9" s="113">
        <f t="shared" ref="P9:W15" si="1">VLOOKUP(CONCATENATE($B9,$V$5),$AD$9:$BA$79,AR$6,FALSE)</f>
        <v>1.3194062671797691</v>
      </c>
      <c r="Q9" s="113">
        <f t="shared" si="1"/>
        <v>20.450797141286419</v>
      </c>
      <c r="R9" s="113"/>
      <c r="S9" s="113"/>
      <c r="T9" s="113">
        <f t="shared" si="1"/>
        <v>22.649807586586039</v>
      </c>
      <c r="U9" s="113">
        <f t="shared" si="1"/>
        <v>1.4293567894447499</v>
      </c>
      <c r="V9" s="113">
        <f t="shared" si="1"/>
        <v>7.4216602528862019</v>
      </c>
      <c r="W9" s="113">
        <f t="shared" si="1"/>
        <v>3.0236393622869708</v>
      </c>
      <c r="X9" s="114">
        <f t="shared" ref="X9:X15" si="2">VLOOKUP(CONCATENATE($B9,$V$5),$AD$9:$BA$79,AZ$6,FALSE)</f>
        <v>0.32985156679494226</v>
      </c>
      <c r="Y9" s="139"/>
      <c r="Z9" s="154"/>
      <c r="AA9" s="220"/>
      <c r="AB9" s="50" t="str">
        <f>B9</f>
        <v>Bracknell Forest</v>
      </c>
      <c r="AC9" s="49">
        <v>1</v>
      </c>
      <c r="AD9" s="50" t="str">
        <f>CONCATENATE(AB9,$AB$5)</f>
        <v>Bracknell ForestNumber</v>
      </c>
      <c r="AE9" s="51" t="b">
        <f>IF(AB9=$AA$6,1)</f>
        <v>0</v>
      </c>
      <c r="AF9" s="620">
        <f>IF(Year5_Bracknell_Forest Year5_ReferralSource_Individual_Family="","",Year5_Bracknell_Forest Year5_ReferralSource_Individual_Family)</f>
        <v>117</v>
      </c>
      <c r="AG9" s="621" t="str">
        <f>IF(Year5_Bracknell_Forest Year5_ReferralSource_Individual_Acquaintance="","",Year5_Bracknell_Forest Year5_ReferralSource_Individual_Acquaintance)</f>
        <v/>
      </c>
      <c r="AH9" s="621" t="str">
        <f>IF(Year5_Bracknell_Forest Year5_ReferralSource_Individual_Self="","",Year5_Bracknell_Forest Year5_ReferralSource_Individual_Self)</f>
        <v/>
      </c>
      <c r="AI9" s="621" t="str">
        <f>IF(Year5_Bracknell_Forest Year5_ReferralSource_Individual_Other="","",Year5_Bracknell_Forest Year5_ReferralSource_Individual_Other)</f>
        <v/>
      </c>
      <c r="AJ9" s="621">
        <f>IF(Year5_Bracknell_Forest Year5_ReferralSource_School="","",Year5_Bracknell_Forest Year5_ReferralSource_School)</f>
        <v>497</v>
      </c>
      <c r="AK9" s="621">
        <f>IF(Year5_Bracknell_Forest Year5_ReferralSource_EducationServices="","",Year5_Bracknell_Forest Year5_ReferralSource_EducationServices)</f>
        <v>39</v>
      </c>
      <c r="AL9" s="621">
        <f>IF(Year5_Bracknell_Forest Year5_ReferralSource_Health_services_GP="","",Year5_Bracknell_Forest Year5_ReferralSource_Health_services_GP)</f>
        <v>136</v>
      </c>
      <c r="AM9" s="621" t="str">
        <f>IF(Year5_Bracknell_Forest Year5_ReferralSource_Health_services_HealthVisitor="","",Year5_Bracknell_Forest Year5_ReferralSource_Health_services_HealthVisitor)</f>
        <v/>
      </c>
      <c r="AN9" s="621" t="str">
        <f>IF(Year5_Bracknell_Forest Year5_ReferralSource_Health_services_SchoolNurse="","",Year5_Bracknell_Forest Year5_ReferralSource_Health_services_SchoolNurse)</f>
        <v/>
      </c>
      <c r="AO9" s="621" t="str">
        <f>IF(Year5_Bracknell_Forest Year5_ReferralSource_Health_services_OthPrimary="","",Year5_Bracknell_Forest Year5_ReferralSource_Health_services_OthPrimary)</f>
        <v/>
      </c>
      <c r="AP9" s="621" t="str">
        <f>IF(Year5_Bracknell_Forest Year5_ReferralSource_Health_services_AE="","",Year5_Bracknell_Forest Year5_ReferralSource_Health_services_AE)</f>
        <v/>
      </c>
      <c r="AQ9" s="621" t="str">
        <f>IF(Year5_Bracknell_Forest Year5_ReferralSource_Health_services_Other="","",Year5_Bracknell_Forest Year5_ReferralSource_Health_services_Other)</f>
        <v/>
      </c>
      <c r="AR9" s="621">
        <f>IF(Year5_Bracknell_Forest Year5_ReferralSource_Housing="","",Year5_Bracknell_Forest Year5_ReferralSource_Housing)</f>
        <v>24</v>
      </c>
      <c r="AS9" s="621">
        <f>IF(Year5_Bracknell_Forest Year5_ReferralSource_LA_SC="","",Year5_Bracknell_Forest Year5_ReferralSource_LA_SC)</f>
        <v>372</v>
      </c>
      <c r="AT9" s="621" t="str">
        <f>IF(Year5_Bracknell_Forest Year5_ReferralSource_LA_Other="","",Year5_Bracknell_Forest Year5_ReferralSource_LA_Other)</f>
        <v/>
      </c>
      <c r="AU9" s="621" t="str">
        <f>IF(Year5_Bracknell_Forest Year5_ReferralSource_LA_External="","",Year5_Bracknell_Forest Year5_ReferralSource_LA_External)</f>
        <v/>
      </c>
      <c r="AV9" s="621">
        <f>IF(Year5_Bracknell_Forest Year5_ReferralSource_Police="","",Year5_Bracknell_Forest Year5_ReferralSource_Police)</f>
        <v>412</v>
      </c>
      <c r="AW9" s="621">
        <f>IF(Year5_Bracknell_Forest Year5_ReferralSource_Other_Legal="","",Year5_Bracknell_Forest Year5_ReferralSource_Other_Legal)</f>
        <v>26</v>
      </c>
      <c r="AX9" s="621">
        <f>IF(Year5_Bracknell_Forest Year5_ReferralSource_Other="","",Year5_Bracknell_Forest Year5_ReferralSource_Other)</f>
        <v>135</v>
      </c>
      <c r="AY9" s="621">
        <f>IF(Year5_Bracknell_Forest Year5_ReferralSource_Anonymous="","",Year5_Bracknell_Forest Year5_ReferralSource_Anonymous)</f>
        <v>55</v>
      </c>
      <c r="AZ9" s="622">
        <f>IF(Year5_Bracknell_Forest Year5_ReferralSource_Unknown="","",Year5_Bracknell_Forest Year5_ReferralSource_Unknown)</f>
        <v>6</v>
      </c>
      <c r="BA9" s="734">
        <f>SUM(AF9:AZ9)</f>
        <v>1819</v>
      </c>
      <c r="BB9" s="101">
        <f>IF(BA9&gt;0,Population!G8,0)</f>
        <v>28071</v>
      </c>
      <c r="BC9" s="164">
        <f>BA9/BB9*10000</f>
        <v>647.9997150083716</v>
      </c>
    </row>
    <row r="10" spans="1:55" s="101" customFormat="1" ht="13.5" hidden="1" customHeight="1" x14ac:dyDescent="0.2">
      <c r="A10" s="533">
        <f>VLOOKUP(B10,Sheet1!$B$4:$C$25,2,FALSE)</f>
        <v>0</v>
      </c>
      <c r="B10" s="112" t="s">
        <v>32</v>
      </c>
      <c r="C10" s="97"/>
      <c r="D10" s="113">
        <f t="shared" si="0"/>
        <v>4.6351674641148328</v>
      </c>
      <c r="E10" s="113"/>
      <c r="F10" s="113"/>
      <c r="G10" s="113"/>
      <c r="H10" s="113">
        <f t="shared" si="0"/>
        <v>16.746411483253588</v>
      </c>
      <c r="I10" s="113">
        <f t="shared" si="0"/>
        <v>1.8540669856459329</v>
      </c>
      <c r="J10" s="113">
        <f t="shared" si="0"/>
        <v>11.064593301435407</v>
      </c>
      <c r="K10" s="113"/>
      <c r="L10" s="113"/>
      <c r="M10" s="113"/>
      <c r="N10" s="113"/>
      <c r="O10" s="113"/>
      <c r="P10" s="113">
        <f t="shared" si="1"/>
        <v>1.6447368421052631</v>
      </c>
      <c r="Q10" s="113">
        <f t="shared" si="1"/>
        <v>15.879186602870812</v>
      </c>
      <c r="R10" s="113"/>
      <c r="S10" s="113"/>
      <c r="T10" s="113">
        <f t="shared" si="1"/>
        <v>25.807416267942585</v>
      </c>
      <c r="U10" s="113">
        <f t="shared" si="1"/>
        <v>2.4820574162679425</v>
      </c>
      <c r="V10" s="113">
        <f t="shared" si="1"/>
        <v>4.5753588516746415</v>
      </c>
      <c r="W10" s="113">
        <f t="shared" si="1"/>
        <v>1.2559808612440191</v>
      </c>
      <c r="X10" s="114">
        <f t="shared" si="2"/>
        <v>14.055023923444976</v>
      </c>
      <c r="Y10" s="139"/>
      <c r="Z10" s="154"/>
      <c r="AA10" s="220"/>
      <c r="AB10" s="50" t="str">
        <f t="shared" ref="AB10:AB30" si="3">B10</f>
        <v>Brighton &amp; Hove</v>
      </c>
      <c r="AC10" s="49">
        <v>2</v>
      </c>
      <c r="AD10" s="50" t="str">
        <f t="shared" ref="AD10:AD32" si="4">CONCATENATE(AB10,$AB$5)</f>
        <v>Brighton &amp; HoveNumber</v>
      </c>
      <c r="AE10" s="51" t="b">
        <f t="shared" ref="AE10:AE75" si="5">IF(AB10=$AA$6,1)</f>
        <v>0</v>
      </c>
      <c r="AF10" s="623">
        <f>IF(Year5_Brighton_Hove Year5_ReferralSource_Individual_Family="","",Year5_Brighton_Hove Year5_ReferralSource_Individual_Family)</f>
        <v>155</v>
      </c>
      <c r="AG10" s="624" t="str">
        <f>IF(Year5_Brighton_Hove Year5_ReferralSource_Individual_Acquaintance="","",Year5_Brighton_Hove Year5_ReferralSource_Individual_Acquaintance)</f>
        <v/>
      </c>
      <c r="AH10" s="624" t="str">
        <f>IF(Year5_Brighton_Hove Year5_ReferralSource_Individual_Self="","",Year5_Brighton_Hove Year5_ReferralSource_Individual_Self)</f>
        <v/>
      </c>
      <c r="AI10" s="624" t="str">
        <f>IF(Year5_Brighton_Hove Year5_ReferralSource_Individual_Other="","",Year5_Brighton_Hove Year5_ReferralSource_Individual_Other)</f>
        <v/>
      </c>
      <c r="AJ10" s="624">
        <f>IF(Year5_Brighton_Hove Year5_ReferralSource_School="","",Year5_Brighton_Hove Year5_ReferralSource_School)</f>
        <v>560</v>
      </c>
      <c r="AK10" s="624">
        <f>IF(Year5_Brighton_Hove Year5_ReferralSource_EducationServices="","",Year5_Brighton_Hove Year5_ReferralSource_EducationServices)</f>
        <v>62</v>
      </c>
      <c r="AL10" s="624">
        <f>IF(Year5_Brighton_Hove Year5_ReferralSource_Health_services_GP="","",Year5_Brighton_Hove Year5_ReferralSource_Health_services_GP)</f>
        <v>370</v>
      </c>
      <c r="AM10" s="624" t="str">
        <f>IF(Year5_Brighton_Hove Year5_ReferralSource_Health_services_HealthVisitor="","",Year5_Brighton_Hove Year5_ReferralSource_Health_services_HealthVisitor)</f>
        <v/>
      </c>
      <c r="AN10" s="624" t="str">
        <f>IF(Year5_Brighton_Hove Year5_ReferralSource_Health_services_SchoolNurse="","",Year5_Brighton_Hove Year5_ReferralSource_Health_services_SchoolNurse)</f>
        <v/>
      </c>
      <c r="AO10" s="624" t="str">
        <f>IF(Year5_Brighton_Hove Year5_ReferralSource_Health_services_OthPrimary="","",Year5_Brighton_Hove Year5_ReferralSource_Health_services_OthPrimary)</f>
        <v/>
      </c>
      <c r="AP10" s="624" t="str">
        <f>IF(Year5_Brighton_Hove Year5_ReferralSource_Health_services_AE="","",Year5_Brighton_Hove Year5_ReferralSource_Health_services_AE)</f>
        <v/>
      </c>
      <c r="AQ10" s="624" t="str">
        <f>IF(Year5_Brighton_Hove Year5_ReferralSource_Health_services_Other="","",Year5_Brighton_Hove Year5_ReferralSource_Health_services_Other)</f>
        <v/>
      </c>
      <c r="AR10" s="624">
        <f>IF(Year5_Brighton_Hove Year5_ReferralSource_Housing="","",Year5_Brighton_Hove Year5_ReferralSource_Housing)</f>
        <v>55</v>
      </c>
      <c r="AS10" s="624">
        <f>IF(Year5_Brighton_Hove Year5_ReferralSource_LA_SC="","",Year5_Brighton_Hove Year5_ReferralSource_LA_SC)</f>
        <v>531</v>
      </c>
      <c r="AT10" s="624" t="str">
        <f>IF(Year5_Brighton_Hove Year5_ReferralSource_LA_Other="","",Year5_Brighton_Hove Year5_ReferralSource_LA_Other)</f>
        <v/>
      </c>
      <c r="AU10" s="624" t="str">
        <f>IF(Year5_Brighton_Hove Year5_ReferralSource_LA_External="","",Year5_Brighton_Hove Year5_ReferralSource_LA_External)</f>
        <v/>
      </c>
      <c r="AV10" s="624">
        <f>IF(Year5_Brighton_Hove Year5_ReferralSource_Police="","",Year5_Brighton_Hove Year5_ReferralSource_Police)</f>
        <v>863</v>
      </c>
      <c r="AW10" s="624">
        <f>IF(Year5_Brighton_Hove Year5_ReferralSource_Other_Legal="","",Year5_Brighton_Hove Year5_ReferralSource_Other_Legal)</f>
        <v>83</v>
      </c>
      <c r="AX10" s="624">
        <f>IF(Year5_Brighton_Hove Year5_ReferralSource_Other="","",Year5_Brighton_Hove Year5_ReferralSource_Other)</f>
        <v>153</v>
      </c>
      <c r="AY10" s="624">
        <f>IF(Year5_Brighton_Hove Year5_ReferralSource_Anonymous="","",Year5_Brighton_Hove Year5_ReferralSource_Anonymous)</f>
        <v>42</v>
      </c>
      <c r="AZ10" s="625">
        <f>IF(Year5_Brighton_Hove Year5_ReferralSource_Unknown="","",Year5_Brighton_Hove Year5_ReferralSource_Unknown)</f>
        <v>470</v>
      </c>
      <c r="BA10" s="57">
        <f t="shared" ref="BA10:BA29" si="6">SUM(AF10:AZ10)</f>
        <v>3344</v>
      </c>
      <c r="BB10" s="101">
        <f>IF(BA10&gt;0,Population!G9,0)</f>
        <v>50981</v>
      </c>
      <c r="BC10" s="164">
        <f t="shared" ref="BC10:BC30" si="7">BA10/BB10*10000</f>
        <v>655.93064082697481</v>
      </c>
    </row>
    <row r="11" spans="1:55" s="101" customFormat="1" ht="13.5" hidden="1" customHeight="1" x14ac:dyDescent="0.2">
      <c r="A11" s="533">
        <f>VLOOKUP(B11,Sheet1!$B$4:$C$25,2,FALSE)</f>
        <v>0</v>
      </c>
      <c r="B11" s="112" t="s">
        <v>9</v>
      </c>
      <c r="C11" s="97"/>
      <c r="D11" s="113">
        <f t="shared" si="0"/>
        <v>7.2651639740737153</v>
      </c>
      <c r="E11" s="113"/>
      <c r="F11" s="113"/>
      <c r="G11" s="113"/>
      <c r="H11" s="113">
        <f t="shared" si="0"/>
        <v>19.347973299796848</v>
      </c>
      <c r="I11" s="113">
        <f t="shared" si="0"/>
        <v>0.49337331914481958</v>
      </c>
      <c r="J11" s="113">
        <f t="shared" si="0"/>
        <v>16.523169198026508</v>
      </c>
      <c r="K11" s="113"/>
      <c r="L11" s="113"/>
      <c r="M11" s="113"/>
      <c r="N11" s="113"/>
      <c r="O11" s="113"/>
      <c r="P11" s="113">
        <f t="shared" si="1"/>
        <v>0.85131082519106127</v>
      </c>
      <c r="Q11" s="113">
        <f t="shared" si="1"/>
        <v>9.6256167166489313</v>
      </c>
      <c r="R11" s="113"/>
      <c r="S11" s="113"/>
      <c r="T11" s="113">
        <f t="shared" si="1"/>
        <v>34.168520847441229</v>
      </c>
      <c r="U11" s="113">
        <f t="shared" si="1"/>
        <v>2.370126729225114</v>
      </c>
      <c r="V11" s="113">
        <f t="shared" si="1"/>
        <v>4.4113379123536811</v>
      </c>
      <c r="W11" s="113">
        <f t="shared" si="1"/>
        <v>2.9505659282190191</v>
      </c>
      <c r="X11" s="114">
        <f t="shared" si="2"/>
        <v>1.9928412498790751</v>
      </c>
      <c r="Y11" s="139"/>
      <c r="Z11" s="154"/>
      <c r="AA11" s="220"/>
      <c r="AB11" s="50" t="str">
        <f t="shared" si="3"/>
        <v>Buckinghamshire</v>
      </c>
      <c r="AC11" s="49">
        <v>3</v>
      </c>
      <c r="AD11" s="50" t="str">
        <f t="shared" si="4"/>
        <v>BuckinghamshireNumber</v>
      </c>
      <c r="AE11" s="51" t="b">
        <f t="shared" si="5"/>
        <v>0</v>
      </c>
      <c r="AF11" s="623">
        <f>IF(Year5_Buckinghamshire Year5_ReferralSource_Individual_Family="","",Year5_Buckinghamshire Year5_ReferralSource_Individual_Family)</f>
        <v>751</v>
      </c>
      <c r="AG11" s="624" t="str">
        <f>IF(Year5_Buckinghamshire Year5_ReferralSource_Individual_Acquaintance="","",Year5_Buckinghamshire Year5_ReferralSource_Individual_Acquaintance)</f>
        <v/>
      </c>
      <c r="AH11" s="624" t="str">
        <f>IF(Year5_Buckinghamshire Year5_ReferralSource_Individual_Self="","",Year5_Buckinghamshire Year5_ReferralSource_Individual_Self)</f>
        <v/>
      </c>
      <c r="AI11" s="624" t="str">
        <f>IF(Year5_Buckinghamshire Year5_ReferralSource_Individual_Other="","",Year5_Buckinghamshire Year5_ReferralSource_Individual_Other)</f>
        <v/>
      </c>
      <c r="AJ11" s="624">
        <f>IF(Year5_Buckinghamshire Year5_ReferralSource_School="","",Year5_Buckinghamshire Year5_ReferralSource_School)</f>
        <v>2000</v>
      </c>
      <c r="AK11" s="624">
        <f>IF(Year5_Buckinghamshire Year5_ReferralSource_EducationServices="","",Year5_Buckinghamshire Year5_ReferralSource_EducationServices)</f>
        <v>51</v>
      </c>
      <c r="AL11" s="624">
        <f>IF(Year5_Buckinghamshire Year5_ReferralSource_Health_services_GP="","",Year5_Buckinghamshire Year5_ReferralSource_Health_services_GP)</f>
        <v>1708</v>
      </c>
      <c r="AM11" s="624" t="str">
        <f>IF(Year5_Buckinghamshire Year5_ReferralSource_Health_services_HealthVisitor="","",Year5_Buckinghamshire Year5_ReferralSource_Health_services_HealthVisitor)</f>
        <v/>
      </c>
      <c r="AN11" s="624" t="str">
        <f>IF(Year5_Buckinghamshire Year5_ReferralSource_Health_services_SchoolNurse="","",Year5_Buckinghamshire Year5_ReferralSource_Health_services_SchoolNurse)</f>
        <v/>
      </c>
      <c r="AO11" s="624" t="str">
        <f>IF(Year5_Buckinghamshire Year5_ReferralSource_Health_services_OthPrimary="","",Year5_Buckinghamshire Year5_ReferralSource_Health_services_OthPrimary)</f>
        <v/>
      </c>
      <c r="AP11" s="624" t="str">
        <f>IF(Year5_Buckinghamshire Year5_ReferralSource_Health_services_AE="","",Year5_Buckinghamshire Year5_ReferralSource_Health_services_AE)</f>
        <v/>
      </c>
      <c r="AQ11" s="624" t="str">
        <f>IF(Year5_Buckinghamshire Year5_ReferralSource_Health_services_Other="","",Year5_Buckinghamshire Year5_ReferralSource_Health_services_Other)</f>
        <v/>
      </c>
      <c r="AR11" s="624">
        <f>IF(Year5_Buckinghamshire Year5_ReferralSource_Housing="","",Year5_Buckinghamshire Year5_ReferralSource_Housing)</f>
        <v>88</v>
      </c>
      <c r="AS11" s="624">
        <f>IF(Year5_Buckinghamshire Year5_ReferralSource_LA_SC="","",Year5_Buckinghamshire Year5_ReferralSource_LA_SC)</f>
        <v>995</v>
      </c>
      <c r="AT11" s="624" t="str">
        <f>IF(Year5_Buckinghamshire Year5_ReferralSource_LA_Other="","",Year5_Buckinghamshire Year5_ReferralSource_LA_Other)</f>
        <v/>
      </c>
      <c r="AU11" s="624" t="str">
        <f>IF(Year5_Buckinghamshire Year5_ReferralSource_LA_External="","",Year5_Buckinghamshire Year5_ReferralSource_LA_External)</f>
        <v/>
      </c>
      <c r="AV11" s="624">
        <f>IF(Year5_Buckinghamshire Year5_ReferralSource_Police="","",Year5_Buckinghamshire Year5_ReferralSource_Police)</f>
        <v>3532</v>
      </c>
      <c r="AW11" s="624">
        <f>IF(Year5_Buckinghamshire Year5_ReferralSource_Other_Legal="","",Year5_Buckinghamshire Year5_ReferralSource_Other_Legal)</f>
        <v>245</v>
      </c>
      <c r="AX11" s="624">
        <f>IF(Year5_Buckinghamshire Year5_ReferralSource_Other="","",Year5_Buckinghamshire Year5_ReferralSource_Other)</f>
        <v>456</v>
      </c>
      <c r="AY11" s="624">
        <f>IF(Year5_Buckinghamshire Year5_ReferralSource_Anonymous="","",Year5_Buckinghamshire Year5_ReferralSource_Anonymous)</f>
        <v>305</v>
      </c>
      <c r="AZ11" s="625">
        <f>IF(Year5_Buckinghamshire Year5_ReferralSource_Unknown="","",Year5_Buckinghamshire Year5_ReferralSource_Unknown)</f>
        <v>206</v>
      </c>
      <c r="BA11" s="57">
        <f t="shared" si="6"/>
        <v>10337</v>
      </c>
      <c r="BB11" s="101">
        <f>IF(BA11&gt;0,Population!G10,0)</f>
        <v>123075</v>
      </c>
      <c r="BC11" s="164">
        <f t="shared" si="7"/>
        <v>839.89437334958347</v>
      </c>
    </row>
    <row r="12" spans="1:55" s="101" customFormat="1" ht="13.5" hidden="1" customHeight="1" x14ac:dyDescent="0.2">
      <c r="A12" s="533">
        <f>VLOOKUP(B12,Sheet1!$B$4:$C$25,2,FALSE)</f>
        <v>0</v>
      </c>
      <c r="B12" s="112" t="s">
        <v>4</v>
      </c>
      <c r="C12" s="97"/>
      <c r="D12" s="113">
        <f t="shared" si="0"/>
        <v>9.5030913670712156</v>
      </c>
      <c r="E12" s="113"/>
      <c r="F12" s="113"/>
      <c r="G12" s="113"/>
      <c r="H12" s="113">
        <f t="shared" si="0"/>
        <v>18.86878864208839</v>
      </c>
      <c r="I12" s="113">
        <f t="shared" si="0"/>
        <v>1.5342340279367987</v>
      </c>
      <c r="J12" s="113">
        <f t="shared" si="0"/>
        <v>10.190061827341426</v>
      </c>
      <c r="K12" s="113"/>
      <c r="L12" s="113"/>
      <c r="M12" s="113"/>
      <c r="N12" s="113"/>
      <c r="O12" s="113"/>
      <c r="P12" s="113">
        <f t="shared" si="1"/>
        <v>0.91596061369361126</v>
      </c>
      <c r="Q12" s="113">
        <f t="shared" si="1"/>
        <v>17.655140828944354</v>
      </c>
      <c r="R12" s="113"/>
      <c r="S12" s="113"/>
      <c r="T12" s="113">
        <f t="shared" si="1"/>
        <v>27.27272727272727</v>
      </c>
      <c r="U12" s="113">
        <f t="shared" si="1"/>
        <v>3.9615296542248686</v>
      </c>
      <c r="V12" s="113">
        <f t="shared" si="1"/>
        <v>7.8543622624227165</v>
      </c>
      <c r="W12" s="113">
        <f t="shared" si="1"/>
        <v>1.7403251660178611</v>
      </c>
      <c r="X12" s="114">
        <f t="shared" si="2"/>
        <v>0.50377833753148615</v>
      </c>
      <c r="Y12" s="139"/>
      <c r="Z12" s="154"/>
      <c r="AA12" s="220"/>
      <c r="AB12" s="50" t="str">
        <f t="shared" si="3"/>
        <v>East Sussex</v>
      </c>
      <c r="AC12" s="49">
        <v>4</v>
      </c>
      <c r="AD12" s="50" t="str">
        <f t="shared" si="4"/>
        <v>East SussexNumber</v>
      </c>
      <c r="AE12" s="51" t="b">
        <f t="shared" si="5"/>
        <v>0</v>
      </c>
      <c r="AF12" s="735">
        <f>IF(Year5_East_Sussex Year5_ReferralSource_Individual_Family="","",Year5_East_Sussex Year5_ReferralSource_Individual_Family)</f>
        <v>415</v>
      </c>
      <c r="AG12" s="626" t="str">
        <f>IF(Year5_East_Sussex Year5_ReferralSource_Individual_Acquaintance="","",Year5_East_Sussex Year5_ReferralSource_Individual_Acquaintance)</f>
        <v/>
      </c>
      <c r="AH12" s="626" t="str">
        <f>IF(Year5_East_Sussex Year5_ReferralSource_Individual_Self="","",Year5_East_Sussex Year5_ReferralSource_Individual_Self)</f>
        <v/>
      </c>
      <c r="AI12" s="626" t="str">
        <f>IF(Year5_East_Sussex Year5_ReferralSource_Individual_Other="","",Year5_East_Sussex Year5_ReferralSource_Individual_Other)</f>
        <v/>
      </c>
      <c r="AJ12" s="626">
        <f>IF(Year5_East_Sussex Year5_ReferralSource_School="","",Year5_East_Sussex Year5_ReferralSource_School)</f>
        <v>824</v>
      </c>
      <c r="AK12" s="626">
        <f>IF(Year5_East_Sussex Year5_ReferralSource_EducationServices="","",Year5_East_Sussex Year5_ReferralSource_EducationServices)</f>
        <v>67</v>
      </c>
      <c r="AL12" s="626">
        <f>IF(Year5_East_Sussex Year5_ReferralSource_Health_services_GP="","",Year5_East_Sussex Year5_ReferralSource_Health_services_GP)</f>
        <v>445</v>
      </c>
      <c r="AM12" s="626" t="str">
        <f>IF(Year5_East_Sussex Year5_ReferralSource_Health_services_HealthVisitor="","",Year5_East_Sussex Year5_ReferralSource_Health_services_HealthVisitor)</f>
        <v/>
      </c>
      <c r="AN12" s="626" t="str">
        <f>IF(Year5_East_Sussex Year5_ReferralSource_Health_services_SchoolNurse="","",Year5_East_Sussex Year5_ReferralSource_Health_services_SchoolNurse)</f>
        <v/>
      </c>
      <c r="AO12" s="626" t="str">
        <f>IF(Year5_East_Sussex Year5_ReferralSource_Health_services_OthPrimary="","",Year5_East_Sussex Year5_ReferralSource_Health_services_OthPrimary)</f>
        <v/>
      </c>
      <c r="AP12" s="626" t="str">
        <f>IF(Year5_East_Sussex Year5_ReferralSource_Health_services_AE="","",Year5_East_Sussex Year5_ReferralSource_Health_services_AE)</f>
        <v/>
      </c>
      <c r="AQ12" s="626" t="str">
        <f>IF(Year5_East_Sussex Year5_ReferralSource_Health_services_Other="","",Year5_East_Sussex Year5_ReferralSource_Health_services_Other)</f>
        <v/>
      </c>
      <c r="AR12" s="626">
        <f>IF(Year5_East_Sussex Year5_ReferralSource_Housing="","",Year5_East_Sussex Year5_ReferralSource_Housing)</f>
        <v>40</v>
      </c>
      <c r="AS12" s="626">
        <f>IF(Year5_East_Sussex Year5_ReferralSource_LA_SC="","",Year5_East_Sussex Year5_ReferralSource_LA_SC)</f>
        <v>771</v>
      </c>
      <c r="AT12" s="626" t="str">
        <f>IF(Year5_East_Sussex Year5_ReferralSource_LA_Other="","",Year5_East_Sussex Year5_ReferralSource_LA_Other)</f>
        <v/>
      </c>
      <c r="AU12" s="626" t="str">
        <f>IF(Year5_East_Sussex Year5_ReferralSource_LA_External="","",Year5_East_Sussex Year5_ReferralSource_LA_External)</f>
        <v/>
      </c>
      <c r="AV12" s="626">
        <f>IF(Year5_East_Sussex Year5_ReferralSource_Police="","",Year5_East_Sussex Year5_ReferralSource_Police)</f>
        <v>1191</v>
      </c>
      <c r="AW12" s="626">
        <f>IF(Year5_East_Sussex Year5_ReferralSource_Other_Legal="","",Year5_East_Sussex Year5_ReferralSource_Other_Legal)</f>
        <v>173</v>
      </c>
      <c r="AX12" s="626">
        <f>IF(Year5_East_Sussex Year5_ReferralSource_Other="","",Year5_East_Sussex Year5_ReferralSource_Other)</f>
        <v>343</v>
      </c>
      <c r="AY12" s="626">
        <f>IF(Year5_East_Sussex Year5_ReferralSource_Anonymous="","",Year5_East_Sussex Year5_ReferralSource_Anonymous)</f>
        <v>76</v>
      </c>
      <c r="AZ12" s="626">
        <f>IF(Year5_East_Sussex Year5_ReferralSource_Unknown="","",Year5_East_Sussex Year5_ReferralSource_Unknown)</f>
        <v>22</v>
      </c>
      <c r="BA12" s="57">
        <f t="shared" si="6"/>
        <v>4367</v>
      </c>
      <c r="BB12" s="101">
        <f>IF(BA12&gt;0,Population!G11,0)</f>
        <v>106045</v>
      </c>
      <c r="BC12" s="164">
        <f t="shared" si="7"/>
        <v>411.80630864255738</v>
      </c>
    </row>
    <row r="13" spans="1:55" s="101" customFormat="1" ht="13.5" hidden="1" customHeight="1" x14ac:dyDescent="0.2">
      <c r="A13" s="533">
        <f>VLOOKUP(B13,Sheet1!$B$4:$C$25,2,FALSE)</f>
        <v>0</v>
      </c>
      <c r="B13" s="112" t="s">
        <v>6</v>
      </c>
      <c r="C13" s="97"/>
      <c r="D13" s="113">
        <f t="shared" si="0"/>
        <v>11.399317406143345</v>
      </c>
      <c r="E13" s="113"/>
      <c r="F13" s="113"/>
      <c r="G13" s="113"/>
      <c r="H13" s="113">
        <f t="shared" si="0"/>
        <v>23.406763884579583</v>
      </c>
      <c r="I13" s="113">
        <f t="shared" si="0"/>
        <v>0</v>
      </c>
      <c r="J13" s="113">
        <f t="shared" si="0"/>
        <v>13.447098976109215</v>
      </c>
      <c r="K13" s="113"/>
      <c r="L13" s="113"/>
      <c r="M13" s="113"/>
      <c r="N13" s="113"/>
      <c r="O13" s="113"/>
      <c r="P13" s="113">
        <f t="shared" si="1"/>
        <v>1.0549177784672665</v>
      </c>
      <c r="Q13" s="113">
        <f t="shared" si="1"/>
        <v>9.9782811045609687</v>
      </c>
      <c r="R13" s="113"/>
      <c r="S13" s="113"/>
      <c r="T13" s="113">
        <f t="shared" si="1"/>
        <v>26.050263729444616</v>
      </c>
      <c r="U13" s="113">
        <f t="shared" si="1"/>
        <v>2.3642569035060501</v>
      </c>
      <c r="V13" s="113">
        <f t="shared" si="1"/>
        <v>7.1920570896680109</v>
      </c>
      <c r="W13" s="113">
        <f t="shared" si="1"/>
        <v>2.295997517840521</v>
      </c>
      <c r="X13" s="114">
        <f t="shared" si="2"/>
        <v>2.8110456096804222</v>
      </c>
      <c r="Y13" s="139"/>
      <c r="Z13" s="154"/>
      <c r="AA13" s="220"/>
      <c r="AB13" s="50" t="str">
        <f t="shared" si="3"/>
        <v>Hampshire</v>
      </c>
      <c r="AC13" s="49">
        <v>5</v>
      </c>
      <c r="AD13" s="50" t="str">
        <f t="shared" si="4"/>
        <v>HampshireNumber</v>
      </c>
      <c r="AE13" s="51" t="b">
        <f t="shared" si="5"/>
        <v>0</v>
      </c>
      <c r="AF13" s="623">
        <f>IF(Year5_Hampshire Year5_ReferralSource_Individual_Family="","",Year5_Hampshire Year5_ReferralSource_Individual_Family)</f>
        <v>1837</v>
      </c>
      <c r="AG13" s="624" t="str">
        <f>IF(Year5_Hampshire Year5_ReferralSource_Individual_Acquaintance="","",Year5_Hampshire Year5_ReferralSource_Individual_Acquaintance)</f>
        <v/>
      </c>
      <c r="AH13" s="624" t="str">
        <f>IF(Year5_Hampshire Year5_ReferralSource_Individual_Self="","",Year5_Hampshire Year5_ReferralSource_Individual_Self)</f>
        <v/>
      </c>
      <c r="AI13" s="624" t="str">
        <f>IF(Year5_Hampshire Year5_ReferralSource_Individual_Other="","",Year5_Hampshire Year5_ReferralSource_Individual_Other)</f>
        <v/>
      </c>
      <c r="AJ13" s="624">
        <f>IF(Year5_Hampshire Year5_ReferralSource_School="","",Year5_Hampshire Year5_ReferralSource_School)</f>
        <v>3772</v>
      </c>
      <c r="AK13" s="624">
        <f>IF(Year5_Hampshire Year5_ReferralSource_EducationServices="","",Year5_Hampshire Year5_ReferralSource_EducationServices)</f>
        <v>0</v>
      </c>
      <c r="AL13" s="624">
        <f>IF(Year5_Hampshire Year5_ReferralSource_Health_services_GP="","",Year5_Hampshire Year5_ReferralSource_Health_services_GP)</f>
        <v>2167</v>
      </c>
      <c r="AM13" s="624" t="str">
        <f>IF(Year5_Hampshire Year5_ReferralSource_Health_services_HealthVisitor="","",Year5_Hampshire Year5_ReferralSource_Health_services_HealthVisitor)</f>
        <v/>
      </c>
      <c r="AN13" s="624" t="str">
        <f>IF(Year5_Hampshire Year5_ReferralSource_Health_services_SchoolNurse="","",Year5_Hampshire Year5_ReferralSource_Health_services_SchoolNurse)</f>
        <v/>
      </c>
      <c r="AO13" s="624" t="str">
        <f>IF(Year5_Hampshire Year5_ReferralSource_Health_services_OthPrimary="","",Year5_Hampshire Year5_ReferralSource_Health_services_OthPrimary)</f>
        <v/>
      </c>
      <c r="AP13" s="624" t="str">
        <f>IF(Year5_Hampshire Year5_ReferralSource_Health_services_AE="","",Year5_Hampshire Year5_ReferralSource_Health_services_AE)</f>
        <v/>
      </c>
      <c r="AQ13" s="624" t="str">
        <f>IF(Year5_Hampshire Year5_ReferralSource_Health_services_Other="","",Year5_Hampshire Year5_ReferralSource_Health_services_Other)</f>
        <v/>
      </c>
      <c r="AR13" s="624">
        <f>IF(Year5_Hampshire Year5_ReferralSource_Housing="","",Year5_Hampshire Year5_ReferralSource_Housing)</f>
        <v>170</v>
      </c>
      <c r="AS13" s="624">
        <f>IF(Year5_Hampshire Year5_ReferralSource_LA_SC="","",Year5_Hampshire Year5_ReferralSource_LA_SC)</f>
        <v>1608</v>
      </c>
      <c r="AT13" s="624" t="str">
        <f>IF(Year5_Hampshire Year5_ReferralSource_LA_Other="","",Year5_Hampshire Year5_ReferralSource_LA_Other)</f>
        <v/>
      </c>
      <c r="AU13" s="624" t="str">
        <f>IF(Year5_Hampshire Year5_ReferralSource_LA_External="","",Year5_Hampshire Year5_ReferralSource_LA_External)</f>
        <v/>
      </c>
      <c r="AV13" s="624">
        <f>IF(Year5_Hampshire Year5_ReferralSource_Police="","",Year5_Hampshire Year5_ReferralSource_Police)</f>
        <v>4198</v>
      </c>
      <c r="AW13" s="624">
        <f>IF(Year5_Hampshire Year5_ReferralSource_Other_Legal="","",Year5_Hampshire Year5_ReferralSource_Other_Legal)</f>
        <v>381</v>
      </c>
      <c r="AX13" s="624">
        <f>IF(Year5_Hampshire Year5_ReferralSource_Other="","",Year5_Hampshire Year5_ReferralSource_Other)</f>
        <v>1159</v>
      </c>
      <c r="AY13" s="624">
        <f>IF(Year5_Hampshire Year5_ReferralSource_Anonymous="","",Year5_Hampshire Year5_ReferralSource_Anonymous)</f>
        <v>370</v>
      </c>
      <c r="AZ13" s="625">
        <f>IF(Year5_Hampshire Year5_ReferralSource_Unknown="","",Year5_Hampshire Year5_ReferralSource_Unknown)</f>
        <v>453</v>
      </c>
      <c r="BA13" s="57">
        <f t="shared" si="6"/>
        <v>16115</v>
      </c>
      <c r="BB13" s="101">
        <f>IF(BA13&gt;0,Population!G12,0)</f>
        <v>283314</v>
      </c>
      <c r="BC13" s="164">
        <f t="shared" si="7"/>
        <v>568.80351835772319</v>
      </c>
    </row>
    <row r="14" spans="1:55" s="101" customFormat="1" ht="13.5" hidden="1" customHeight="1" x14ac:dyDescent="0.2">
      <c r="A14" s="533">
        <f>VLOOKUP(B14,Sheet1!$B$4:$C$25,2,FALSE)</f>
        <v>0</v>
      </c>
      <c r="B14" s="112" t="s">
        <v>1</v>
      </c>
      <c r="C14" s="97"/>
      <c r="D14" s="113">
        <f t="shared" si="0"/>
        <v>9.7197106690777577</v>
      </c>
      <c r="E14" s="113"/>
      <c r="F14" s="113"/>
      <c r="G14" s="113"/>
      <c r="H14" s="113">
        <f t="shared" si="0"/>
        <v>30.153707052441231</v>
      </c>
      <c r="I14" s="113">
        <f t="shared" si="0"/>
        <v>0</v>
      </c>
      <c r="J14" s="113">
        <f t="shared" si="0"/>
        <v>12.793851717902353</v>
      </c>
      <c r="K14" s="113"/>
      <c r="L14" s="113"/>
      <c r="M14" s="113"/>
      <c r="N14" s="113"/>
      <c r="O14" s="113"/>
      <c r="P14" s="113">
        <f t="shared" si="1"/>
        <v>1.4918625678119348</v>
      </c>
      <c r="Q14" s="113">
        <f t="shared" si="1"/>
        <v>11.980108499095842</v>
      </c>
      <c r="R14" s="113"/>
      <c r="S14" s="113"/>
      <c r="T14" s="113">
        <f t="shared" si="1"/>
        <v>21.609403254972875</v>
      </c>
      <c r="U14" s="113">
        <f t="shared" si="1"/>
        <v>1.763110307414105</v>
      </c>
      <c r="V14" s="113">
        <f t="shared" si="1"/>
        <v>7.6401446654611211</v>
      </c>
      <c r="W14" s="113">
        <f t="shared" si="1"/>
        <v>0</v>
      </c>
      <c r="X14" s="114">
        <f t="shared" si="2"/>
        <v>2.8481012658227849</v>
      </c>
      <c r="Y14" s="139"/>
      <c r="Z14" s="154"/>
      <c r="AA14" s="220"/>
      <c r="AB14" s="50" t="str">
        <f t="shared" si="3"/>
        <v>Isle of Wight</v>
      </c>
      <c r="AC14" s="49">
        <v>6</v>
      </c>
      <c r="AD14" s="50" t="str">
        <f t="shared" si="4"/>
        <v>Isle of WightNumber</v>
      </c>
      <c r="AE14" s="51" t="b">
        <f t="shared" si="5"/>
        <v>0</v>
      </c>
      <c r="AF14" s="623">
        <f>IF(Year5_Isle_of_Wight Year5_ReferralSource_Individual_Family="","",Year5_Isle_of_Wight Year5_ReferralSource_Individual_Family)</f>
        <v>215</v>
      </c>
      <c r="AG14" s="624" t="str">
        <f>IF(Year5_Isle_of_Wight Year5_ReferralSource_Individual_Acquaintance="","",Year5_Isle_of_Wight Year5_ReferralSource_Individual_Acquaintance)</f>
        <v/>
      </c>
      <c r="AH14" s="624" t="str">
        <f>IF(Year5_Isle_of_Wight Year5_ReferralSource_Individual_Self="","",Year5_Isle_of_Wight Year5_ReferralSource_Individual_Self)</f>
        <v/>
      </c>
      <c r="AI14" s="624" t="str">
        <f>IF(Year5_Isle_of_Wight Year5_ReferralSource_Individual_Other="","",Year5_Isle_of_Wight Year5_ReferralSource_Individual_Other)</f>
        <v/>
      </c>
      <c r="AJ14" s="624">
        <f>IF(Year5_Isle_of_Wight Year5_ReferralSource_School="","",Year5_Isle_of_Wight Year5_ReferralSource_School)</f>
        <v>667</v>
      </c>
      <c r="AK14" s="624">
        <f>IF(Year5_Isle_of_Wight Year5_ReferralSource_EducationServices="","",Year5_Isle_of_Wight Year5_ReferralSource_EducationServices)</f>
        <v>0</v>
      </c>
      <c r="AL14" s="624">
        <f>IF(Year5_Isle_of_Wight Year5_ReferralSource_Health_services_GP="","",Year5_Isle_of_Wight Year5_ReferralSource_Health_services_GP)</f>
        <v>283</v>
      </c>
      <c r="AM14" s="624" t="str">
        <f>IF(Year5_Isle_of_Wight Year5_ReferralSource_Health_services_HealthVisitor="","",Year5_Isle_of_Wight Year5_ReferralSource_Health_services_HealthVisitor)</f>
        <v/>
      </c>
      <c r="AN14" s="624" t="str">
        <f>IF(Year5_Isle_of_Wight Year5_ReferralSource_Health_services_SchoolNurse="","",Year5_Isle_of_Wight Year5_ReferralSource_Health_services_SchoolNurse)</f>
        <v/>
      </c>
      <c r="AO14" s="624" t="str">
        <f>IF(Year5_Isle_of_Wight Year5_ReferralSource_Health_services_OthPrimary="","",Year5_Isle_of_Wight Year5_ReferralSource_Health_services_OthPrimary)</f>
        <v/>
      </c>
      <c r="AP14" s="624" t="str">
        <f>IF(Year5_Isle_of_Wight Year5_ReferralSource_Health_services_AE="","",Year5_Isle_of_Wight Year5_ReferralSource_Health_services_AE)</f>
        <v/>
      </c>
      <c r="AQ14" s="624" t="str">
        <f>IF(Year5_Isle_of_Wight Year5_ReferralSource_Health_services_Other="","",Year5_Isle_of_Wight Year5_ReferralSource_Health_services_Other)</f>
        <v/>
      </c>
      <c r="AR14" s="624">
        <f>IF(Year5_Isle_of_Wight Year5_ReferralSource_Housing="","",Year5_Isle_of_Wight Year5_ReferralSource_Housing)</f>
        <v>33</v>
      </c>
      <c r="AS14" s="624">
        <f>IF(Year5_Isle_of_Wight Year5_ReferralSource_LA_SC="","",Year5_Isle_of_Wight Year5_ReferralSource_LA_SC)</f>
        <v>265</v>
      </c>
      <c r="AT14" s="624" t="str">
        <f>IF(Year5_Isle_of_Wight Year5_ReferralSource_LA_Other="","",Year5_Isle_of_Wight Year5_ReferralSource_LA_Other)</f>
        <v/>
      </c>
      <c r="AU14" s="624" t="str">
        <f>IF(Year5_Isle_of_Wight Year5_ReferralSource_LA_External="","",Year5_Isle_of_Wight Year5_ReferralSource_LA_External)</f>
        <v/>
      </c>
      <c r="AV14" s="624">
        <f>IF(Year5_Isle_of_Wight Year5_ReferralSource_Police="","",Year5_Isle_of_Wight Year5_ReferralSource_Police)</f>
        <v>478</v>
      </c>
      <c r="AW14" s="624">
        <f>IF(Year5_Isle_of_Wight Year5_ReferralSource_Other_Legal="","",Year5_Isle_of_Wight Year5_ReferralSource_Other_Legal)</f>
        <v>39</v>
      </c>
      <c r="AX14" s="624">
        <f>IF(Year5_Isle_of_Wight Year5_ReferralSource_Other="","",Year5_Isle_of_Wight Year5_ReferralSource_Other)</f>
        <v>169</v>
      </c>
      <c r="AY14" s="624">
        <f>IF(Year5_Isle_of_Wight Year5_ReferralSource_Anonymous="","",Year5_Isle_of_Wight Year5_ReferralSource_Anonymous)</f>
        <v>0</v>
      </c>
      <c r="AZ14" s="625">
        <f>IF(Year5_Isle_of_Wight Year5_ReferralSource_Unknown="","",Year5_Isle_of_Wight Year5_ReferralSource_Unknown)</f>
        <v>63</v>
      </c>
      <c r="BA14" s="57">
        <f t="shared" si="6"/>
        <v>2212</v>
      </c>
      <c r="BB14" s="101">
        <f>IF(BA14&gt;0,Population!G13,0)</f>
        <v>25055</v>
      </c>
      <c r="BC14" s="164">
        <f t="shared" si="7"/>
        <v>882.85771303133106</v>
      </c>
    </row>
    <row r="15" spans="1:55" s="101" customFormat="1" ht="13.5" hidden="1" customHeight="1" x14ac:dyDescent="0.2">
      <c r="A15" s="533">
        <f>VLOOKUP(B15,Sheet1!$B$4:$C$25,2,FALSE)</f>
        <v>0</v>
      </c>
      <c r="B15" s="112" t="s">
        <v>10</v>
      </c>
      <c r="C15" s="97"/>
      <c r="D15" s="113">
        <f t="shared" si="0"/>
        <v>11.190832602075053</v>
      </c>
      <c r="E15" s="113"/>
      <c r="F15" s="113"/>
      <c r="G15" s="113"/>
      <c r="H15" s="113">
        <f t="shared" si="0"/>
        <v>16.373303050637485</v>
      </c>
      <c r="I15" s="113">
        <f t="shared" si="0"/>
        <v>0.68652247973984415</v>
      </c>
      <c r="J15" s="113">
        <f t="shared" si="0"/>
        <v>12.25932999535436</v>
      </c>
      <c r="K15" s="113"/>
      <c r="L15" s="113"/>
      <c r="M15" s="113"/>
      <c r="N15" s="113"/>
      <c r="O15" s="113"/>
      <c r="P15" s="113">
        <f t="shared" si="1"/>
        <v>2.0957002013111032</v>
      </c>
      <c r="Q15" s="113">
        <f t="shared" si="1"/>
        <v>11.345687296753214</v>
      </c>
      <c r="R15" s="113"/>
      <c r="S15" s="113"/>
      <c r="T15" s="113">
        <f t="shared" si="1"/>
        <v>34.455169565890671</v>
      </c>
      <c r="U15" s="113">
        <f t="shared" si="1"/>
        <v>3.711350849119909</v>
      </c>
      <c r="V15" s="113">
        <f t="shared" si="1"/>
        <v>5.4199143137356112</v>
      </c>
      <c r="W15" s="113">
        <f t="shared" si="1"/>
        <v>2.1318329634026738</v>
      </c>
      <c r="X15" s="114">
        <f t="shared" si="2"/>
        <v>0.3303566819800754</v>
      </c>
      <c r="Y15" s="139"/>
      <c r="Z15" s="154"/>
      <c r="AA15" s="220"/>
      <c r="AB15" s="50" t="str">
        <f t="shared" si="3"/>
        <v>Kent</v>
      </c>
      <c r="AC15" s="49">
        <v>7</v>
      </c>
      <c r="AD15" s="50" t="str">
        <f t="shared" si="4"/>
        <v>KentNumber</v>
      </c>
      <c r="AE15" s="51" t="b">
        <f t="shared" si="5"/>
        <v>0</v>
      </c>
      <c r="AF15" s="623">
        <f>IF(Year5_Kent Year5_ReferralSource_Individual_Family="","",Year5_Kent Year5_ReferralSource_Individual_Family)</f>
        <v>2168</v>
      </c>
      <c r="AG15" s="624" t="str">
        <f>IF(Year5_Kent Year5_ReferralSource_Individual_Acquaintance="","",Year5_Kent Year5_ReferralSource_Individual_Acquaintance)</f>
        <v/>
      </c>
      <c r="AH15" s="624" t="str">
        <f>IF(Year5_Kent Year5_ReferralSource_Individual_Self="","",Year5_Kent Year5_ReferralSource_Individual_Self)</f>
        <v/>
      </c>
      <c r="AI15" s="624" t="str">
        <f>IF(Year5_Kent Year5_ReferralSource_Individual_Other="","",Year5_Kent Year5_ReferralSource_Individual_Other)</f>
        <v/>
      </c>
      <c r="AJ15" s="624">
        <f>IF(Year5_Kent Year5_ReferralSource_School="","",Year5_Kent Year5_ReferralSource_School)</f>
        <v>3172</v>
      </c>
      <c r="AK15" s="624">
        <f>IF(Year5_Kent Year5_ReferralSource_EducationServices="","",Year5_Kent Year5_ReferralSource_EducationServices)</f>
        <v>133</v>
      </c>
      <c r="AL15" s="624">
        <f>IF(Year5_Kent Year5_ReferralSource_Health_services_GP="","",Year5_Kent Year5_ReferralSource_Health_services_GP)</f>
        <v>2375</v>
      </c>
      <c r="AM15" s="624" t="str">
        <f>IF(Year5_Kent Year5_ReferralSource_Health_services_HealthVisitor="","",Year5_Kent Year5_ReferralSource_Health_services_HealthVisitor)</f>
        <v/>
      </c>
      <c r="AN15" s="624" t="str">
        <f>IF(Year5_Kent Year5_ReferralSource_Health_services_SchoolNurse="","",Year5_Kent Year5_ReferralSource_Health_services_SchoolNurse)</f>
        <v/>
      </c>
      <c r="AO15" s="624" t="str">
        <f>IF(Year5_Kent Year5_ReferralSource_Health_services_OthPrimary="","",Year5_Kent Year5_ReferralSource_Health_services_OthPrimary)</f>
        <v/>
      </c>
      <c r="AP15" s="624" t="str">
        <f>IF(Year5_Kent Year5_ReferralSource_Health_services_AE="","",Year5_Kent Year5_ReferralSource_Health_services_AE)</f>
        <v/>
      </c>
      <c r="AQ15" s="624" t="str">
        <f>IF(Year5_Kent Year5_ReferralSource_Health_services_Other="","",Year5_Kent Year5_ReferralSource_Health_services_Other)</f>
        <v/>
      </c>
      <c r="AR15" s="624">
        <f>IF(Year5_Kent Year5_ReferralSource_Housing="","",Year5_Kent Year5_ReferralSource_Housing)</f>
        <v>406</v>
      </c>
      <c r="AS15" s="624">
        <f>IF(Year5_Kent Year5_ReferralSource_LA_SC="","",Year5_Kent Year5_ReferralSource_LA_SC)</f>
        <v>2198</v>
      </c>
      <c r="AT15" s="624" t="str">
        <f>IF(Year5_Kent Year5_ReferralSource_LA_Other="","",Year5_Kent Year5_ReferralSource_LA_Other)</f>
        <v/>
      </c>
      <c r="AU15" s="624" t="str">
        <f>IF(Year5_Kent Year5_ReferralSource_LA_External="","",Year5_Kent Year5_ReferralSource_LA_External)</f>
        <v/>
      </c>
      <c r="AV15" s="624">
        <f>IF(Year5_Kent Year5_ReferralSource_Police="","",Year5_Kent Year5_ReferralSource_Police)</f>
        <v>6675</v>
      </c>
      <c r="AW15" s="624">
        <f>IF(Year5_Kent Year5_ReferralSource_Other_Legal="","",Year5_Kent Year5_ReferralSource_Other_Legal)</f>
        <v>719</v>
      </c>
      <c r="AX15" s="624">
        <f>IF(Year5_Kent Year5_ReferralSource_Other="","",Year5_Kent Year5_ReferralSource_Other)</f>
        <v>1050</v>
      </c>
      <c r="AY15" s="624">
        <f>IF(Year5_Kent Year5_ReferralSource_Anonymous="","",Year5_Kent Year5_ReferralSource_Anonymous)</f>
        <v>413</v>
      </c>
      <c r="AZ15" s="625">
        <f>IF(Year5_Kent Year5_ReferralSource_Unknown="","",Year5_Kent Year5_ReferralSource_Unknown)</f>
        <v>64</v>
      </c>
      <c r="BA15" s="57">
        <f t="shared" si="6"/>
        <v>19373</v>
      </c>
      <c r="BB15" s="101">
        <f>IF(BA15&gt;0,Population!G14,0)</f>
        <v>336090</v>
      </c>
      <c r="BC15" s="164">
        <f t="shared" si="7"/>
        <v>576.42298193936142</v>
      </c>
    </row>
    <row r="16" spans="1:55" s="101" customFormat="1" ht="13.5" hidden="1" customHeight="1" x14ac:dyDescent="0.2">
      <c r="A16" s="533">
        <f>VLOOKUP(B16,Sheet1!$B$4:$C$25,2,FALSE)</f>
        <v>0</v>
      </c>
      <c r="B16" s="112" t="s">
        <v>2</v>
      </c>
      <c r="C16" s="97"/>
      <c r="D16" s="113">
        <f t="shared" ref="D16:D31" si="8">VLOOKUP(CONCATENATE($B16,$V$5),$AD$9:$BA$79,AF$6,FALSE)</f>
        <v>9.4563552833078095</v>
      </c>
      <c r="E16" s="479"/>
      <c r="F16" s="479"/>
      <c r="G16" s="479"/>
      <c r="H16" s="113">
        <f t="shared" ref="H16:H31" si="9">VLOOKUP(CONCATENATE($B16,$V$5),$AD$9:$BA$79,AJ$6,FALSE)</f>
        <v>19.869831546707502</v>
      </c>
      <c r="I16" s="113">
        <f t="shared" ref="I16:I31" si="10">VLOOKUP(CONCATENATE($B16,$V$5),$AD$9:$BA$79,AK$6,FALSE)</f>
        <v>1.339969372128637</v>
      </c>
      <c r="J16" s="113">
        <f t="shared" ref="J16:J31" si="11">VLOOKUP(CONCATENATE($B16,$V$5),$AD$9:$BA$79,AL$6,FALSE)</f>
        <v>12.098009188361408</v>
      </c>
      <c r="K16" s="479"/>
      <c r="L16" s="479"/>
      <c r="M16" s="479"/>
      <c r="N16" s="479"/>
      <c r="O16" s="479"/>
      <c r="P16" s="113">
        <f t="shared" ref="P16:P31" si="12">VLOOKUP(CONCATENATE($B16,$V$5),$AD$9:$BA$79,AR$6,FALSE)</f>
        <v>2.4502297090352223</v>
      </c>
      <c r="Q16" s="113">
        <f t="shared" ref="Q16:Q31" si="13">VLOOKUP(CONCATENATE($B16,$V$5),$AD$9:$BA$79,AS$6,FALSE)</f>
        <v>13.361408882082696</v>
      </c>
      <c r="R16" s="479"/>
      <c r="S16" s="479"/>
      <c r="T16" s="113">
        <f t="shared" ref="T16:T31" si="14">VLOOKUP(CONCATENATE($B16,$V$5),$AD$9:$BA$79,AV$6,FALSE)</f>
        <v>31.278713629402755</v>
      </c>
      <c r="U16" s="113">
        <f t="shared" ref="U16:U31" si="15">VLOOKUP(CONCATENATE($B16,$V$5),$AD$9:$BA$79,AW$6,FALSE)</f>
        <v>2.9096477794793261</v>
      </c>
      <c r="V16" s="113">
        <f t="shared" ref="V16:V31" si="16">VLOOKUP(CONCATENATE($B16,$V$5),$AD$9:$BA$79,AX$6,FALSE)</f>
        <v>3.1010719754977027</v>
      </c>
      <c r="W16" s="113">
        <f t="shared" ref="W16:W31" si="17">VLOOKUP(CONCATENATE($B16,$V$5),$AD$9:$BA$79,AY$6,FALSE)</f>
        <v>3.1776416539050536</v>
      </c>
      <c r="X16" s="114">
        <f t="shared" ref="X16:X31" si="18">VLOOKUP(CONCATENATE($B16,$V$5),$AD$9:$BA$79,AZ$6,FALSE)</f>
        <v>0.95712098009188351</v>
      </c>
      <c r="Y16" s="139"/>
      <c r="Z16" s="154"/>
      <c r="AA16" s="220"/>
      <c r="AB16" s="50" t="str">
        <f t="shared" si="3"/>
        <v>Medway</v>
      </c>
      <c r="AC16" s="49">
        <v>8</v>
      </c>
      <c r="AD16" s="50" t="str">
        <f t="shared" si="4"/>
        <v>MedwayNumber</v>
      </c>
      <c r="AE16" s="51" t="b">
        <f t="shared" si="5"/>
        <v>0</v>
      </c>
      <c r="AF16" s="623">
        <f>IF(Year5_Medway Year5_ReferralSource_Individual_Family="","",Year5_Medway Year5_ReferralSource_Individual_Family)</f>
        <v>247</v>
      </c>
      <c r="AG16" s="624" t="str">
        <f>IF(Year5_Medway Year5_ReferralSource_Individual_Acquaintance="","",Year5_Medway Year5_ReferralSource_Individual_Acquaintance)</f>
        <v/>
      </c>
      <c r="AH16" s="624" t="str">
        <f>IF(Year5_Medway Year5_ReferralSource_Individual_Self="","",Year5_Medway Year5_ReferralSource_Individual_Self)</f>
        <v/>
      </c>
      <c r="AI16" s="624" t="str">
        <f>IF(Year5_Medway Year5_ReferralSource_Individual_Other="","",Year5_Medway Year5_ReferralSource_Individual_Other)</f>
        <v/>
      </c>
      <c r="AJ16" s="624">
        <f>IF(Year5_Medway Year5_ReferralSource_School="","",Year5_Medway Year5_ReferralSource_School)</f>
        <v>519</v>
      </c>
      <c r="AK16" s="624">
        <f>IF(Year5_Medway Year5_ReferralSource_EducationServices="","",Year5_Medway Year5_ReferralSource_EducationServices)</f>
        <v>35</v>
      </c>
      <c r="AL16" s="624">
        <f>IF(Year5_Medway Year5_ReferralSource_Health_services_GP="","",Year5_Medway Year5_ReferralSource_Health_services_GP)</f>
        <v>316</v>
      </c>
      <c r="AM16" s="624" t="str">
        <f>IF(Year5_Medway Year5_ReferralSource_Health_services_HealthVisitor="","",Year5_Medway Year5_ReferralSource_Health_services_HealthVisitor)</f>
        <v/>
      </c>
      <c r="AN16" s="624" t="str">
        <f>IF(Year5_Medway Year5_ReferralSource_Health_services_SchoolNurse="","",Year5_Medway Year5_ReferralSource_Health_services_SchoolNurse)</f>
        <v/>
      </c>
      <c r="AO16" s="624" t="str">
        <f>IF(Year5_Medway Year5_ReferralSource_Health_services_OthPrimary="","",Year5_Medway Year5_ReferralSource_Health_services_OthPrimary)</f>
        <v/>
      </c>
      <c r="AP16" s="624" t="str">
        <f>IF(Year5_Medway Year5_ReferralSource_Health_services_AE="","",Year5_Medway Year5_ReferralSource_Health_services_AE)</f>
        <v/>
      </c>
      <c r="AQ16" s="624" t="str">
        <f>IF(Year5_Medway Year5_ReferralSource_Health_services_Other="","",Year5_Medway Year5_ReferralSource_Health_services_Other)</f>
        <v/>
      </c>
      <c r="AR16" s="624">
        <f>IF(Year5_Medway Year5_ReferralSource_Housing="","",Year5_Medway Year5_ReferralSource_Housing)</f>
        <v>64</v>
      </c>
      <c r="AS16" s="624">
        <f>IF(Year5_Medway Year5_ReferralSource_LA_SC="","",Year5_Medway Year5_ReferralSource_LA_SC)</f>
        <v>349</v>
      </c>
      <c r="AT16" s="624" t="str">
        <f>IF(Year5_Medway Year5_ReferralSource_LA_Other="","",Year5_Medway Year5_ReferralSource_LA_Other)</f>
        <v/>
      </c>
      <c r="AU16" s="624" t="str">
        <f>IF(Year5_Medway Year5_ReferralSource_LA_External="","",Year5_Medway Year5_ReferralSource_LA_External)</f>
        <v/>
      </c>
      <c r="AV16" s="624">
        <f>IF(Year5_Medway Year5_ReferralSource_Police="","",Year5_Medway Year5_ReferralSource_Police)</f>
        <v>817</v>
      </c>
      <c r="AW16" s="624">
        <f>IF(Year5_Medway Year5_ReferralSource_Other_Legal="","",Year5_Medway Year5_ReferralSource_Other_Legal)</f>
        <v>76</v>
      </c>
      <c r="AX16" s="624">
        <f>IF(Year5_Medway Year5_ReferralSource_Other="","",Year5_Medway Year5_ReferralSource_Other)</f>
        <v>81</v>
      </c>
      <c r="AY16" s="624">
        <f>IF(Year5_Medway Year5_ReferralSource_Anonymous="","",Year5_Medway Year5_ReferralSource_Anonymous)</f>
        <v>83</v>
      </c>
      <c r="AZ16" s="625">
        <f>IF(Year5_Medway Year5_ReferralSource_Unknown="","",Year5_Medway Year5_ReferralSource_Unknown)</f>
        <v>25</v>
      </c>
      <c r="BA16" s="57">
        <f t="shared" si="6"/>
        <v>2612</v>
      </c>
      <c r="BB16" s="101">
        <f>IF(BA16&gt;0,Population!G15,0)</f>
        <v>63943</v>
      </c>
      <c r="BC16" s="164">
        <f t="shared" si="7"/>
        <v>408.48881034671507</v>
      </c>
    </row>
    <row r="17" spans="1:65" s="101" customFormat="1" ht="13.5" hidden="1" customHeight="1" x14ac:dyDescent="0.2">
      <c r="A17" s="533">
        <f>VLOOKUP(B17,Sheet1!$B$4:$C$25,2,FALSE)</f>
        <v>0</v>
      </c>
      <c r="B17" s="112" t="s">
        <v>11</v>
      </c>
      <c r="C17" s="97"/>
      <c r="D17" s="113">
        <f t="shared" si="8"/>
        <v>9.1609589041095898</v>
      </c>
      <c r="E17" s="113"/>
      <c r="F17" s="113"/>
      <c r="G17" s="113"/>
      <c r="H17" s="113">
        <f t="shared" si="9"/>
        <v>18.878424657534246</v>
      </c>
      <c r="I17" s="113">
        <f t="shared" si="10"/>
        <v>1.1558219178082192</v>
      </c>
      <c r="J17" s="113">
        <f t="shared" si="11"/>
        <v>12.756849315068495</v>
      </c>
      <c r="K17" s="113"/>
      <c r="L17" s="113"/>
      <c r="M17" s="113"/>
      <c r="N17" s="113"/>
      <c r="O17" s="113"/>
      <c r="P17" s="113" t="e">
        <f t="shared" si="12"/>
        <v>#N/A</v>
      </c>
      <c r="Q17" s="113">
        <f t="shared" si="13"/>
        <v>17.38013698630137</v>
      </c>
      <c r="R17" s="113"/>
      <c r="S17" s="113"/>
      <c r="T17" s="113">
        <f t="shared" si="14"/>
        <v>28.510273972602739</v>
      </c>
      <c r="U17" s="113">
        <f t="shared" si="15"/>
        <v>6.0359589041095889</v>
      </c>
      <c r="V17" s="113">
        <f t="shared" si="16"/>
        <v>4.0667808219178081</v>
      </c>
      <c r="W17" s="113">
        <f t="shared" si="17"/>
        <v>2.054794520547945</v>
      </c>
      <c r="X17" s="114" t="e">
        <f t="shared" si="18"/>
        <v>#N/A</v>
      </c>
      <c r="Y17" s="139"/>
      <c r="Z17" s="154"/>
      <c r="AA17" s="220"/>
      <c r="AB17" s="50" t="str">
        <f t="shared" si="3"/>
        <v>Milton Keynes</v>
      </c>
      <c r="AC17" s="49">
        <v>9</v>
      </c>
      <c r="AD17" s="50" t="str">
        <f t="shared" si="4"/>
        <v>Milton KeynesNumber</v>
      </c>
      <c r="AE17" s="51" t="b">
        <f t="shared" si="5"/>
        <v>0</v>
      </c>
      <c r="AF17" s="623">
        <f>IF(Year5_Milton_Keynes Year5_ReferralSource_Individual_Family="","",Year5_Milton_Keynes Year5_ReferralSource_Individual_Family)</f>
        <v>214</v>
      </c>
      <c r="AG17" s="624" t="str">
        <f>IF(Year5_Milton_Keynes Year5_ReferralSource_Individual_Acquaintance="","",Year5_Milton_Keynes Year5_ReferralSource_Individual_Acquaintance)</f>
        <v/>
      </c>
      <c r="AH17" s="624" t="str">
        <f>IF(Year5_Milton_Keynes Year5_ReferralSource_Individual_Self="","",Year5_Milton_Keynes Year5_ReferralSource_Individual_Self)</f>
        <v/>
      </c>
      <c r="AI17" s="624" t="str">
        <f>IF(Year5_Milton_Keynes Year5_ReferralSource_Individual_Other="","",Year5_Milton_Keynes Year5_ReferralSource_Individual_Other)</f>
        <v/>
      </c>
      <c r="AJ17" s="624">
        <f>IF(Year5_Milton_Keynes Year5_ReferralSource_School="","",Year5_Milton_Keynes Year5_ReferralSource_School)</f>
        <v>441</v>
      </c>
      <c r="AK17" s="624">
        <f>IF(Year5_Milton_Keynes Year5_ReferralSource_EducationServices="","",Year5_Milton_Keynes Year5_ReferralSource_EducationServices)</f>
        <v>27</v>
      </c>
      <c r="AL17" s="624">
        <f>IF(Year5_Milton_Keynes Year5_ReferralSource_Health_services_GP="","",Year5_Milton_Keynes Year5_ReferralSource_Health_services_GP)</f>
        <v>298</v>
      </c>
      <c r="AM17" s="624" t="str">
        <f>IF(Year5_Milton_Keynes Year5_ReferralSource_Health_services_HealthVisitor="","",Year5_Milton_Keynes Year5_ReferralSource_Health_services_HealthVisitor)</f>
        <v/>
      </c>
      <c r="AN17" s="624" t="str">
        <f>IF(Year5_Milton_Keynes Year5_ReferralSource_Health_services_SchoolNurse="","",Year5_Milton_Keynes Year5_ReferralSource_Health_services_SchoolNurse)</f>
        <v/>
      </c>
      <c r="AO17" s="624" t="str">
        <f>IF(Year5_Milton_Keynes Year5_ReferralSource_Health_services_OthPrimary="","",Year5_Milton_Keynes Year5_ReferralSource_Health_services_OthPrimary)</f>
        <v/>
      </c>
      <c r="AP17" s="624" t="str">
        <f>IF(Year5_Milton_Keynes Year5_ReferralSource_Health_services_AE="","",Year5_Milton_Keynes Year5_ReferralSource_Health_services_AE)</f>
        <v/>
      </c>
      <c r="AQ17" s="624" t="str">
        <f>IF(Year5_Milton_Keynes Year5_ReferralSource_Health_services_Other="","",Year5_Milton_Keynes Year5_ReferralSource_Health_services_Other)</f>
        <v/>
      </c>
      <c r="AR17" s="624" t="str">
        <f>IF(Year5_Milton_Keynes Year5_ReferralSource_Housing="","",Year5_Milton_Keynes Year5_ReferralSource_Housing)</f>
        <v>x</v>
      </c>
      <c r="AS17" s="624">
        <f>IF(Year5_Milton_Keynes Year5_ReferralSource_LA_SC="","",Year5_Milton_Keynes Year5_ReferralSource_LA_SC)</f>
        <v>406</v>
      </c>
      <c r="AT17" s="624" t="str">
        <f>IF(Year5_Milton_Keynes Year5_ReferralSource_LA_Other="","",Year5_Milton_Keynes Year5_ReferralSource_LA_Other)</f>
        <v/>
      </c>
      <c r="AU17" s="624" t="str">
        <f>IF(Year5_Milton_Keynes Year5_ReferralSource_LA_External="","",Year5_Milton_Keynes Year5_ReferralSource_LA_External)</f>
        <v/>
      </c>
      <c r="AV17" s="624">
        <f>IF(Year5_Milton_Keynes Year5_ReferralSource_Police="","",Year5_Milton_Keynes Year5_ReferralSource_Police)</f>
        <v>666</v>
      </c>
      <c r="AW17" s="624">
        <f>IF(Year5_Milton_Keynes Year5_ReferralSource_Other_Legal="","",Year5_Milton_Keynes Year5_ReferralSource_Other_Legal)</f>
        <v>141</v>
      </c>
      <c r="AX17" s="624">
        <f>IF(Year5_Milton_Keynes Year5_ReferralSource_Other="","",Year5_Milton_Keynes Year5_ReferralSource_Other)</f>
        <v>95</v>
      </c>
      <c r="AY17" s="624">
        <f>IF(Year5_Milton_Keynes Year5_ReferralSource_Anonymous="","",Year5_Milton_Keynes Year5_ReferralSource_Anonymous)</f>
        <v>48</v>
      </c>
      <c r="AZ17" s="625" t="str">
        <f>IF(Year5_Milton_Keynes Year5_ReferralSource_Unknown="","",Year5_Milton_Keynes Year5_ReferralSource_Unknown)</f>
        <v>x</v>
      </c>
      <c r="BA17" s="57">
        <f t="shared" si="6"/>
        <v>2336</v>
      </c>
      <c r="BB17" s="101">
        <f>IF(BA17&gt;0,Population!G16,0)</f>
        <v>67647</v>
      </c>
      <c r="BC17" s="164">
        <f t="shared" si="7"/>
        <v>345.32203941046902</v>
      </c>
    </row>
    <row r="18" spans="1:65" s="101" customFormat="1" ht="13.5" hidden="1" customHeight="1" x14ac:dyDescent="0.2">
      <c r="A18" s="533">
        <f>VLOOKUP(B18,Sheet1!$B$4:$C$25,2,FALSE)</f>
        <v>0</v>
      </c>
      <c r="B18" s="112" t="s">
        <v>12</v>
      </c>
      <c r="C18" s="97"/>
      <c r="D18" s="113">
        <f>VLOOKUP(CONCATENATE($B18,$V$5),$AD$9:$BA$79,AF$6,FALSE)</f>
        <v>5.6207807455239216</v>
      </c>
      <c r="E18" s="113"/>
      <c r="F18" s="113"/>
      <c r="G18" s="113"/>
      <c r="H18" s="113">
        <f t="shared" si="9"/>
        <v>12.635749926621662</v>
      </c>
      <c r="I18" s="113">
        <f t="shared" si="10"/>
        <v>0.51364837100088045</v>
      </c>
      <c r="J18" s="113">
        <f t="shared" si="11"/>
        <v>9.1135896683299098</v>
      </c>
      <c r="K18" s="113"/>
      <c r="L18" s="113"/>
      <c r="M18" s="113"/>
      <c r="N18" s="113"/>
      <c r="O18" s="113"/>
      <c r="P18" s="113">
        <f t="shared" si="12"/>
        <v>0.51364837100088045</v>
      </c>
      <c r="Q18" s="113">
        <f t="shared" si="13"/>
        <v>7.2204285294980926</v>
      </c>
      <c r="R18" s="113"/>
      <c r="S18" s="113"/>
      <c r="T18" s="113">
        <f t="shared" si="14"/>
        <v>29.321984150278841</v>
      </c>
      <c r="U18" s="113">
        <f t="shared" si="15"/>
        <v>1.1740534194305841</v>
      </c>
      <c r="V18" s="113">
        <f t="shared" si="16"/>
        <v>25.741121221015558</v>
      </c>
      <c r="W18" s="113">
        <f t="shared" si="17"/>
        <v>1.8784854710889345</v>
      </c>
      <c r="X18" s="114">
        <f t="shared" si="18"/>
        <v>6.2665101262107417</v>
      </c>
      <c r="Y18" s="139"/>
      <c r="Z18" s="154"/>
      <c r="AA18" s="220"/>
      <c r="AB18" s="50" t="str">
        <f t="shared" si="3"/>
        <v>Oxfordshire</v>
      </c>
      <c r="AC18" s="49">
        <v>10</v>
      </c>
      <c r="AD18" s="50" t="str">
        <f t="shared" si="4"/>
        <v>OxfordshireNumber</v>
      </c>
      <c r="AE18" s="51" t="b">
        <f t="shared" si="5"/>
        <v>0</v>
      </c>
      <c r="AF18" s="735">
        <f>IF(Year5_Oxfordshire Year5_ReferralSource_Individual_Family="","",Year5_Oxfordshire Year5_ReferralSource_Individual_Family)</f>
        <v>383</v>
      </c>
      <c r="AG18" s="626" t="str">
        <f>IF(Year5_Oxfordshire Year5_ReferralSource_Individual_Acquaintance="","",Year5_Oxfordshire Year5_ReferralSource_Individual_Acquaintance)</f>
        <v/>
      </c>
      <c r="AH18" s="626" t="str">
        <f>IF(Year5_Oxfordshire Year5_ReferralSource_Individual_Self="","",Year5_Oxfordshire Year5_ReferralSource_Individual_Self)</f>
        <v/>
      </c>
      <c r="AI18" s="626" t="str">
        <f>IF(Year5_Oxfordshire Year5_ReferralSource_Individual_Other="","",Year5_Oxfordshire Year5_ReferralSource_Individual_Other)</f>
        <v/>
      </c>
      <c r="AJ18" s="626">
        <f>IF(Year5_Oxfordshire Year5_ReferralSource_School="","",Year5_Oxfordshire Year5_ReferralSource_School)</f>
        <v>861</v>
      </c>
      <c r="AK18" s="626">
        <f>IF(Year5_Oxfordshire Year5_ReferralSource_EducationServices="","",Year5_Oxfordshire Year5_ReferralSource_EducationServices)</f>
        <v>35</v>
      </c>
      <c r="AL18" s="626">
        <f>IF(Year5_Oxfordshire Year5_ReferralSource_Health_services_GP="","",Year5_Oxfordshire Year5_ReferralSource_Health_services_GP)</f>
        <v>621</v>
      </c>
      <c r="AM18" s="626" t="str">
        <f>IF(Year5_Oxfordshire Year5_ReferralSource_Health_services_HealthVisitor="","",Year5_Oxfordshire Year5_ReferralSource_Health_services_HealthVisitor)</f>
        <v/>
      </c>
      <c r="AN18" s="626" t="str">
        <f>IF(Year5_Oxfordshire Year5_ReferralSource_Health_services_SchoolNurse="","",Year5_Oxfordshire Year5_ReferralSource_Health_services_SchoolNurse)</f>
        <v/>
      </c>
      <c r="AO18" s="626" t="str">
        <f>IF(Year5_Oxfordshire Year5_ReferralSource_Health_services_OthPrimary="","",Year5_Oxfordshire Year5_ReferralSource_Health_services_OthPrimary)</f>
        <v/>
      </c>
      <c r="AP18" s="626" t="str">
        <f>IF(Year5_Oxfordshire Year5_ReferralSource_Health_services_AE="","",Year5_Oxfordshire Year5_ReferralSource_Health_services_AE)</f>
        <v/>
      </c>
      <c r="AQ18" s="626" t="str">
        <f>IF(Year5_Oxfordshire Year5_ReferralSource_Health_services_Other="","",Year5_Oxfordshire Year5_ReferralSource_Health_services_Other)</f>
        <v/>
      </c>
      <c r="AR18" s="626">
        <f>IF(Year5_Oxfordshire Year5_ReferralSource_Housing="","",Year5_Oxfordshire Year5_ReferralSource_Housing)</f>
        <v>35</v>
      </c>
      <c r="AS18" s="626">
        <f>IF(Year5_Oxfordshire Year5_ReferralSource_LA_SC="","",Year5_Oxfordshire Year5_ReferralSource_LA_SC)</f>
        <v>492</v>
      </c>
      <c r="AT18" s="626" t="str">
        <f>IF(Year5_Oxfordshire Year5_ReferralSource_LA_Other="","",Year5_Oxfordshire Year5_ReferralSource_LA_Other)</f>
        <v/>
      </c>
      <c r="AU18" s="626" t="str">
        <f>IF(Year5_Oxfordshire Year5_ReferralSource_LA_External="","",Year5_Oxfordshire Year5_ReferralSource_LA_External)</f>
        <v/>
      </c>
      <c r="AV18" s="626">
        <f>IF(Year5_Oxfordshire Year5_ReferralSource_Police="","",Year5_Oxfordshire Year5_ReferralSource_Police)</f>
        <v>1998</v>
      </c>
      <c r="AW18" s="626">
        <f>IF(Year5_Oxfordshire Year5_ReferralSource_Other_Legal="","",Year5_Oxfordshire Year5_ReferralSource_Other_Legal)</f>
        <v>80</v>
      </c>
      <c r="AX18" s="626">
        <f>IF(Year5_Oxfordshire Year5_ReferralSource_Other="","",Year5_Oxfordshire Year5_ReferralSource_Other)</f>
        <v>1754</v>
      </c>
      <c r="AY18" s="626">
        <f>IF(Year5_Oxfordshire Year5_ReferralSource_Anonymous="","",Year5_Oxfordshire Year5_ReferralSource_Anonymous)</f>
        <v>128</v>
      </c>
      <c r="AZ18" s="626">
        <f>IF(Year5_Oxfordshire Year5_ReferralSource_Unknown="","",Year5_Oxfordshire Year5_ReferralSource_Unknown)</f>
        <v>427</v>
      </c>
      <c r="BA18" s="57">
        <f>SUM(AF18:AZ18)</f>
        <v>6814</v>
      </c>
      <c r="BB18" s="101">
        <f>IF(BA18&gt;0,Population!G17,0)</f>
        <v>143444</v>
      </c>
      <c r="BC18" s="164">
        <f t="shared" si="7"/>
        <v>475.02858258275006</v>
      </c>
    </row>
    <row r="19" spans="1:65" s="101" customFormat="1" ht="13.5" hidden="1" customHeight="1" x14ac:dyDescent="0.2">
      <c r="A19" s="533">
        <f>VLOOKUP(B19,Sheet1!$B$4:$C$25,2,FALSE)</f>
        <v>0</v>
      </c>
      <c r="B19" s="112" t="s">
        <v>13</v>
      </c>
      <c r="C19" s="97"/>
      <c r="D19" s="113">
        <f t="shared" si="8"/>
        <v>8.6467486818980674</v>
      </c>
      <c r="E19" s="113"/>
      <c r="F19" s="113"/>
      <c r="G19" s="113"/>
      <c r="H19" s="113">
        <f t="shared" si="9"/>
        <v>18.172231985940247</v>
      </c>
      <c r="I19" s="113">
        <f t="shared" si="10"/>
        <v>0.52724077328646746</v>
      </c>
      <c r="J19" s="113">
        <f t="shared" si="11"/>
        <v>15.360281195079088</v>
      </c>
      <c r="K19" s="113"/>
      <c r="L19" s="113"/>
      <c r="M19" s="113"/>
      <c r="N19" s="113"/>
      <c r="O19" s="113"/>
      <c r="P19" s="113">
        <f t="shared" si="12"/>
        <v>2.9876977152899822</v>
      </c>
      <c r="Q19" s="113">
        <f t="shared" si="13"/>
        <v>12.407732864674868</v>
      </c>
      <c r="R19" s="113"/>
      <c r="S19" s="113"/>
      <c r="T19" s="113">
        <f t="shared" si="14"/>
        <v>31.177504393673111</v>
      </c>
      <c r="U19" s="113">
        <f t="shared" si="15"/>
        <v>4.4288224956063269</v>
      </c>
      <c r="V19" s="113">
        <f t="shared" si="16"/>
        <v>4.5694200351493848</v>
      </c>
      <c r="W19" s="113">
        <f t="shared" si="17"/>
        <v>1.7223198594024607</v>
      </c>
      <c r="X19" s="114">
        <f t="shared" si="18"/>
        <v>0</v>
      </c>
      <c r="Y19" s="139"/>
      <c r="Z19" s="154"/>
      <c r="AA19" s="220"/>
      <c r="AB19" s="50" t="str">
        <f t="shared" si="3"/>
        <v>Portsmouth</v>
      </c>
      <c r="AC19" s="49">
        <v>11</v>
      </c>
      <c r="AD19" s="50" t="str">
        <f t="shared" si="4"/>
        <v>PortsmouthNumber</v>
      </c>
      <c r="AE19" s="51" t="b">
        <f t="shared" si="5"/>
        <v>0</v>
      </c>
      <c r="AF19" s="735">
        <f>IF(Year5_Portsmouth Year5_ReferralSource_Individual_Family="","",Year5_Portsmouth Year5_ReferralSource_Individual_Family)</f>
        <v>246</v>
      </c>
      <c r="AG19" s="626" t="str">
        <f>IF(Year5_Portsmouth Year5_ReferralSource_Individual_Acquaintance="","",Year5_Portsmouth Year5_ReferralSource_Individual_Acquaintance)</f>
        <v/>
      </c>
      <c r="AH19" s="626" t="str">
        <f>IF(Year5_Portsmouth Year5_ReferralSource_Individual_Self="","",Year5_Portsmouth Year5_ReferralSource_Individual_Self)</f>
        <v/>
      </c>
      <c r="AI19" s="626" t="str">
        <f>IF(Year5_Portsmouth Year5_ReferralSource_Individual_Other="","",Year5_Portsmouth Year5_ReferralSource_Individual_Other)</f>
        <v/>
      </c>
      <c r="AJ19" s="626">
        <f>IF(Year5_Portsmouth Year5_ReferralSource_School="","",Year5_Portsmouth Year5_ReferralSource_School)</f>
        <v>517</v>
      </c>
      <c r="AK19" s="626">
        <f>IF(Year5_Portsmouth Year5_ReferralSource_EducationServices="","",Year5_Portsmouth Year5_ReferralSource_EducationServices)</f>
        <v>15</v>
      </c>
      <c r="AL19" s="626">
        <f>IF(Year5_Portsmouth Year5_ReferralSource_Health_services_GP="","",Year5_Portsmouth Year5_ReferralSource_Health_services_GP)</f>
        <v>437</v>
      </c>
      <c r="AM19" s="626" t="str">
        <f>IF(Year5_Portsmouth Year5_ReferralSource_Health_services_HealthVisitor="","",Year5_Portsmouth Year5_ReferralSource_Health_services_HealthVisitor)</f>
        <v/>
      </c>
      <c r="AN19" s="626" t="str">
        <f>IF(Year5_Portsmouth Year5_ReferralSource_Health_services_SchoolNurse="","",Year5_Portsmouth Year5_ReferralSource_Health_services_SchoolNurse)</f>
        <v/>
      </c>
      <c r="AO19" s="626" t="str">
        <f>IF(Year5_Portsmouth Year5_ReferralSource_Health_services_OthPrimary="","",Year5_Portsmouth Year5_ReferralSource_Health_services_OthPrimary)</f>
        <v/>
      </c>
      <c r="AP19" s="626" t="str">
        <f>IF(Year5_Portsmouth Year5_ReferralSource_Health_services_AE="","",Year5_Portsmouth Year5_ReferralSource_Health_services_AE)</f>
        <v/>
      </c>
      <c r="AQ19" s="626" t="str">
        <f>IF(Year5_Portsmouth Year5_ReferralSource_Health_services_Other="","",Year5_Portsmouth Year5_ReferralSource_Health_services_Other)</f>
        <v/>
      </c>
      <c r="AR19" s="626">
        <f>IF(Year5_Portsmouth Year5_ReferralSource_Housing="","",Year5_Portsmouth Year5_ReferralSource_Housing)</f>
        <v>85</v>
      </c>
      <c r="AS19" s="626">
        <f>IF(Year5_Portsmouth Year5_ReferralSource_LA_SC="","",Year5_Portsmouth Year5_ReferralSource_LA_SC)</f>
        <v>353</v>
      </c>
      <c r="AT19" s="626" t="str">
        <f>IF(Year5_Portsmouth Year5_ReferralSource_LA_Other="","",Year5_Portsmouth Year5_ReferralSource_LA_Other)</f>
        <v/>
      </c>
      <c r="AU19" s="626" t="str">
        <f>IF(Year5_Portsmouth Year5_ReferralSource_LA_External="","",Year5_Portsmouth Year5_ReferralSource_LA_External)</f>
        <v/>
      </c>
      <c r="AV19" s="626">
        <f>IF(Year5_Portsmouth Year5_ReferralSource_Police="","",Year5_Portsmouth Year5_ReferralSource_Police)</f>
        <v>887</v>
      </c>
      <c r="AW19" s="626">
        <f>IF(Year5_Portsmouth Year5_ReferralSource_Other_Legal="","",Year5_Portsmouth Year5_ReferralSource_Other_Legal)</f>
        <v>126</v>
      </c>
      <c r="AX19" s="626">
        <f>IF(Year5_Portsmouth Year5_ReferralSource_Other="","",Year5_Portsmouth Year5_ReferralSource_Other)</f>
        <v>130</v>
      </c>
      <c r="AY19" s="626">
        <f>IF(Year5_Portsmouth Year5_ReferralSource_Anonymous="","",Year5_Portsmouth Year5_ReferralSource_Anonymous)</f>
        <v>49</v>
      </c>
      <c r="AZ19" s="626">
        <f>IF(Year5_Portsmouth Year5_ReferralSource_Unknown="","",Year5_Portsmouth Year5_ReferralSource_Unknown)</f>
        <v>0</v>
      </c>
      <c r="BA19" s="57">
        <f t="shared" si="6"/>
        <v>2845</v>
      </c>
      <c r="BB19" s="101">
        <f>IF(BA19&gt;0,Population!G18,0)</f>
        <v>44192</v>
      </c>
      <c r="BC19" s="164">
        <f t="shared" si="7"/>
        <v>643.78167994207092</v>
      </c>
    </row>
    <row r="20" spans="1:65" s="101" customFormat="1" ht="13.5" hidden="1" customHeight="1" x14ac:dyDescent="0.2">
      <c r="A20" s="533">
        <f>VLOOKUP(B20,Sheet1!$B$4:$C$25,2,FALSE)</f>
        <v>0</v>
      </c>
      <c r="B20" s="112" t="s">
        <v>3</v>
      </c>
      <c r="C20" s="97"/>
      <c r="D20" s="113">
        <f t="shared" si="8"/>
        <v>6.4665127020785222</v>
      </c>
      <c r="E20" s="113"/>
      <c r="F20" s="113"/>
      <c r="G20" s="113"/>
      <c r="H20" s="113">
        <f t="shared" si="9"/>
        <v>17.090069284064665</v>
      </c>
      <c r="I20" s="113">
        <f t="shared" si="10"/>
        <v>1.4626635873749037</v>
      </c>
      <c r="J20" s="113">
        <f t="shared" si="11"/>
        <v>15.280985373364125</v>
      </c>
      <c r="K20" s="113"/>
      <c r="L20" s="113"/>
      <c r="M20" s="113"/>
      <c r="N20" s="113"/>
      <c r="O20" s="113"/>
      <c r="P20" s="113">
        <f t="shared" si="12"/>
        <v>2.5404157043879905</v>
      </c>
      <c r="Q20" s="113">
        <f t="shared" si="13"/>
        <v>10.739030023094688</v>
      </c>
      <c r="R20" s="113"/>
      <c r="S20" s="113"/>
      <c r="T20" s="113">
        <f t="shared" si="14"/>
        <v>39.030023094688218</v>
      </c>
      <c r="U20" s="113">
        <f t="shared" si="15"/>
        <v>2.6943802925327174</v>
      </c>
      <c r="V20" s="113">
        <f t="shared" si="16"/>
        <v>4.695919938414165</v>
      </c>
      <c r="W20" s="113" t="e">
        <f t="shared" si="17"/>
        <v>#N/A</v>
      </c>
      <c r="X20" s="114" t="e">
        <f t="shared" si="18"/>
        <v>#N/A</v>
      </c>
      <c r="Y20" s="139"/>
      <c r="Z20" s="154"/>
      <c r="AA20" s="220"/>
      <c r="AB20" s="50" t="str">
        <f t="shared" si="3"/>
        <v>Reading</v>
      </c>
      <c r="AC20" s="49">
        <v>12</v>
      </c>
      <c r="AD20" s="50" t="str">
        <f t="shared" si="4"/>
        <v>ReadingNumber</v>
      </c>
      <c r="AE20" s="51" t="b">
        <f t="shared" si="5"/>
        <v>0</v>
      </c>
      <c r="AF20" s="735">
        <f>IF(Year5_Reading Year5_ReferralSource_Individual_Family="","",Year5_Reading Year5_ReferralSource_Individual_Family)</f>
        <v>168</v>
      </c>
      <c r="AG20" s="626" t="str">
        <f>IF(Year5_Reading Year5_ReferralSource_Individual_Acquaintance="","",Year5_Reading Year5_ReferralSource_Individual_Acquaintance)</f>
        <v/>
      </c>
      <c r="AH20" s="626" t="str">
        <f>IF(Year5_Reading Year5_ReferralSource_Individual_Self="","",Year5_Reading Year5_ReferralSource_Individual_Self)</f>
        <v/>
      </c>
      <c r="AI20" s="626" t="str">
        <f>IF(Year5_Reading Year5_ReferralSource_Individual_Other="","",Year5_Reading Year5_ReferralSource_Individual_Other)</f>
        <v/>
      </c>
      <c r="AJ20" s="626">
        <f>IF(Year5_Reading Year5_ReferralSource_School="","",Year5_Reading Year5_ReferralSource_School)</f>
        <v>444</v>
      </c>
      <c r="AK20" s="626">
        <f>IF(Year5_Reading Year5_ReferralSource_EducationServices="","",Year5_Reading Year5_ReferralSource_EducationServices)</f>
        <v>38</v>
      </c>
      <c r="AL20" s="626">
        <f>IF(Year5_Reading Year5_ReferralSource_Health_services_GP="","",Year5_Reading Year5_ReferralSource_Health_services_GP)</f>
        <v>397</v>
      </c>
      <c r="AM20" s="626" t="str">
        <f>IF(Year5_Reading Year5_ReferralSource_Health_services_HealthVisitor="","",Year5_Reading Year5_ReferralSource_Health_services_HealthVisitor)</f>
        <v/>
      </c>
      <c r="AN20" s="626" t="str">
        <f>IF(Year5_Reading Year5_ReferralSource_Health_services_SchoolNurse="","",Year5_Reading Year5_ReferralSource_Health_services_SchoolNurse)</f>
        <v/>
      </c>
      <c r="AO20" s="626" t="str">
        <f>IF(Year5_Reading Year5_ReferralSource_Health_services_OthPrimary="","",Year5_Reading Year5_ReferralSource_Health_services_OthPrimary)</f>
        <v/>
      </c>
      <c r="AP20" s="626" t="str">
        <f>IF(Year5_Reading Year5_ReferralSource_Health_services_AE="","",Year5_Reading Year5_ReferralSource_Health_services_AE)</f>
        <v/>
      </c>
      <c r="AQ20" s="626" t="str">
        <f>IF(Year5_Reading Year5_ReferralSource_Health_services_Other="","",Year5_Reading Year5_ReferralSource_Health_services_Other)</f>
        <v/>
      </c>
      <c r="AR20" s="626">
        <f>IF(Year5_Reading Year5_ReferralSource_Housing="","",Year5_Reading Year5_ReferralSource_Housing)</f>
        <v>66</v>
      </c>
      <c r="AS20" s="626">
        <f>IF(Year5_Reading Year5_ReferralSource_LA_SC="","",Year5_Reading Year5_ReferralSource_LA_SC)</f>
        <v>279</v>
      </c>
      <c r="AT20" s="626" t="str">
        <f>IF(Year5_Reading Year5_ReferralSource_LA_Other="","",Year5_Reading Year5_ReferralSource_LA_Other)</f>
        <v/>
      </c>
      <c r="AU20" s="626" t="str">
        <f>IF(Year5_Reading Year5_ReferralSource_LA_External="","",Year5_Reading Year5_ReferralSource_LA_External)</f>
        <v/>
      </c>
      <c r="AV20" s="626">
        <f>IF(Year5_Reading Year5_ReferralSource_Police="","",Year5_Reading Year5_ReferralSource_Police)</f>
        <v>1014</v>
      </c>
      <c r="AW20" s="626">
        <f>IF(Year5_Reading Year5_ReferralSource_Other_Legal="","",Year5_Reading Year5_ReferralSource_Other_Legal)</f>
        <v>70</v>
      </c>
      <c r="AX20" s="626">
        <f>IF(Year5_Reading Year5_ReferralSource_Other="","",Year5_Reading Year5_ReferralSource_Other)</f>
        <v>122</v>
      </c>
      <c r="AY20" s="626" t="str">
        <f>IF(Year5_Reading Year5_ReferralSource_Anonymous="","",Year5_Reading Year5_ReferralSource_Anonymous)</f>
        <v>x</v>
      </c>
      <c r="AZ20" s="626" t="str">
        <f>IF(Year5_Reading Year5_ReferralSource_Unknown="","",Year5_Reading Year5_ReferralSource_Unknown)</f>
        <v>x</v>
      </c>
      <c r="BA20" s="57">
        <f t="shared" si="6"/>
        <v>2598</v>
      </c>
      <c r="BB20" s="101">
        <f>IF(BA20&gt;0,Population!G19,0)</f>
        <v>37093</v>
      </c>
      <c r="BC20" s="164">
        <f t="shared" si="7"/>
        <v>700.40169304181393</v>
      </c>
    </row>
    <row r="21" spans="1:65" s="101" customFormat="1" ht="13.5" hidden="1" customHeight="1" x14ac:dyDescent="0.2">
      <c r="A21" s="533">
        <f>VLOOKUP(B21,Sheet1!$B$4:$C$25,2,FALSE)</f>
        <v>0</v>
      </c>
      <c r="B21" s="112" t="s">
        <v>14</v>
      </c>
      <c r="C21" s="97"/>
      <c r="D21" s="113">
        <f t="shared" si="8"/>
        <v>6.9269521410579351</v>
      </c>
      <c r="E21" s="479"/>
      <c r="F21" s="479"/>
      <c r="G21" s="479"/>
      <c r="H21" s="113">
        <f t="shared" si="9"/>
        <v>16.750629722921914</v>
      </c>
      <c r="I21" s="113">
        <f t="shared" si="10"/>
        <v>0.75566750629722923</v>
      </c>
      <c r="J21" s="113">
        <f t="shared" si="11"/>
        <v>12.594458438287154</v>
      </c>
      <c r="K21" s="479"/>
      <c r="L21" s="479"/>
      <c r="M21" s="479"/>
      <c r="N21" s="479"/>
      <c r="O21" s="479"/>
      <c r="P21" s="113" t="e">
        <f t="shared" si="12"/>
        <v>#N/A</v>
      </c>
      <c r="Q21" s="113">
        <f t="shared" si="13"/>
        <v>23.173803526448363</v>
      </c>
      <c r="R21" s="479"/>
      <c r="S21" s="479"/>
      <c r="T21" s="113">
        <f t="shared" si="14"/>
        <v>32.430730478589417</v>
      </c>
      <c r="U21" s="113">
        <f t="shared" si="15"/>
        <v>2.8337531486146093</v>
      </c>
      <c r="V21" s="113">
        <f t="shared" si="16"/>
        <v>1.8261964735516372</v>
      </c>
      <c r="W21" s="113">
        <f t="shared" si="17"/>
        <v>2.7078085642317382</v>
      </c>
      <c r="X21" s="114" t="e">
        <f t="shared" si="18"/>
        <v>#N/A</v>
      </c>
      <c r="Y21" s="139"/>
      <c r="Z21" s="154"/>
      <c r="AA21" s="220"/>
      <c r="AB21" s="50" t="str">
        <f t="shared" si="3"/>
        <v>Slough</v>
      </c>
      <c r="AC21" s="49">
        <v>13</v>
      </c>
      <c r="AD21" s="50" t="str">
        <f t="shared" si="4"/>
        <v>SloughNumber</v>
      </c>
      <c r="AE21" s="51" t="b">
        <f t="shared" si="5"/>
        <v>0</v>
      </c>
      <c r="AF21" s="606">
        <f>IF(Year5_Slough Year5_ReferralSource_Individual_Family="","",Year5_Slough Year5_ReferralSource_Individual_Family)</f>
        <v>110</v>
      </c>
      <c r="AG21" s="607" t="str">
        <f>IF(Year5_Slough Year5_ReferralSource_Individual_Acquaintance="","",Year5_Slough Year5_ReferralSource_Individual_Acquaintance)</f>
        <v/>
      </c>
      <c r="AH21" s="607" t="str">
        <f>IF(Year5_Slough Year5_ReferralSource_Individual_Self="","",Year5_Slough Year5_ReferralSource_Individual_Self)</f>
        <v/>
      </c>
      <c r="AI21" s="607" t="str">
        <f>IF(Year5_Slough Year5_ReferralSource_Individual_Other="","",Year5_Slough Year5_ReferralSource_Individual_Other)</f>
        <v/>
      </c>
      <c r="AJ21" s="607">
        <f>IF(Year5_Slough Year5_ReferralSource_School="","",Year5_Slough Year5_ReferralSource_School)</f>
        <v>266</v>
      </c>
      <c r="AK21" s="607">
        <f>IF(Year5_Slough Year5_ReferralSource_EducationServices="","",Year5_Slough Year5_ReferralSource_EducationServices)</f>
        <v>12</v>
      </c>
      <c r="AL21" s="607">
        <f>IF(Year5_Slough Year5_ReferralSource_Health_services_GP="","",Year5_Slough Year5_ReferralSource_Health_services_GP)</f>
        <v>200</v>
      </c>
      <c r="AM21" s="607" t="str">
        <f>IF(Year5_Slough Year5_ReferralSource_Health_services_HealthVisitor="","",Year5_Slough Year5_ReferralSource_Health_services_HealthVisitor)</f>
        <v/>
      </c>
      <c r="AN21" s="607" t="str">
        <f>IF(Year5_Slough Year5_ReferralSource_Health_services_SchoolNurse="","",Year5_Slough Year5_ReferralSource_Health_services_SchoolNurse)</f>
        <v/>
      </c>
      <c r="AO21" s="607" t="str">
        <f>IF(Year5_Slough Year5_ReferralSource_Health_services_OthPrimary="","",Year5_Slough Year5_ReferralSource_Health_services_OthPrimary)</f>
        <v/>
      </c>
      <c r="AP21" s="607" t="str">
        <f>IF(Year5_Slough Year5_ReferralSource_Health_services_AE="","",Year5_Slough Year5_ReferralSource_Health_services_AE)</f>
        <v/>
      </c>
      <c r="AQ21" s="607" t="str">
        <f>IF(Year5_Slough Year5_ReferralSource_Health_services_Other="","",Year5_Slough Year5_ReferralSource_Health_services_Other)</f>
        <v/>
      </c>
      <c r="AR21" s="607" t="str">
        <f>IF(Year5_Slough Year5_ReferralSource_Housing="","",Year5_Slough Year5_ReferralSource_Housing)</f>
        <v>x</v>
      </c>
      <c r="AS21" s="607">
        <f>IF(Year5_Slough Year5_ReferralSource_LA_SC="","",Year5_Slough Year5_ReferralSource_LA_SC)</f>
        <v>368</v>
      </c>
      <c r="AT21" s="607" t="str">
        <f>IF(Year5_Slough Year5_ReferralSource_LA_Other="","",Year5_Slough Year5_ReferralSource_LA_Other)</f>
        <v/>
      </c>
      <c r="AU21" s="607" t="str">
        <f>IF(Year5_Slough Year5_ReferralSource_LA_External="","",Year5_Slough Year5_ReferralSource_LA_External)</f>
        <v/>
      </c>
      <c r="AV21" s="607">
        <f>IF(Year5_Slough Year5_ReferralSource_Police="","",Year5_Slough Year5_ReferralSource_Police)</f>
        <v>515</v>
      </c>
      <c r="AW21" s="607">
        <f>IF(Year5_Slough Year5_ReferralSource_Other_Legal="","",Year5_Slough Year5_ReferralSource_Other_Legal)</f>
        <v>45</v>
      </c>
      <c r="AX21" s="607">
        <f>IF(Year5_Slough Year5_ReferralSource_Other="","",Year5_Slough Year5_ReferralSource_Other)</f>
        <v>29</v>
      </c>
      <c r="AY21" s="607">
        <f>IF(Year5_Slough Year5_ReferralSource_Anonymous="","",Year5_Slough Year5_ReferralSource_Anonymous)</f>
        <v>43</v>
      </c>
      <c r="AZ21" s="608" t="str">
        <f>IF(Year5_Slough Year5_ReferralSource_Unknown="","",Year5_Slough Year5_ReferralSource_Unknown)</f>
        <v>x</v>
      </c>
      <c r="BA21" s="57">
        <f t="shared" si="6"/>
        <v>1588</v>
      </c>
      <c r="BB21" s="101">
        <f>IF(BA21&gt;0,Population!G20,0)</f>
        <v>42180</v>
      </c>
      <c r="BC21" s="164">
        <f t="shared" si="7"/>
        <v>376.48174490279752</v>
      </c>
    </row>
    <row r="22" spans="1:65" s="101" customFormat="1" ht="13.5" hidden="1" customHeight="1" x14ac:dyDescent="0.2">
      <c r="A22" s="533">
        <f>VLOOKUP(B22,Sheet1!$B$4:$C$25,2,FALSE)</f>
        <v>0</v>
      </c>
      <c r="B22" s="112" t="s">
        <v>93</v>
      </c>
      <c r="C22" s="97"/>
      <c r="D22" s="113">
        <f t="shared" si="8"/>
        <v>12.410454985479188</v>
      </c>
      <c r="E22" s="479"/>
      <c r="F22" s="479"/>
      <c r="G22" s="479"/>
      <c r="H22" s="113">
        <f t="shared" si="9"/>
        <v>12.952565343659245</v>
      </c>
      <c r="I22" s="113">
        <f t="shared" si="10"/>
        <v>1.2971926427879961</v>
      </c>
      <c r="J22" s="113">
        <f t="shared" si="11"/>
        <v>15.605033881897388</v>
      </c>
      <c r="K22" s="479"/>
      <c r="L22" s="479"/>
      <c r="M22" s="479"/>
      <c r="N22" s="479"/>
      <c r="O22" s="479"/>
      <c r="P22" s="113">
        <f t="shared" si="12"/>
        <v>0.54211035818005804</v>
      </c>
      <c r="Q22" s="113">
        <f t="shared" si="13"/>
        <v>10.939012584704743</v>
      </c>
      <c r="R22" s="479"/>
      <c r="S22" s="479"/>
      <c r="T22" s="113">
        <f t="shared" si="14"/>
        <v>31.965150048402712</v>
      </c>
      <c r="U22" s="113">
        <f t="shared" si="15"/>
        <v>3.4075508228460798</v>
      </c>
      <c r="V22" s="113">
        <f t="shared" si="16"/>
        <v>6.6408518877057121</v>
      </c>
      <c r="W22" s="113">
        <f t="shared" si="17"/>
        <v>4.0077444336882868</v>
      </c>
      <c r="X22" s="114">
        <f t="shared" si="18"/>
        <v>0.23233301064859629</v>
      </c>
      <c r="Y22" s="139"/>
      <c r="Z22" s="154"/>
      <c r="AA22" s="220"/>
      <c r="AB22" s="50" t="str">
        <f t="shared" si="3"/>
        <v>Somerset</v>
      </c>
      <c r="AC22" s="49">
        <v>14</v>
      </c>
      <c r="AD22" s="50" t="str">
        <f t="shared" si="4"/>
        <v>SomersetNumber</v>
      </c>
      <c r="AE22" s="51" t="b">
        <f t="shared" si="5"/>
        <v>0</v>
      </c>
      <c r="AF22" s="736">
        <f>IF(Year5_Somerset Year5_ReferralSource_Individual_Family="","",Year5_Somerset Year5_ReferralSource_Individual_Family)</f>
        <v>641</v>
      </c>
      <c r="AG22" s="619" t="str">
        <f>IF(Year5_Somerset Year5_ReferralSource_Individual_Acquaintance="","",Year5_Somerset Year5_ReferralSource_Individual_Acquaintance)</f>
        <v/>
      </c>
      <c r="AH22" s="619" t="str">
        <f>IF(Year5_Somerset Year5_ReferralSource_Individual_Self="","",Year5_Somerset Year5_ReferralSource_Individual_Self)</f>
        <v/>
      </c>
      <c r="AI22" s="619" t="str">
        <f>IF(Year5_Somerset Year5_ReferralSource_Individual_Other="","",Year5_Somerset Year5_ReferralSource_Individual_Other)</f>
        <v/>
      </c>
      <c r="AJ22" s="619">
        <f>IF(Year5_Somerset Year5_ReferralSource_School="","",Year5_Somerset Year5_ReferralSource_School)</f>
        <v>669</v>
      </c>
      <c r="AK22" s="619">
        <f>IF(Year5_Somerset Year5_ReferralSource_EducationServices="","",Year5_Somerset Year5_ReferralSource_EducationServices)</f>
        <v>67</v>
      </c>
      <c r="AL22" s="619">
        <f>IF(Year5_Somerset Year5_ReferralSource_Health_services_GP="","",Year5_Somerset Year5_ReferralSource_Health_services_GP)</f>
        <v>806</v>
      </c>
      <c r="AM22" s="619" t="str">
        <f>IF(Year5_Somerset Year5_ReferralSource_Health_services_HealthVisitor="","",Year5_Somerset Year5_ReferralSource_Health_services_HealthVisitor)</f>
        <v/>
      </c>
      <c r="AN22" s="619" t="str">
        <f>IF(Year5_Somerset Year5_ReferralSource_Health_services_SchoolNurse="","",Year5_Somerset Year5_ReferralSource_Health_services_SchoolNurse)</f>
        <v/>
      </c>
      <c r="AO22" s="619" t="str">
        <f>IF(Year5_Somerset Year5_ReferralSource_Health_services_OthPrimary="","",Year5_Somerset Year5_ReferralSource_Health_services_OthPrimary)</f>
        <v/>
      </c>
      <c r="AP22" s="619" t="str">
        <f>IF(Year5_Somerset Year5_ReferralSource_Health_services_AE="","",Year5_Somerset Year5_ReferralSource_Health_services_AE)</f>
        <v/>
      </c>
      <c r="AQ22" s="619" t="str">
        <f>IF(Year5_Somerset Year5_ReferralSource_Health_services_Other="","",Year5_Somerset Year5_ReferralSource_Health_services_Other)</f>
        <v/>
      </c>
      <c r="AR22" s="619">
        <f>IF(Year5_Somerset Year5_ReferralSource_Housing="","",Year5_Somerset Year5_ReferralSource_Housing)</f>
        <v>28</v>
      </c>
      <c r="AS22" s="619">
        <f>IF(Year5_Somerset Year5_ReferralSource_LA_SC="","",Year5_Somerset Year5_ReferralSource_LA_SC)</f>
        <v>565</v>
      </c>
      <c r="AT22" s="619" t="str">
        <f>IF(Year5_Somerset Year5_ReferralSource_LA_Other="","",Year5_Somerset Year5_ReferralSource_LA_Other)</f>
        <v/>
      </c>
      <c r="AU22" s="619" t="str">
        <f>IF(Year5_Somerset Year5_ReferralSource_LA_External="","",Year5_Somerset Year5_ReferralSource_LA_External)</f>
        <v/>
      </c>
      <c r="AV22" s="619">
        <f>IF(Year5_Somerset Year5_ReferralSource_Police="","",Year5_Somerset Year5_ReferralSource_Police)</f>
        <v>1651</v>
      </c>
      <c r="AW22" s="619">
        <f>IF(Year5_Somerset Year5_ReferralSource_Other_Legal="","",Year5_Somerset Year5_ReferralSource_Other_Legal)</f>
        <v>176</v>
      </c>
      <c r="AX22" s="619">
        <f>IF(Year5_Somerset Year5_ReferralSource_Other="","",Year5_Somerset Year5_ReferralSource_Other)</f>
        <v>343</v>
      </c>
      <c r="AY22" s="619">
        <f>IF(Year5_Somerset Year5_ReferralSource_Anonymous="","",Year5_Somerset Year5_ReferralSource_Anonymous)</f>
        <v>207</v>
      </c>
      <c r="AZ22" s="619">
        <f>IF(Year5_Somerset Year5_ReferralSource_Unknown="","",Year5_Somerset Year5_ReferralSource_Unknown)</f>
        <v>12</v>
      </c>
      <c r="BA22" s="57">
        <f t="shared" si="6"/>
        <v>5165</v>
      </c>
      <c r="BB22" s="101">
        <f>IF(BA22&gt;0,Population!G21,0)</f>
        <v>110084</v>
      </c>
      <c r="BC22" s="164">
        <f t="shared" si="7"/>
        <v>469.1871661640202</v>
      </c>
    </row>
    <row r="23" spans="1:65" s="101" customFormat="1" ht="13.5" hidden="1" customHeight="1" x14ac:dyDescent="0.2">
      <c r="A23" s="533">
        <f>VLOOKUP(B23,Sheet1!$B$4:$C$25,2,FALSE)</f>
        <v>0</v>
      </c>
      <c r="B23" s="112" t="s">
        <v>15</v>
      </c>
      <c r="C23" s="97"/>
      <c r="D23" s="113">
        <f t="shared" si="8"/>
        <v>3.788748564867968</v>
      </c>
      <c r="E23" s="113"/>
      <c r="F23" s="113"/>
      <c r="G23" s="113"/>
      <c r="H23" s="113">
        <f t="shared" si="9"/>
        <v>21.125143513203216</v>
      </c>
      <c r="I23" s="113">
        <f t="shared" si="10"/>
        <v>0.26789131266743205</v>
      </c>
      <c r="J23" s="113">
        <f t="shared" si="11"/>
        <v>13.088404133180253</v>
      </c>
      <c r="K23" s="113"/>
      <c r="L23" s="113"/>
      <c r="M23" s="113"/>
      <c r="N23" s="113"/>
      <c r="O23" s="113"/>
      <c r="P23" s="113">
        <f t="shared" si="12"/>
        <v>1.4159969383849982</v>
      </c>
      <c r="Q23" s="113">
        <f t="shared" si="13"/>
        <v>18.446230386528896</v>
      </c>
      <c r="R23" s="113"/>
      <c r="S23" s="113"/>
      <c r="T23" s="113">
        <f t="shared" si="14"/>
        <v>30.616150019135091</v>
      </c>
      <c r="U23" s="113">
        <f t="shared" si="15"/>
        <v>2.5641025641025639</v>
      </c>
      <c r="V23" s="113">
        <f t="shared" si="16"/>
        <v>6.0849598163030993</v>
      </c>
      <c r="W23" s="113">
        <f t="shared" si="17"/>
        <v>2.6023727516264827</v>
      </c>
      <c r="X23" s="114">
        <f t="shared" si="18"/>
        <v>0</v>
      </c>
      <c r="Y23" s="139"/>
      <c r="Z23" s="154"/>
      <c r="AA23" s="220"/>
      <c r="AB23" s="50" t="str">
        <f t="shared" si="3"/>
        <v>Southampton</v>
      </c>
      <c r="AC23" s="49">
        <v>15</v>
      </c>
      <c r="AD23" s="50" t="str">
        <f t="shared" si="4"/>
        <v>SouthamptonNumber</v>
      </c>
      <c r="AE23" s="51" t="b">
        <f t="shared" si="5"/>
        <v>0</v>
      </c>
      <c r="AF23" s="737">
        <f>IF(Year5_Southampton Year5_ReferralSource_Individual_Family="","",Year5_Southampton Year5_ReferralSource_Individual_Family)</f>
        <v>99</v>
      </c>
      <c r="AG23" s="628" t="str">
        <f>IF(Year5_Southampton Year5_ReferralSource_Individual_Acquaintance="","",Year5_Southampton Year5_ReferralSource_Individual_Acquaintance)</f>
        <v/>
      </c>
      <c r="AH23" s="628" t="str">
        <f>IF(Year5_Southampton Year5_ReferralSource_Individual_Self="","",Year5_Southampton Year5_ReferralSource_Individual_Self)</f>
        <v/>
      </c>
      <c r="AI23" s="628" t="str">
        <f>IF(Year5_Southampton Year5_ReferralSource_Individual_Other="","",Year5_Southampton Year5_ReferralSource_Individual_Other)</f>
        <v/>
      </c>
      <c r="AJ23" s="628">
        <f>IF(Year5_Southampton Year5_ReferralSource_School="","",Year5_Southampton Year5_ReferralSource_School)</f>
        <v>552</v>
      </c>
      <c r="AK23" s="627">
        <f>IF(Year5_Southampton Year5_ReferralSource_EducationServices="","",Year5_Southampton Year5_ReferralSource_EducationServices)</f>
        <v>7</v>
      </c>
      <c r="AL23" s="627">
        <f>IF(Year5_Southampton Year5_ReferralSource_Health_services_GP="","",Year5_Southampton Year5_ReferralSource_Health_services_GP)</f>
        <v>342</v>
      </c>
      <c r="AM23" s="628" t="str">
        <f>IF(Year5_Southampton Year5_ReferralSource_Health_services_HealthVisitor="","",Year5_Southampton Year5_ReferralSource_Health_services_HealthVisitor)</f>
        <v/>
      </c>
      <c r="AN23" s="628" t="str">
        <f>IF(Year5_Southampton Year5_ReferralSource_Health_services_SchoolNurse="","",Year5_Southampton Year5_ReferralSource_Health_services_SchoolNurse)</f>
        <v/>
      </c>
      <c r="AO23" s="628" t="str">
        <f>IF(Year5_Southampton Year5_ReferralSource_Health_services_OthPrimary="","",Year5_Southampton Year5_ReferralSource_Health_services_OthPrimary)</f>
        <v/>
      </c>
      <c r="AP23" s="628" t="str">
        <f>IF(Year5_Southampton Year5_ReferralSource_Health_services_AE="","",Year5_Southampton Year5_ReferralSource_Health_services_AE)</f>
        <v/>
      </c>
      <c r="AQ23" s="628" t="str">
        <f>IF(Year5_Southampton Year5_ReferralSource_Health_services_Other="","",Year5_Southampton Year5_ReferralSource_Health_services_Other)</f>
        <v/>
      </c>
      <c r="AR23" s="627">
        <f>IF(Year5_Southampton Year5_ReferralSource_Housing="","",Year5_Southampton Year5_ReferralSource_Housing)</f>
        <v>37</v>
      </c>
      <c r="AS23" s="627">
        <f>IF(Year5_Southampton Year5_ReferralSource_LA_SC="","",Year5_Southampton Year5_ReferralSource_LA_SC)</f>
        <v>482</v>
      </c>
      <c r="AT23" s="628" t="str">
        <f>IF(Year5_Southampton Year5_ReferralSource_LA_Other="","",Year5_Southampton Year5_ReferralSource_LA_Other)</f>
        <v/>
      </c>
      <c r="AU23" s="628" t="str">
        <f>IF(Year5_Southampton Year5_ReferralSource_LA_External="","",Year5_Southampton Year5_ReferralSource_LA_External)</f>
        <v/>
      </c>
      <c r="AV23" s="627">
        <f>IF(Year5_Southampton Year5_ReferralSource_Police="","",Year5_Southampton Year5_ReferralSource_Police)</f>
        <v>800</v>
      </c>
      <c r="AW23" s="627">
        <f>IF(Year5_Southampton Year5_ReferralSource_Other_Legal="","",Year5_Southampton Year5_ReferralSource_Other_Legal)</f>
        <v>67</v>
      </c>
      <c r="AX23" s="627">
        <f>IF(Year5_Southampton Year5_ReferralSource_Other="","",Year5_Southampton Year5_ReferralSource_Other)</f>
        <v>159</v>
      </c>
      <c r="AY23" s="627">
        <f>IF(Year5_Southampton Year5_ReferralSource_Anonymous="","",Year5_Southampton Year5_ReferralSource_Anonymous)</f>
        <v>68</v>
      </c>
      <c r="AZ23" s="627">
        <f>IF(Year5_Southampton Year5_ReferralSource_Unknown="","",Year5_Southampton Year5_ReferralSource_Unknown)</f>
        <v>0</v>
      </c>
      <c r="BA23" s="57">
        <f t="shared" si="6"/>
        <v>2613</v>
      </c>
      <c r="BB23" s="101">
        <f>IF(BA23&gt;0,Population!G22,0)</f>
        <v>50305</v>
      </c>
      <c r="BC23" s="164">
        <f t="shared" si="7"/>
        <v>519.43146804492596</v>
      </c>
    </row>
    <row r="24" spans="1:65" s="101" customFormat="1" ht="13.5" hidden="1" customHeight="1" x14ac:dyDescent="0.2">
      <c r="A24" s="533">
        <f>VLOOKUP(B24,Sheet1!$B$4:$C$25,2,FALSE)</f>
        <v>0</v>
      </c>
      <c r="B24" s="112" t="s">
        <v>7</v>
      </c>
      <c r="C24" s="97"/>
      <c r="D24" s="113">
        <f t="shared" si="8"/>
        <v>4.7996477322765303</v>
      </c>
      <c r="E24" s="113"/>
      <c r="F24" s="113"/>
      <c r="G24" s="113"/>
      <c r="H24" s="113">
        <f t="shared" si="9"/>
        <v>19.462791721708498</v>
      </c>
      <c r="I24" s="113">
        <f t="shared" si="10"/>
        <v>0.77792455599589017</v>
      </c>
      <c r="J24" s="113">
        <f t="shared" si="11"/>
        <v>13.048583590195214</v>
      </c>
      <c r="K24" s="113"/>
      <c r="L24" s="113"/>
      <c r="M24" s="113"/>
      <c r="N24" s="113"/>
      <c r="O24" s="113"/>
      <c r="P24" s="113">
        <f t="shared" si="12"/>
        <v>0.92470277410832236</v>
      </c>
      <c r="Q24" s="113">
        <f t="shared" si="13"/>
        <v>12.813738441215325</v>
      </c>
      <c r="R24" s="113"/>
      <c r="S24" s="113"/>
      <c r="T24" s="113">
        <f t="shared" si="14"/>
        <v>38.154997798326725</v>
      </c>
      <c r="U24" s="113">
        <f t="shared" si="15"/>
        <v>2.6933803023631295</v>
      </c>
      <c r="V24" s="113">
        <f t="shared" si="16"/>
        <v>5.8931454572141497</v>
      </c>
      <c r="W24" s="113">
        <f t="shared" si="17"/>
        <v>1.4310876265962131</v>
      </c>
      <c r="X24" s="114">
        <f t="shared" si="18"/>
        <v>0</v>
      </c>
      <c r="Y24" s="139"/>
      <c r="Z24" s="154"/>
      <c r="AA24" s="220"/>
      <c r="AB24" s="50" t="str">
        <f t="shared" si="3"/>
        <v>Surrey</v>
      </c>
      <c r="AC24" s="49">
        <v>16</v>
      </c>
      <c r="AD24" s="50" t="str">
        <f t="shared" si="4"/>
        <v>SurreyNumber</v>
      </c>
      <c r="AE24" s="51" t="b">
        <f t="shared" si="5"/>
        <v>0</v>
      </c>
      <c r="AF24" s="606">
        <f>IF(Year5_Surrey Year5_ReferralSource_Individual_Family="","",Year5_Surrey Year5_ReferralSource_Individual_Family)</f>
        <v>654</v>
      </c>
      <c r="AG24" s="607" t="str">
        <f>IF(Year5_Surrey Year5_ReferralSource_Individual_Acquaintance="","",Year5_Surrey Year5_ReferralSource_Individual_Acquaintance)</f>
        <v/>
      </c>
      <c r="AH24" s="607" t="str">
        <f>IF(Year5_Surrey Year5_ReferralSource_Individual_Self="","",Year5_Surrey Year5_ReferralSource_Individual_Self)</f>
        <v/>
      </c>
      <c r="AI24" s="607" t="str">
        <f>IF(Year5_Surrey Year5_ReferralSource_Individual_Other="","",Year5_Surrey Year5_ReferralSource_Individual_Other)</f>
        <v/>
      </c>
      <c r="AJ24" s="607">
        <f>IF(Year5_Surrey Year5_ReferralSource_School="","",Year5_Surrey Year5_ReferralSource_School)</f>
        <v>2652</v>
      </c>
      <c r="AK24" s="607">
        <f>IF(Year5_Surrey Year5_ReferralSource_EducationServices="","",Year5_Surrey Year5_ReferralSource_EducationServices)</f>
        <v>106</v>
      </c>
      <c r="AL24" s="607">
        <f>IF(Year5_Surrey Year5_ReferralSource_Health_services_GP="","",Year5_Surrey Year5_ReferralSource_Health_services_GP)</f>
        <v>1778</v>
      </c>
      <c r="AM24" s="607" t="str">
        <f>IF(Year5_Surrey Year5_ReferralSource_Health_services_HealthVisitor="","",Year5_Surrey Year5_ReferralSource_Health_services_HealthVisitor)</f>
        <v/>
      </c>
      <c r="AN24" s="607" t="str">
        <f>IF(Year5_Surrey Year5_ReferralSource_Health_services_SchoolNurse="","",Year5_Surrey Year5_ReferralSource_Health_services_SchoolNurse)</f>
        <v/>
      </c>
      <c r="AO24" s="607" t="str">
        <f>IF(Year5_Surrey Year5_ReferralSource_Health_services_OthPrimary="","",Year5_Surrey Year5_ReferralSource_Health_services_OthPrimary)</f>
        <v/>
      </c>
      <c r="AP24" s="607" t="str">
        <f>IF(Year5_Surrey Year5_ReferralSource_Health_services_AE="","",Year5_Surrey Year5_ReferralSource_Health_services_AE)</f>
        <v/>
      </c>
      <c r="AQ24" s="607" t="str">
        <f>IF(Year5_Surrey Year5_ReferralSource_Health_services_Other="","",Year5_Surrey Year5_ReferralSource_Health_services_Other)</f>
        <v/>
      </c>
      <c r="AR24" s="607">
        <f>IF(Year5_Surrey Year5_ReferralSource_Housing="","",Year5_Surrey Year5_ReferralSource_Housing)</f>
        <v>126</v>
      </c>
      <c r="AS24" s="607">
        <f>IF(Year5_Surrey Year5_ReferralSource_LA_SC="","",Year5_Surrey Year5_ReferralSource_LA_SC)</f>
        <v>1746</v>
      </c>
      <c r="AT24" s="607" t="str">
        <f>IF(Year5_Surrey Year5_ReferralSource_LA_Other="","",Year5_Surrey Year5_ReferralSource_LA_Other)</f>
        <v/>
      </c>
      <c r="AU24" s="607" t="str">
        <f>IF(Year5_Surrey Year5_ReferralSource_LA_External="","",Year5_Surrey Year5_ReferralSource_LA_External)</f>
        <v/>
      </c>
      <c r="AV24" s="607">
        <f>IF(Year5_Surrey Year5_ReferralSource_Police="","",Year5_Surrey Year5_ReferralSource_Police)</f>
        <v>5199</v>
      </c>
      <c r="AW24" s="607">
        <f>IF(Year5_Surrey Year5_ReferralSource_Other_Legal="","",Year5_Surrey Year5_ReferralSource_Other_Legal)</f>
        <v>367</v>
      </c>
      <c r="AX24" s="607">
        <f>IF(Year5_Surrey Year5_ReferralSource_Other="","",Year5_Surrey Year5_ReferralSource_Other)</f>
        <v>803</v>
      </c>
      <c r="AY24" s="607">
        <f>IF(Year5_Surrey Year5_ReferralSource_Anonymous="","",Year5_Surrey Year5_ReferralSource_Anonymous)</f>
        <v>195</v>
      </c>
      <c r="AZ24" s="608">
        <f>IF(Year5_Surrey Year5_ReferralSource_Unknown="","",Year5_Surrey Year5_ReferralSource_Unknown)</f>
        <v>0</v>
      </c>
      <c r="BA24" s="57">
        <f t="shared" si="6"/>
        <v>13626</v>
      </c>
      <c r="BB24" s="101">
        <f>IF(BA24&gt;0,Population!G23,0)</f>
        <v>260305</v>
      </c>
      <c r="BC24" s="164">
        <f t="shared" si="7"/>
        <v>523.46286087474311</v>
      </c>
    </row>
    <row r="25" spans="1:65" s="101" customFormat="1" ht="13.5" hidden="1" customHeight="1" x14ac:dyDescent="0.2">
      <c r="A25" s="533">
        <f>VLOOKUP(B25,Sheet1!$B$4:$C$25,2,FALSE)</f>
        <v>0</v>
      </c>
      <c r="B25" s="112" t="s">
        <v>116</v>
      </c>
      <c r="C25" s="97"/>
      <c r="D25" s="113">
        <f t="shared" si="8"/>
        <v>8.7951475048249232</v>
      </c>
      <c r="E25" s="479"/>
      <c r="F25" s="479"/>
      <c r="G25" s="479"/>
      <c r="H25" s="113">
        <f t="shared" si="9"/>
        <v>19.961400606561895</v>
      </c>
      <c r="I25" s="113">
        <f t="shared" si="10"/>
        <v>0.16542597187758479</v>
      </c>
      <c r="J25" s="113">
        <f t="shared" si="11"/>
        <v>12.682657843948167</v>
      </c>
      <c r="K25" s="479"/>
      <c r="L25" s="479"/>
      <c r="M25" s="479"/>
      <c r="N25" s="479"/>
      <c r="O25" s="479"/>
      <c r="P25" s="113">
        <f t="shared" si="12"/>
        <v>1.2682657843948166</v>
      </c>
      <c r="Q25" s="113">
        <f t="shared" si="13"/>
        <v>6.8927488282326994</v>
      </c>
      <c r="R25" s="479"/>
      <c r="S25" s="479"/>
      <c r="T25" s="113">
        <f t="shared" si="14"/>
        <v>35.318444995864354</v>
      </c>
      <c r="U25" s="113">
        <f t="shared" si="15"/>
        <v>2.315963606286187</v>
      </c>
      <c r="V25" s="113">
        <f t="shared" si="16"/>
        <v>5.7899090157154669</v>
      </c>
      <c r="W25" s="113">
        <f t="shared" si="17"/>
        <v>3.9702233250620349</v>
      </c>
      <c r="X25" s="114">
        <f t="shared" si="18"/>
        <v>2.8398125172318722</v>
      </c>
      <c r="Y25" s="139"/>
      <c r="Z25" s="154"/>
      <c r="AA25" s="220"/>
      <c r="AB25" s="50" t="str">
        <f t="shared" si="3"/>
        <v>Swindon</v>
      </c>
      <c r="AC25" s="49">
        <v>17</v>
      </c>
      <c r="AD25" s="50" t="str">
        <f t="shared" si="4"/>
        <v>SwindonNumber</v>
      </c>
      <c r="AE25" s="51" t="b">
        <f t="shared" si="5"/>
        <v>0</v>
      </c>
      <c r="AF25" s="735">
        <f>IF(Year5_Swindon Year5_ReferralSource_Individual_Family="","",Year5_Swindon Year5_ReferralSource_Individual_Family)</f>
        <v>319</v>
      </c>
      <c r="AG25" s="626" t="str">
        <f>IF(Year5_Swindon Year5_ReferralSource_Individual_Acquaintance="","",Year5_Swindon Year5_ReferralSource_Individual_Acquaintance)</f>
        <v/>
      </c>
      <c r="AH25" s="626" t="str">
        <f>IF(Year5_Swindon Year5_ReferralSource_Individual_Self="","",Year5_Swindon Year5_ReferralSource_Individual_Self)</f>
        <v/>
      </c>
      <c r="AI25" s="626" t="str">
        <f>IF(Year5_Swindon Year5_ReferralSource_Individual_Other="","",Year5_Swindon Year5_ReferralSource_Individual_Other)</f>
        <v/>
      </c>
      <c r="AJ25" s="626">
        <f>IF(Year5_Swindon Year5_ReferralSource_School="","",Year5_Swindon Year5_ReferralSource_School)</f>
        <v>724</v>
      </c>
      <c r="AK25" s="626">
        <f>IF(Year5_Swindon Year5_ReferralSource_EducationServices="","",Year5_Swindon Year5_ReferralSource_EducationServices)</f>
        <v>6</v>
      </c>
      <c r="AL25" s="626">
        <f>IF(Year5_Swindon Year5_ReferralSource_Health_services_GP="","",Year5_Swindon Year5_ReferralSource_Health_services_GP)</f>
        <v>460</v>
      </c>
      <c r="AM25" s="626" t="str">
        <f>IF(Year5_Swindon Year5_ReferralSource_Health_services_HealthVisitor="","",Year5_Swindon Year5_ReferralSource_Health_services_HealthVisitor)</f>
        <v/>
      </c>
      <c r="AN25" s="626" t="str">
        <f>IF(Year5_Swindon Year5_ReferralSource_Health_services_SchoolNurse="","",Year5_Swindon Year5_ReferralSource_Health_services_SchoolNurse)</f>
        <v/>
      </c>
      <c r="AO25" s="626" t="str">
        <f>IF(Year5_Swindon Year5_ReferralSource_Health_services_OthPrimary="","",Year5_Swindon Year5_ReferralSource_Health_services_OthPrimary)</f>
        <v/>
      </c>
      <c r="AP25" s="626" t="str">
        <f>IF(Year5_Swindon Year5_ReferralSource_Health_services_AE="","",Year5_Swindon Year5_ReferralSource_Health_services_AE)</f>
        <v/>
      </c>
      <c r="AQ25" s="626" t="str">
        <f>IF(Year5_Swindon Year5_ReferralSource_Health_services_Other="","",Year5_Swindon Year5_ReferralSource_Health_services_Other)</f>
        <v/>
      </c>
      <c r="AR25" s="626">
        <f>IF(Year5_Swindon Year5_ReferralSource_Housing="","",Year5_Swindon Year5_ReferralSource_Housing)</f>
        <v>46</v>
      </c>
      <c r="AS25" s="626">
        <f>IF(Year5_Swindon Year5_ReferralSource_LA_SC="","",Year5_Swindon Year5_ReferralSource_LA_SC)</f>
        <v>250</v>
      </c>
      <c r="AT25" s="626" t="str">
        <f>IF(Year5_Swindon Year5_ReferralSource_LA_Other="","",Year5_Swindon Year5_ReferralSource_LA_Other)</f>
        <v/>
      </c>
      <c r="AU25" s="626" t="str">
        <f>IF(Year5_Swindon Year5_ReferralSource_LA_External="","",Year5_Swindon Year5_ReferralSource_LA_External)</f>
        <v/>
      </c>
      <c r="AV25" s="626">
        <f>IF(Year5_Swindon Year5_ReferralSource_Police="","",Year5_Swindon Year5_ReferralSource_Police)</f>
        <v>1281</v>
      </c>
      <c r="AW25" s="626">
        <f>IF(Year5_Swindon Year5_ReferralSource_Other_Legal="","",Year5_Swindon Year5_ReferralSource_Other_Legal)</f>
        <v>84</v>
      </c>
      <c r="AX25" s="626">
        <f>IF(Year5_Swindon Year5_ReferralSource_Other="","",Year5_Swindon Year5_ReferralSource_Other)</f>
        <v>210</v>
      </c>
      <c r="AY25" s="626">
        <f>IF(Year5_Swindon Year5_ReferralSource_Anonymous="","",Year5_Swindon Year5_ReferralSource_Anonymous)</f>
        <v>144</v>
      </c>
      <c r="AZ25" s="626">
        <f>IF(Year5_Swindon Year5_ReferralSource_Unknown="","",Year5_Swindon Year5_ReferralSource_Unknown)</f>
        <v>103</v>
      </c>
      <c r="BA25" s="57">
        <f t="shared" si="6"/>
        <v>3627</v>
      </c>
      <c r="BB25" s="101">
        <f>IF(BA25&gt;0,Population!G24,0)</f>
        <v>49924</v>
      </c>
      <c r="BC25" s="164">
        <f t="shared" si="7"/>
        <v>726.50428651550362</v>
      </c>
    </row>
    <row r="26" spans="1:65" s="101" customFormat="1" ht="13.5" hidden="1" customHeight="1" x14ac:dyDescent="0.2">
      <c r="A26" s="533">
        <f>VLOOKUP(B26,Sheet1!$B$4:$C$25,2,FALSE)</f>
        <v>0</v>
      </c>
      <c r="B26" s="112" t="s">
        <v>117</v>
      </c>
      <c r="C26" s="97"/>
      <c r="D26" s="113">
        <f t="shared" si="8"/>
        <v>7.81163434903047</v>
      </c>
      <c r="E26" s="479"/>
      <c r="F26" s="479"/>
      <c r="G26" s="479"/>
      <c r="H26" s="113">
        <f t="shared" si="9"/>
        <v>21.16343490304709</v>
      </c>
      <c r="I26" s="113">
        <f t="shared" si="10"/>
        <v>0</v>
      </c>
      <c r="J26" s="113">
        <f t="shared" si="11"/>
        <v>14.459833795013852</v>
      </c>
      <c r="K26" s="479"/>
      <c r="L26" s="479"/>
      <c r="M26" s="479"/>
      <c r="N26" s="479"/>
      <c r="O26" s="479"/>
      <c r="P26" s="113">
        <f t="shared" si="12"/>
        <v>0.49861495844875342</v>
      </c>
      <c r="Q26" s="113">
        <f t="shared" si="13"/>
        <v>15.401662049861494</v>
      </c>
      <c r="R26" s="479"/>
      <c r="S26" s="479"/>
      <c r="T26" s="113">
        <f t="shared" si="14"/>
        <v>24.099722991689752</v>
      </c>
      <c r="U26" s="113">
        <f t="shared" si="15"/>
        <v>1.2742382271468145</v>
      </c>
      <c r="V26" s="113">
        <f t="shared" si="16"/>
        <v>8.6426592797783925</v>
      </c>
      <c r="W26" s="113">
        <f t="shared" si="17"/>
        <v>3.3795013850415514</v>
      </c>
      <c r="X26" s="114">
        <f t="shared" si="18"/>
        <v>3.2686980609418286</v>
      </c>
      <c r="Y26" s="139"/>
      <c r="Z26" s="154"/>
      <c r="AA26" s="220"/>
      <c r="AB26" s="50" t="str">
        <f t="shared" si="3"/>
        <v>Torbay</v>
      </c>
      <c r="AC26" s="49">
        <v>18</v>
      </c>
      <c r="AD26" s="50" t="str">
        <f t="shared" si="4"/>
        <v>TorbayNumber</v>
      </c>
      <c r="AE26" s="51" t="b">
        <f t="shared" si="5"/>
        <v>0</v>
      </c>
      <c r="AF26" s="735">
        <f>IF(Year5_Torbay Year5_ReferralSource_Individual_Family="","",Year5_Torbay Year5_ReferralSource_Individual_Family)</f>
        <v>141</v>
      </c>
      <c r="AG26" s="626" t="str">
        <f>IF(Year5_Torbay Year5_ReferralSource_Individual_Acquaintance="","",Year5_Torbay Year5_ReferralSource_Individual_Acquaintance)</f>
        <v/>
      </c>
      <c r="AH26" s="626" t="str">
        <f>IF(Year5_Torbay Year5_ReferralSource_Individual_Self="","",Year5_Torbay Year5_ReferralSource_Individual_Self)</f>
        <v/>
      </c>
      <c r="AI26" s="626" t="str">
        <f>IF(Year5_Torbay Year5_ReferralSource_Individual_Other="","",Year5_Torbay Year5_ReferralSource_Individual_Other)</f>
        <v/>
      </c>
      <c r="AJ26" s="626">
        <f>IF(Year5_Torbay Year5_ReferralSource_School="","",Year5_Torbay Year5_ReferralSource_School)</f>
        <v>382</v>
      </c>
      <c r="AK26" s="626">
        <f>IF(Year5_Torbay Year5_ReferralSource_EducationServices="","",Year5_Torbay Year5_ReferralSource_EducationServices)</f>
        <v>0</v>
      </c>
      <c r="AL26" s="626">
        <f>IF(Year5_Torbay Year5_ReferralSource_Health_services_GP="","",Year5_Torbay Year5_ReferralSource_Health_services_GP)</f>
        <v>261</v>
      </c>
      <c r="AM26" s="626" t="str">
        <f>IF(Year5_Torbay Year5_ReferralSource_Health_services_HealthVisitor="","",Year5_Torbay Year5_ReferralSource_Health_services_HealthVisitor)</f>
        <v/>
      </c>
      <c r="AN26" s="626" t="str">
        <f>IF(Year5_Torbay Year5_ReferralSource_Health_services_SchoolNurse="","",Year5_Torbay Year5_ReferralSource_Health_services_SchoolNurse)</f>
        <v/>
      </c>
      <c r="AO26" s="626" t="str">
        <f>IF(Year5_Torbay Year5_ReferralSource_Health_services_OthPrimary="","",Year5_Torbay Year5_ReferralSource_Health_services_OthPrimary)</f>
        <v/>
      </c>
      <c r="AP26" s="626" t="str">
        <f>IF(Year5_Torbay Year5_ReferralSource_Health_services_AE="","",Year5_Torbay Year5_ReferralSource_Health_services_AE)</f>
        <v/>
      </c>
      <c r="AQ26" s="626" t="str">
        <f>IF(Year5_Torbay Year5_ReferralSource_Health_services_Other="","",Year5_Torbay Year5_ReferralSource_Health_services_Other)</f>
        <v/>
      </c>
      <c r="AR26" s="626">
        <f>IF(Year5_Torbay Year5_ReferralSource_Housing="","",Year5_Torbay Year5_ReferralSource_Housing)</f>
        <v>9</v>
      </c>
      <c r="AS26" s="626">
        <f>IF(Year5_Torbay Year5_ReferralSource_LA_SC="","",Year5_Torbay Year5_ReferralSource_LA_SC)</f>
        <v>278</v>
      </c>
      <c r="AT26" s="626" t="str">
        <f>IF(Year5_Torbay Year5_ReferralSource_LA_Other="","",Year5_Torbay Year5_ReferralSource_LA_Other)</f>
        <v/>
      </c>
      <c r="AU26" s="626" t="str">
        <f>IF(Year5_Torbay Year5_ReferralSource_LA_External="","",Year5_Torbay Year5_ReferralSource_LA_External)</f>
        <v/>
      </c>
      <c r="AV26" s="626">
        <f>IF(Year5_Torbay Year5_ReferralSource_Police="","",Year5_Torbay Year5_ReferralSource_Police)</f>
        <v>435</v>
      </c>
      <c r="AW26" s="626">
        <f>IF(Year5_Torbay Year5_ReferralSource_Other_Legal="","",Year5_Torbay Year5_ReferralSource_Other_Legal)</f>
        <v>23</v>
      </c>
      <c r="AX26" s="626">
        <f>IF(Year5_Torbay Year5_ReferralSource_Other="","",Year5_Torbay Year5_ReferralSource_Other)</f>
        <v>156</v>
      </c>
      <c r="AY26" s="626">
        <f>IF(Year5_Torbay Year5_ReferralSource_Anonymous="","",Year5_Torbay Year5_ReferralSource_Anonymous)</f>
        <v>61</v>
      </c>
      <c r="AZ26" s="626">
        <f>IF(Year5_Torbay Year5_ReferralSource_Unknown="","",Year5_Torbay Year5_ReferralSource_Unknown)</f>
        <v>59</v>
      </c>
      <c r="BA26" s="57">
        <f t="shared" si="6"/>
        <v>1805</v>
      </c>
      <c r="BB26" s="101">
        <f>IF(BA26&gt;0,Population!G25,0)</f>
        <v>25417</v>
      </c>
      <c r="BC26" s="164">
        <f t="shared" si="7"/>
        <v>710.15462092300436</v>
      </c>
    </row>
    <row r="27" spans="1:65" s="101" customFormat="1" ht="13.5" hidden="1" customHeight="1" x14ac:dyDescent="0.2">
      <c r="A27" s="533">
        <f>VLOOKUP(B27,Sheet1!$B$4:$C$25,2,FALSE)</f>
        <v>0</v>
      </c>
      <c r="B27" s="112" t="s">
        <v>16</v>
      </c>
      <c r="C27" s="97"/>
      <c r="D27" s="113">
        <f t="shared" si="8"/>
        <v>9.3163538873994653</v>
      </c>
      <c r="E27" s="113"/>
      <c r="F27" s="113"/>
      <c r="G27" s="113"/>
      <c r="H27" s="113">
        <f t="shared" si="9"/>
        <v>19.839142091152816</v>
      </c>
      <c r="I27" s="113">
        <f t="shared" si="10"/>
        <v>2.2117962466487935</v>
      </c>
      <c r="J27" s="113">
        <f t="shared" si="11"/>
        <v>12.533512064343164</v>
      </c>
      <c r="K27" s="113"/>
      <c r="L27" s="113"/>
      <c r="M27" s="113"/>
      <c r="N27" s="113"/>
      <c r="O27" s="113"/>
      <c r="P27" s="113">
        <f t="shared" si="12"/>
        <v>1.8766756032171581</v>
      </c>
      <c r="Q27" s="113">
        <f t="shared" si="13"/>
        <v>17.024128686327078</v>
      </c>
      <c r="R27" s="113"/>
      <c r="S27" s="113"/>
      <c r="T27" s="113">
        <f t="shared" si="14"/>
        <v>32.037533512064343</v>
      </c>
      <c r="U27" s="113" t="e">
        <f t="shared" si="15"/>
        <v>#N/A</v>
      </c>
      <c r="V27" s="113">
        <f t="shared" si="16"/>
        <v>3.5522788203753355</v>
      </c>
      <c r="W27" s="113">
        <f t="shared" si="17"/>
        <v>1.6085790884718498</v>
      </c>
      <c r="X27" s="114" t="e">
        <f t="shared" si="18"/>
        <v>#N/A</v>
      </c>
      <c r="Y27" s="139"/>
      <c r="Z27" s="154"/>
      <c r="AA27" s="220"/>
      <c r="AB27" s="50" t="str">
        <f t="shared" si="3"/>
        <v>West Berkshire</v>
      </c>
      <c r="AC27" s="49">
        <v>19</v>
      </c>
      <c r="AD27" s="50" t="str">
        <f t="shared" si="4"/>
        <v>West BerkshireNumber</v>
      </c>
      <c r="AE27" s="51" t="b">
        <f t="shared" si="5"/>
        <v>0</v>
      </c>
      <c r="AF27" s="735">
        <f>IF(Year5_West_Berkshire Year5_ReferralSource_Individual_Family="","",Year5_West_Berkshire Year5_ReferralSource_Individual_Family)</f>
        <v>139</v>
      </c>
      <c r="AG27" s="626" t="str">
        <f>IF(Year5_West_Berkshire Year5_ReferralSource_Individual_Acquaintance="","",Year5_West_Berkshire Year5_ReferralSource_Individual_Acquaintance)</f>
        <v/>
      </c>
      <c r="AH27" s="626" t="str">
        <f>IF(Year5_West_Berkshire Year5_ReferralSource_Individual_Self="","",Year5_West_Berkshire Year5_ReferralSource_Individual_Self)</f>
        <v/>
      </c>
      <c r="AI27" s="626" t="str">
        <f>IF(Year5_West_Berkshire Year5_ReferralSource_Individual_Other="","",Year5_West_Berkshire Year5_ReferralSource_Individual_Other)</f>
        <v/>
      </c>
      <c r="AJ27" s="626">
        <f>IF(Year5_West_Berkshire Year5_ReferralSource_School="","",Year5_West_Berkshire Year5_ReferralSource_School)</f>
        <v>296</v>
      </c>
      <c r="AK27" s="626">
        <f>IF(Year5_West_Berkshire Year5_ReferralSource_EducationServices="","",Year5_West_Berkshire Year5_ReferralSource_EducationServices)</f>
        <v>33</v>
      </c>
      <c r="AL27" s="626">
        <f>IF(Year5_West_Berkshire Year5_ReferralSource_Health_services_GP="","",Year5_West_Berkshire Year5_ReferralSource_Health_services_GP)</f>
        <v>187</v>
      </c>
      <c r="AM27" s="626" t="str">
        <f>IF(Year5_West_Berkshire Year5_ReferralSource_Health_services_HealthVisitor="","",Year5_West_Berkshire Year5_ReferralSource_Health_services_HealthVisitor)</f>
        <v/>
      </c>
      <c r="AN27" s="626" t="str">
        <f>IF(Year5_West_Berkshire Year5_ReferralSource_Health_services_SchoolNurse="","",Year5_West_Berkshire Year5_ReferralSource_Health_services_SchoolNurse)</f>
        <v/>
      </c>
      <c r="AO27" s="626" t="str">
        <f>IF(Year5_West_Berkshire Year5_ReferralSource_Health_services_OthPrimary="","",Year5_West_Berkshire Year5_ReferralSource_Health_services_OthPrimary)</f>
        <v/>
      </c>
      <c r="AP27" s="626" t="str">
        <f>IF(Year5_West_Berkshire Year5_ReferralSource_Health_services_AE="","",Year5_West_Berkshire Year5_ReferralSource_Health_services_AE)</f>
        <v/>
      </c>
      <c r="AQ27" s="626" t="str">
        <f>IF(Year5_West_Berkshire Year5_ReferralSource_Health_services_Other="","",Year5_West_Berkshire Year5_ReferralSource_Health_services_Other)</f>
        <v/>
      </c>
      <c r="AR27" s="626">
        <f>IF(Year5_West_Berkshire Year5_ReferralSource_Housing="","",Year5_West_Berkshire Year5_ReferralSource_Housing)</f>
        <v>28</v>
      </c>
      <c r="AS27" s="626">
        <f>IF(Year5_West_Berkshire Year5_ReferralSource_LA_SC="","",Year5_West_Berkshire Year5_ReferralSource_LA_SC)</f>
        <v>254</v>
      </c>
      <c r="AT27" s="626" t="str">
        <f>IF(Year5_West_Berkshire Year5_ReferralSource_LA_Other="","",Year5_West_Berkshire Year5_ReferralSource_LA_Other)</f>
        <v/>
      </c>
      <c r="AU27" s="626" t="str">
        <f>IF(Year5_West_Berkshire Year5_ReferralSource_LA_External="","",Year5_West_Berkshire Year5_ReferralSource_LA_External)</f>
        <v/>
      </c>
      <c r="AV27" s="626">
        <f>IF(Year5_West_Berkshire Year5_ReferralSource_Police="","",Year5_West_Berkshire Year5_ReferralSource_Police)</f>
        <v>478</v>
      </c>
      <c r="AW27" s="626" t="str">
        <f>IF(Year5_West_Berkshire Year5_ReferralSource_Other_Legal="","",Year5_West_Berkshire Year5_ReferralSource_Other_Legal)</f>
        <v>x</v>
      </c>
      <c r="AX27" s="626">
        <f>IF(Year5_West_Berkshire Year5_ReferralSource_Other="","",Year5_West_Berkshire Year5_ReferralSource_Other)</f>
        <v>53</v>
      </c>
      <c r="AY27" s="626">
        <f>IF(Year5_West_Berkshire Year5_ReferralSource_Anonymous="","",Year5_West_Berkshire Year5_ReferralSource_Anonymous)</f>
        <v>24</v>
      </c>
      <c r="AZ27" s="626" t="str">
        <f>IF(Year5_West_Berkshire Year5_ReferralSource_Unknown="","",Year5_West_Berkshire Year5_ReferralSource_Unknown)</f>
        <v>x</v>
      </c>
      <c r="BA27" s="57">
        <f t="shared" si="6"/>
        <v>1492</v>
      </c>
      <c r="BB27" s="101">
        <f>IF(BA27&gt;0,Population!G26,0)</f>
        <v>35790</v>
      </c>
      <c r="BC27" s="164">
        <f t="shared" si="7"/>
        <v>416.87622240849396</v>
      </c>
    </row>
    <row r="28" spans="1:65" s="101" customFormat="1" ht="13.5" hidden="1" customHeight="1" x14ac:dyDescent="0.2">
      <c r="A28" s="533">
        <f>VLOOKUP(B28,Sheet1!$B$4:$C$25,2,FALSE)</f>
        <v>0</v>
      </c>
      <c r="B28" s="112" t="s">
        <v>5</v>
      </c>
      <c r="C28" s="97"/>
      <c r="D28" s="113">
        <f t="shared" si="8"/>
        <v>9.1945972986493256</v>
      </c>
      <c r="E28" s="113"/>
      <c r="F28" s="113"/>
      <c r="G28" s="113"/>
      <c r="H28" s="113">
        <f t="shared" si="9"/>
        <v>18.779389694847424</v>
      </c>
      <c r="I28" s="113">
        <f t="shared" si="10"/>
        <v>0</v>
      </c>
      <c r="J28" s="113">
        <f t="shared" si="11"/>
        <v>10.835417708854427</v>
      </c>
      <c r="K28" s="113"/>
      <c r="L28" s="113"/>
      <c r="M28" s="113"/>
      <c r="N28" s="113"/>
      <c r="O28" s="113"/>
      <c r="P28" s="113">
        <f t="shared" si="12"/>
        <v>1.8209104552276139</v>
      </c>
      <c r="Q28" s="113">
        <f t="shared" si="13"/>
        <v>18.199099549774889</v>
      </c>
      <c r="R28" s="113"/>
      <c r="S28" s="113"/>
      <c r="T28" s="113">
        <f t="shared" si="14"/>
        <v>29.144572286143074</v>
      </c>
      <c r="U28" s="113">
        <f t="shared" si="15"/>
        <v>3.6318159079539774</v>
      </c>
      <c r="V28" s="113">
        <f t="shared" si="16"/>
        <v>6.903451725862932</v>
      </c>
      <c r="W28" s="113">
        <f t="shared" si="17"/>
        <v>0</v>
      </c>
      <c r="X28" s="114">
        <f t="shared" si="18"/>
        <v>1.4907453726863431</v>
      </c>
      <c r="Y28" s="139"/>
      <c r="Z28" s="154"/>
      <c r="AA28" s="220"/>
      <c r="AB28" s="50" t="str">
        <f t="shared" si="3"/>
        <v>West Sussex</v>
      </c>
      <c r="AC28" s="49">
        <v>20</v>
      </c>
      <c r="AD28" s="50" t="str">
        <f t="shared" si="4"/>
        <v>West SussexNumber</v>
      </c>
      <c r="AE28" s="51" t="b">
        <f t="shared" si="5"/>
        <v>0</v>
      </c>
      <c r="AF28" s="735">
        <f>IF(Year5_West_Sussex Year5_ReferralSource_Individual_Family="","",Year5_West_Sussex Year5_ReferralSource_Individual_Family)</f>
        <v>919</v>
      </c>
      <c r="AG28" s="626" t="str">
        <f>IF(Year5_West_Sussex Year5_ReferralSource_Individual_Acquaintance="","",Year5_West_Sussex Year5_ReferralSource_Individual_Acquaintance)</f>
        <v/>
      </c>
      <c r="AH28" s="626" t="str">
        <f>IF(Year5_West_Sussex Year5_ReferralSource_Individual_Self="","",Year5_West_Sussex Year5_ReferralSource_Individual_Self)</f>
        <v/>
      </c>
      <c r="AI28" s="626" t="str">
        <f>IF(Year5_West_Sussex Year5_ReferralSource_Individual_Other="","",Year5_West_Sussex Year5_ReferralSource_Individual_Other)</f>
        <v/>
      </c>
      <c r="AJ28" s="626">
        <f>IF(Year5_West_Sussex Year5_ReferralSource_School="","",Year5_West_Sussex Year5_ReferralSource_School)</f>
        <v>1877</v>
      </c>
      <c r="AK28" s="626">
        <f>IF(Year5_West_Sussex Year5_ReferralSource_EducationServices="","",Year5_West_Sussex Year5_ReferralSource_EducationServices)</f>
        <v>0</v>
      </c>
      <c r="AL28" s="626">
        <f>IF(Year5_West_Sussex Year5_ReferralSource_Health_services_GP="","",Year5_West_Sussex Year5_ReferralSource_Health_services_GP)</f>
        <v>1083</v>
      </c>
      <c r="AM28" s="626" t="str">
        <f>IF(Year5_West_Sussex Year5_ReferralSource_Health_services_HealthVisitor="","",Year5_West_Sussex Year5_ReferralSource_Health_services_HealthVisitor)</f>
        <v/>
      </c>
      <c r="AN28" s="626" t="str">
        <f>IF(Year5_West_Sussex Year5_ReferralSource_Health_services_SchoolNurse="","",Year5_West_Sussex Year5_ReferralSource_Health_services_SchoolNurse)</f>
        <v/>
      </c>
      <c r="AO28" s="626" t="str">
        <f>IF(Year5_West_Sussex Year5_ReferralSource_Health_services_OthPrimary="","",Year5_West_Sussex Year5_ReferralSource_Health_services_OthPrimary)</f>
        <v/>
      </c>
      <c r="AP28" s="626" t="str">
        <f>IF(Year5_West_Sussex Year5_ReferralSource_Health_services_AE="","",Year5_West_Sussex Year5_ReferralSource_Health_services_AE)</f>
        <v/>
      </c>
      <c r="AQ28" s="626" t="str">
        <f>IF(Year5_West_Sussex Year5_ReferralSource_Health_services_Other="","",Year5_West_Sussex Year5_ReferralSource_Health_services_Other)</f>
        <v/>
      </c>
      <c r="AR28" s="626">
        <f>IF(Year5_West_Sussex Year5_ReferralSource_Housing="","",Year5_West_Sussex Year5_ReferralSource_Housing)</f>
        <v>182</v>
      </c>
      <c r="AS28" s="626">
        <f>IF(Year5_West_Sussex Year5_ReferralSource_LA_SC="","",Year5_West_Sussex Year5_ReferralSource_LA_SC)</f>
        <v>1819</v>
      </c>
      <c r="AT28" s="626" t="str">
        <f>IF(Year5_West_Sussex Year5_ReferralSource_LA_Other="","",Year5_West_Sussex Year5_ReferralSource_LA_Other)</f>
        <v/>
      </c>
      <c r="AU28" s="626" t="str">
        <f>IF(Year5_West_Sussex Year5_ReferralSource_LA_External="","",Year5_West_Sussex Year5_ReferralSource_LA_External)</f>
        <v/>
      </c>
      <c r="AV28" s="626">
        <f>IF(Year5_West_Sussex Year5_ReferralSource_Police="","",Year5_West_Sussex Year5_ReferralSource_Police)</f>
        <v>2913</v>
      </c>
      <c r="AW28" s="626">
        <f>IF(Year5_West_Sussex Year5_ReferralSource_Other_Legal="","",Year5_West_Sussex Year5_ReferralSource_Other_Legal)</f>
        <v>363</v>
      </c>
      <c r="AX28" s="626">
        <f>IF(Year5_West_Sussex Year5_ReferralSource_Other="","",Year5_West_Sussex Year5_ReferralSource_Other)</f>
        <v>690</v>
      </c>
      <c r="AY28" s="626">
        <f>IF(Year5_West_Sussex Year5_ReferralSource_Anonymous="","",Year5_West_Sussex Year5_ReferralSource_Anonymous)</f>
        <v>0</v>
      </c>
      <c r="AZ28" s="626">
        <f>IF(Year5_West_Sussex Year5_ReferralSource_Unknown="","",Year5_West_Sussex Year5_ReferralSource_Unknown)</f>
        <v>149</v>
      </c>
      <c r="BA28" s="57">
        <f t="shared" si="6"/>
        <v>9995</v>
      </c>
      <c r="BB28" s="101">
        <f>IF(BA28&gt;0,Population!G27,0)</f>
        <v>173281</v>
      </c>
      <c r="BC28" s="164">
        <f t="shared" si="7"/>
        <v>576.80876726242343</v>
      </c>
    </row>
    <row r="29" spans="1:65" s="101" customFormat="1" ht="13.5" hidden="1" customHeight="1" x14ac:dyDescent="0.2">
      <c r="A29" s="533">
        <f>VLOOKUP(B29,Sheet1!$B$4:$C$25,2,FALSE)</f>
        <v>0</v>
      </c>
      <c r="B29" s="112" t="s">
        <v>31</v>
      </c>
      <c r="C29" s="97"/>
      <c r="D29" s="113">
        <f t="shared" si="8"/>
        <v>13.854853911404335</v>
      </c>
      <c r="E29" s="479"/>
      <c r="F29" s="479"/>
      <c r="G29" s="479"/>
      <c r="H29" s="113">
        <f t="shared" si="9"/>
        <v>9.1423185673892551</v>
      </c>
      <c r="I29" s="113">
        <f t="shared" si="10"/>
        <v>0</v>
      </c>
      <c r="J29" s="113">
        <f t="shared" si="11"/>
        <v>12.535344015080113</v>
      </c>
      <c r="K29" s="479"/>
      <c r="L29" s="479"/>
      <c r="M29" s="479"/>
      <c r="N29" s="479"/>
      <c r="O29" s="479"/>
      <c r="P29" s="113">
        <f t="shared" si="12"/>
        <v>0.65975494816211122</v>
      </c>
      <c r="Q29" s="113">
        <f t="shared" si="13"/>
        <v>9.8963242224316676</v>
      </c>
      <c r="R29" s="479"/>
      <c r="S29" s="479"/>
      <c r="T29" s="113">
        <f t="shared" si="14"/>
        <v>35.061262959472195</v>
      </c>
      <c r="U29" s="113">
        <f t="shared" si="15"/>
        <v>1.3195098963242224</v>
      </c>
      <c r="V29" s="113">
        <f t="shared" si="16"/>
        <v>2.827521206409048</v>
      </c>
      <c r="W29" s="113">
        <f t="shared" si="17"/>
        <v>2.167766258246937</v>
      </c>
      <c r="X29" s="114">
        <f t="shared" si="18"/>
        <v>12.535344015080113</v>
      </c>
      <c r="Y29" s="139"/>
      <c r="Z29" s="154"/>
      <c r="AA29" s="220"/>
      <c r="AB29" s="50" t="str">
        <f t="shared" si="3"/>
        <v>Windsor &amp; Maidenhead</v>
      </c>
      <c r="AC29" s="49">
        <v>21</v>
      </c>
      <c r="AD29" s="50" t="str">
        <f t="shared" si="4"/>
        <v>Windsor &amp; MaidenheadNumber</v>
      </c>
      <c r="AE29" s="51" t="b">
        <f t="shared" si="5"/>
        <v>0</v>
      </c>
      <c r="AF29" s="606">
        <f>IF(Year5_Windsor_Maidenhead Year5_ReferralSource_Individual_Family="","",Year5_Windsor_Maidenhead Year5_ReferralSource_Individual_Family)</f>
        <v>147</v>
      </c>
      <c r="AG29" s="607" t="str">
        <f>IF(Year5_Windsor_Maidenhead Year5_ReferralSource_Individual_Acquaintance="","",Year5_Windsor_Maidenhead Year5_ReferralSource_Individual_Acquaintance)</f>
        <v/>
      </c>
      <c r="AH29" s="607" t="str">
        <f>IF(Year5_Windsor_Maidenhead Year5_ReferralSource_Individual_Self="","",Year5_Windsor_Maidenhead Year5_ReferralSource_Individual_Self)</f>
        <v/>
      </c>
      <c r="AI29" s="607" t="str">
        <f>IF(Year5_Windsor_Maidenhead Year5_ReferralSource_Individual_Other="","",Year5_Windsor_Maidenhead Year5_ReferralSource_Individual_Other)</f>
        <v/>
      </c>
      <c r="AJ29" s="607">
        <f>IF(Year5_Windsor_Maidenhead Year5_ReferralSource_School="","",Year5_Windsor_Maidenhead Year5_ReferralSource_School)</f>
        <v>97</v>
      </c>
      <c r="AK29" s="607">
        <f>IF(Year5_Windsor_Maidenhead Year5_ReferralSource_EducationServices="","",Year5_Windsor_Maidenhead Year5_ReferralSource_EducationServices)</f>
        <v>0</v>
      </c>
      <c r="AL29" s="607">
        <f>IF(Year5_Windsor_Maidenhead Year5_ReferralSource_Health_services_GP="","",Year5_Windsor_Maidenhead Year5_ReferralSource_Health_services_GP)</f>
        <v>133</v>
      </c>
      <c r="AM29" s="607" t="str">
        <f>IF(Year5_Windsor_Maidenhead Year5_ReferralSource_Health_services_HealthVisitor="","",Year5_Windsor_Maidenhead Year5_ReferralSource_Health_services_HealthVisitor)</f>
        <v/>
      </c>
      <c r="AN29" s="607" t="str">
        <f>IF(Year5_Windsor_Maidenhead Year5_ReferralSource_Health_services_SchoolNurse="","",Year5_Windsor_Maidenhead Year5_ReferralSource_Health_services_SchoolNurse)</f>
        <v/>
      </c>
      <c r="AO29" s="607" t="str">
        <f>IF(Year5_Windsor_Maidenhead Year5_ReferralSource_Health_services_OthPrimary="","",Year5_Windsor_Maidenhead Year5_ReferralSource_Health_services_OthPrimary)</f>
        <v/>
      </c>
      <c r="AP29" s="607" t="str">
        <f>IF(Year5_Windsor_Maidenhead Year5_ReferralSource_Health_services_AE="","",Year5_Windsor_Maidenhead Year5_ReferralSource_Health_services_AE)</f>
        <v/>
      </c>
      <c r="AQ29" s="607" t="str">
        <f>IF(Year5_Windsor_Maidenhead Year5_ReferralSource_Health_services_Other="","",Year5_Windsor_Maidenhead Year5_ReferralSource_Health_services_Other)</f>
        <v/>
      </c>
      <c r="AR29" s="607">
        <f>IF(Year5_Windsor_Maidenhead Year5_ReferralSource_Housing="","",Year5_Windsor_Maidenhead Year5_ReferralSource_Housing)</f>
        <v>7</v>
      </c>
      <c r="AS29" s="607">
        <f>IF(Year5_Windsor_Maidenhead Year5_ReferralSource_LA_SC="","",Year5_Windsor_Maidenhead Year5_ReferralSource_LA_SC)</f>
        <v>105</v>
      </c>
      <c r="AT29" s="607" t="str">
        <f>IF(Year5_Windsor_Maidenhead Year5_ReferralSource_LA_Other="","",Year5_Windsor_Maidenhead Year5_ReferralSource_LA_Other)</f>
        <v/>
      </c>
      <c r="AU29" s="607" t="str">
        <f>IF(Year5_Windsor_Maidenhead Year5_ReferralSource_LA_External="","",Year5_Windsor_Maidenhead Year5_ReferralSource_LA_External)</f>
        <v/>
      </c>
      <c r="AV29" s="607">
        <f>IF(Year5_Windsor_Maidenhead Year5_ReferralSource_Police="","",Year5_Windsor_Maidenhead Year5_ReferralSource_Police)</f>
        <v>372</v>
      </c>
      <c r="AW29" s="607">
        <f>IF(Year5_Windsor_Maidenhead Year5_ReferralSource_Other_Legal="","",Year5_Windsor_Maidenhead Year5_ReferralSource_Other_Legal)</f>
        <v>14</v>
      </c>
      <c r="AX29" s="607">
        <f>IF(Year5_Windsor_Maidenhead Year5_ReferralSource_Other="","",Year5_Windsor_Maidenhead Year5_ReferralSource_Other)</f>
        <v>30</v>
      </c>
      <c r="AY29" s="607">
        <f>IF(Year5_Windsor_Maidenhead Year5_ReferralSource_Anonymous="","",Year5_Windsor_Maidenhead Year5_ReferralSource_Anonymous)</f>
        <v>23</v>
      </c>
      <c r="AZ29" s="608">
        <f>IF(Year5_Windsor_Maidenhead Year5_ReferralSource_Unknown="","",Year5_Windsor_Maidenhead Year5_ReferralSource_Unknown)</f>
        <v>133</v>
      </c>
      <c r="BA29" s="57">
        <f t="shared" si="6"/>
        <v>1061</v>
      </c>
      <c r="BB29" s="101">
        <f>IF(BA29&gt;0,Population!G28,0)</f>
        <v>34352</v>
      </c>
      <c r="BC29" s="164">
        <f t="shared" si="7"/>
        <v>308.8612016767583</v>
      </c>
    </row>
    <row r="30" spans="1:65" s="101" customFormat="1" ht="13.5" hidden="1" customHeight="1" x14ac:dyDescent="0.2">
      <c r="A30" s="533">
        <f>VLOOKUP(B30,Sheet1!$B$4:$C$25,2,FALSE)</f>
        <v>0</v>
      </c>
      <c r="B30" s="112" t="s">
        <v>17</v>
      </c>
      <c r="C30" s="97"/>
      <c r="D30" s="113">
        <f t="shared" si="8"/>
        <v>8.9167280766396466</v>
      </c>
      <c r="E30" s="479"/>
      <c r="F30" s="479"/>
      <c r="G30" s="479"/>
      <c r="H30" s="113">
        <f t="shared" si="9"/>
        <v>15.327929255711128</v>
      </c>
      <c r="I30" s="113" t="e">
        <f t="shared" si="10"/>
        <v>#N/A</v>
      </c>
      <c r="J30" s="113">
        <f t="shared" si="11"/>
        <v>12.896094325718495</v>
      </c>
      <c r="K30" s="479"/>
      <c r="L30" s="479"/>
      <c r="M30" s="479"/>
      <c r="N30" s="479"/>
      <c r="O30" s="479"/>
      <c r="P30" s="113">
        <f t="shared" si="12"/>
        <v>0.73691967575534267</v>
      </c>
      <c r="Q30" s="113">
        <f t="shared" si="13"/>
        <v>10.39056742815033</v>
      </c>
      <c r="R30" s="479"/>
      <c r="S30" s="479"/>
      <c r="T30" s="113">
        <f t="shared" si="14"/>
        <v>42.815033161385408</v>
      </c>
      <c r="U30" s="113">
        <f t="shared" si="15"/>
        <v>3.0213706705969052</v>
      </c>
      <c r="V30" s="113">
        <f t="shared" si="16"/>
        <v>4.5689019896831242</v>
      </c>
      <c r="W30" s="113">
        <f t="shared" si="17"/>
        <v>1.3264554163596167</v>
      </c>
      <c r="X30" s="114" t="e">
        <f t="shared" si="18"/>
        <v>#N/A</v>
      </c>
      <c r="Y30" s="139"/>
      <c r="Z30" s="154"/>
      <c r="AA30" s="220"/>
      <c r="AB30" s="50" t="str">
        <f t="shared" si="3"/>
        <v>Wokingham</v>
      </c>
      <c r="AC30" s="49">
        <v>22</v>
      </c>
      <c r="AD30" s="50" t="str">
        <f t="shared" si="4"/>
        <v>WokinghamNumber</v>
      </c>
      <c r="AE30" s="51" t="b">
        <f t="shared" si="5"/>
        <v>0</v>
      </c>
      <c r="AF30" s="629">
        <f>IF(Year5_Wokingham Year5_ReferralSource_Individual_Family="","",Year5_Wokingham Year5_ReferralSource_Individual_Family)</f>
        <v>121</v>
      </c>
      <c r="AG30" s="630" t="str">
        <f>IF(Year5_Wokingham Year5_ReferralSource_Individual_Acquaintance="","",Year5_Wokingham Year5_ReferralSource_Individual_Acquaintance)</f>
        <v/>
      </c>
      <c r="AH30" s="630" t="str">
        <f>IF(Year5_Wokingham Year5_ReferralSource_Individual_Self="","",Year5_Wokingham Year5_ReferralSource_Individual_Self)</f>
        <v/>
      </c>
      <c r="AI30" s="630" t="str">
        <f>IF(Year5_Wokingham Year5_ReferralSource_Individual_Other="","",Year5_Wokingham Year5_ReferralSource_Individual_Other)</f>
        <v/>
      </c>
      <c r="AJ30" s="630">
        <f>IF(Year5_Wokingham Year5_ReferralSource_School="","",Year5_Wokingham Year5_ReferralSource_School)</f>
        <v>208</v>
      </c>
      <c r="AK30" s="630" t="str">
        <f>IF(Year5_Wokingham Year5_ReferralSource_EducationServices="","",Year5_Wokingham Year5_ReferralSource_EducationServices)</f>
        <v>x</v>
      </c>
      <c r="AL30" s="630">
        <f>IF(Year5_Wokingham Year5_ReferralSource_Health_services_GP="","",Year5_Wokingham Year5_ReferralSource_Health_services_GP)</f>
        <v>175</v>
      </c>
      <c r="AM30" s="630" t="str">
        <f>IF(Year5_Wokingham Year5_ReferralSource_Health_services_HealthVisitor="","",Year5_Wokingham Year5_ReferralSource_Health_services_HealthVisitor)</f>
        <v/>
      </c>
      <c r="AN30" s="630" t="str">
        <f>IF(Year5_Wokingham Year5_ReferralSource_Health_services_SchoolNurse="","",Year5_Wokingham Year5_ReferralSource_Health_services_SchoolNurse)</f>
        <v/>
      </c>
      <c r="AO30" s="630" t="str">
        <f>IF(Year5_Wokingham Year5_ReferralSource_Health_services_OthPrimary="","",Year5_Wokingham Year5_ReferralSource_Health_services_OthPrimary)</f>
        <v/>
      </c>
      <c r="AP30" s="630" t="str">
        <f>IF(Year5_Wokingham Year5_ReferralSource_Health_services_AE="","",Year5_Wokingham Year5_ReferralSource_Health_services_AE)</f>
        <v/>
      </c>
      <c r="AQ30" s="630" t="str">
        <f>IF(Year5_Wokingham Year5_ReferralSource_Health_services_Other="","",Year5_Wokingham Year5_ReferralSource_Health_services_Other)</f>
        <v/>
      </c>
      <c r="AR30" s="630">
        <f>IF(Year5_Wokingham Year5_ReferralSource_Housing="","",Year5_Wokingham Year5_ReferralSource_Housing)</f>
        <v>10</v>
      </c>
      <c r="AS30" s="630">
        <f>IF(Year5_Wokingham Year5_ReferralSource_LA_SC="","",Year5_Wokingham Year5_ReferralSource_LA_SC)</f>
        <v>141</v>
      </c>
      <c r="AT30" s="630" t="str">
        <f>IF(Year5_Wokingham Year5_ReferralSource_LA_Other="","",Year5_Wokingham Year5_ReferralSource_LA_Other)</f>
        <v/>
      </c>
      <c r="AU30" s="630" t="str">
        <f>IF(Year5_Wokingham Year5_ReferralSource_LA_External="","",Year5_Wokingham Year5_ReferralSource_LA_External)</f>
        <v/>
      </c>
      <c r="AV30" s="630">
        <f>IF(Year5_Wokingham Year5_ReferralSource_Police="","",Year5_Wokingham Year5_ReferralSource_Police)</f>
        <v>581</v>
      </c>
      <c r="AW30" s="630">
        <f>IF(Year5_Wokingham Year5_ReferralSource_Other_Legal="","",Year5_Wokingham Year5_ReferralSource_Other_Legal)</f>
        <v>41</v>
      </c>
      <c r="AX30" s="630">
        <f>IF(Year5_Wokingham Year5_ReferralSource_Other="","",Year5_Wokingham Year5_ReferralSource_Other)</f>
        <v>62</v>
      </c>
      <c r="AY30" s="630">
        <f>IF(Year5_Wokingham Year5_ReferralSource_Anonymous="","",Year5_Wokingham Year5_ReferralSource_Anonymous)</f>
        <v>18</v>
      </c>
      <c r="AZ30" s="631" t="str">
        <f>IF(Year5_Wokingham Year5_ReferralSource_Unknown="","",Year5_Wokingham Year5_ReferralSource_Unknown)</f>
        <v>x</v>
      </c>
      <c r="BA30" s="57">
        <f>SUM(AF30:AZ30)</f>
        <v>1357</v>
      </c>
      <c r="BB30" s="101">
        <f>IF(BA30&gt;0,Population!G29,0)</f>
        <v>38702</v>
      </c>
      <c r="BC30" s="164">
        <f t="shared" si="7"/>
        <v>350.62787452844816</v>
      </c>
      <c r="BD30" s="101" t="s">
        <v>813</v>
      </c>
    </row>
    <row r="31" spans="1:65" s="101" customFormat="1" ht="13.5" hidden="1" customHeight="1" x14ac:dyDescent="0.2">
      <c r="A31" s="324"/>
      <c r="B31" s="171" t="s">
        <v>74</v>
      </c>
      <c r="C31" s="97"/>
      <c r="D31" s="113">
        <f t="shared" si="8"/>
        <v>8.5489746863967557</v>
      </c>
      <c r="E31" s="113"/>
      <c r="F31" s="113"/>
      <c r="G31" s="113"/>
      <c r="H31" s="484">
        <f t="shared" si="9"/>
        <v>18.987080297453616</v>
      </c>
      <c r="I31" s="113">
        <f t="shared" si="10"/>
        <v>0.61969503492826561</v>
      </c>
      <c r="J31" s="113">
        <f t="shared" si="11"/>
        <v>12.629572598212274</v>
      </c>
      <c r="K31" s="113"/>
      <c r="L31" s="113"/>
      <c r="M31" s="113"/>
      <c r="N31" s="113"/>
      <c r="O31" s="113"/>
      <c r="P31" s="113">
        <f t="shared" si="12"/>
        <v>1.367084804326598</v>
      </c>
      <c r="Q31" s="113">
        <f t="shared" si="13"/>
        <v>12.70750394351386</v>
      </c>
      <c r="R31" s="113"/>
      <c r="S31" s="113"/>
      <c r="T31" s="113">
        <f t="shared" si="14"/>
        <v>31.537782618493203</v>
      </c>
      <c r="U31" s="113">
        <f t="shared" si="15"/>
        <v>2.8693757980920904</v>
      </c>
      <c r="V31" s="113">
        <f t="shared" si="16"/>
        <v>7.0166378727559531</v>
      </c>
      <c r="W31" s="113">
        <f t="shared" si="17"/>
        <v>1.8215278299406594</v>
      </c>
      <c r="X31" s="114">
        <f t="shared" si="18"/>
        <v>1.8947645158867272</v>
      </c>
      <c r="Y31" s="139"/>
      <c r="Z31" s="154"/>
      <c r="AA31" s="220"/>
      <c r="AB31" s="50" t="str">
        <f>B31</f>
        <v>South East</v>
      </c>
      <c r="AC31" s="49">
        <v>23</v>
      </c>
      <c r="AD31" s="50" t="str">
        <f t="shared" si="4"/>
        <v>South EastNumber</v>
      </c>
      <c r="AE31" s="51" t="b">
        <f t="shared" si="5"/>
        <v>0</v>
      </c>
      <c r="AF31" s="52">
        <f>SUM(AF9:AF21,AF23:AF24,AF27:AF30)</f>
        <v>9105</v>
      </c>
      <c r="AG31" s="52">
        <f t="shared" ref="AG31:AY31" si="19">SUM(AG9:AG21,AG23:AG24,AG27:AG30)</f>
        <v>0</v>
      </c>
      <c r="AH31" s="52">
        <f t="shared" si="19"/>
        <v>0</v>
      </c>
      <c r="AI31" s="52">
        <f t="shared" si="19"/>
        <v>0</v>
      </c>
      <c r="AJ31" s="52">
        <f t="shared" si="19"/>
        <v>20222</v>
      </c>
      <c r="AK31" s="52">
        <f t="shared" si="19"/>
        <v>660</v>
      </c>
      <c r="AL31" s="52">
        <f t="shared" si="19"/>
        <v>13451</v>
      </c>
      <c r="AM31" s="52">
        <f t="shared" si="19"/>
        <v>0</v>
      </c>
      <c r="AN31" s="52">
        <f t="shared" si="19"/>
        <v>0</v>
      </c>
      <c r="AO31" s="52">
        <f t="shared" si="19"/>
        <v>0</v>
      </c>
      <c r="AP31" s="52">
        <f t="shared" si="19"/>
        <v>0</v>
      </c>
      <c r="AQ31" s="52">
        <f t="shared" si="19"/>
        <v>0</v>
      </c>
      <c r="AR31" s="52">
        <f t="shared" si="19"/>
        <v>1456</v>
      </c>
      <c r="AS31" s="52">
        <f t="shared" si="19"/>
        <v>13534</v>
      </c>
      <c r="AT31" s="52">
        <f t="shared" si="19"/>
        <v>0</v>
      </c>
      <c r="AU31" s="52">
        <f t="shared" si="19"/>
        <v>0</v>
      </c>
      <c r="AV31" s="52">
        <f t="shared" si="19"/>
        <v>33589</v>
      </c>
      <c r="AW31" s="52">
        <f t="shared" si="19"/>
        <v>3056</v>
      </c>
      <c r="AX31" s="52">
        <f t="shared" si="19"/>
        <v>7473</v>
      </c>
      <c r="AY31" s="52">
        <f t="shared" si="19"/>
        <v>1940</v>
      </c>
      <c r="AZ31" s="52">
        <f>SUM(AZ9:AZ21,AZ23:AZ24,AZ27:AZ30)</f>
        <v>2018</v>
      </c>
      <c r="BA31" s="57">
        <f>SUM(AF31:AZ31)</f>
        <v>106504</v>
      </c>
      <c r="BB31" s="101">
        <f>IF(BA31&gt;0,Population!G30,0)</f>
        <v>1943865</v>
      </c>
    </row>
    <row r="32" spans="1:65" s="101" customFormat="1" ht="13.5" hidden="1" customHeight="1" thickBot="1" x14ac:dyDescent="0.25">
      <c r="A32" s="324"/>
      <c r="B32" s="171" t="s">
        <v>130</v>
      </c>
      <c r="C32" s="97"/>
      <c r="D32" s="743">
        <f>VLOOKUP(CONCATENATE($B32,$V$5),$AD$9:$BA$80,AF$6,FALSE)</f>
        <v>8.0662140514150593</v>
      </c>
      <c r="E32" s="746"/>
      <c r="F32" s="746"/>
      <c r="G32" s="746"/>
      <c r="H32" s="744">
        <f t="shared" ref="H32:X32" si="20">VLOOKUP(CONCATENATE($B32,$V$5),$AD$9:$BA$80,AJ$6,FALSE)</f>
        <v>18.160042718742851</v>
      </c>
      <c r="I32" s="743">
        <f t="shared" si="20"/>
        <v>2.0062552444885191</v>
      </c>
      <c r="J32" s="743">
        <f t="shared" si="20"/>
        <v>14.765428331680525</v>
      </c>
      <c r="K32" s="746"/>
      <c r="L32" s="746"/>
      <c r="M32" s="746"/>
      <c r="N32" s="746"/>
      <c r="O32" s="746"/>
      <c r="P32" s="743">
        <f t="shared" si="20"/>
        <v>1.4402319017468914</v>
      </c>
      <c r="Q32" s="743">
        <f t="shared" si="20"/>
        <v>13.633381646197268</v>
      </c>
      <c r="R32" s="746"/>
      <c r="S32" s="746"/>
      <c r="T32" s="743">
        <f t="shared" si="20"/>
        <v>28.517812190098407</v>
      </c>
      <c r="U32" s="743">
        <f t="shared" si="20"/>
        <v>3.4922572278587229</v>
      </c>
      <c r="V32" s="743">
        <f t="shared" si="20"/>
        <v>5.8646731253337396</v>
      </c>
      <c r="W32" s="743">
        <f t="shared" si="20"/>
        <v>2.4242886566481046</v>
      </c>
      <c r="X32" s="745">
        <f t="shared" si="20"/>
        <v>1.6294149057899152</v>
      </c>
      <c r="Y32" s="139"/>
      <c r="Z32" s="154"/>
      <c r="AA32" s="220"/>
      <c r="AB32" s="50" t="str">
        <f>B32</f>
        <v>England</v>
      </c>
      <c r="AC32" s="49">
        <v>24</v>
      </c>
      <c r="AD32" s="50" t="str">
        <f t="shared" si="4"/>
        <v>EnglandNumber</v>
      </c>
      <c r="AE32" s="51" t="b">
        <f t="shared" si="5"/>
        <v>0</v>
      </c>
      <c r="AF32" s="738">
        <f>IF(Year5_England Year5_ReferralSource_Individual_Family="","",Year5_England Year5_ReferralSource_Individual_Family)</f>
        <v>52870</v>
      </c>
      <c r="AG32" s="739" t="str">
        <f>IF(Year5_England Year5_ReferralSource_Individual_Acquaintance="","",Year5_England Year5_ReferralSource_Individual_Acquaintance)</f>
        <v/>
      </c>
      <c r="AH32" s="739" t="str">
        <f>IF(Year5_England Year5_ReferralSource_Individual_Self="","",Year5_England Year5_ReferralSource_Individual_Self)</f>
        <v/>
      </c>
      <c r="AI32" s="739" t="str">
        <f>IF(Year5_England Year5_ReferralSource_Individual_Other="","",Year5_England Year5_ReferralSource_Individual_Other)</f>
        <v/>
      </c>
      <c r="AJ32" s="739">
        <f>IF(Year5_England Year5_ReferralSource_School="","",Year5_England Year5_ReferralSource_School)</f>
        <v>119030</v>
      </c>
      <c r="AK32" s="739">
        <f>IF(Year5_England Year5_ReferralSource_EducationServices="","",Year5_England Year5_ReferralSource_EducationServices)</f>
        <v>13150</v>
      </c>
      <c r="AL32" s="739">
        <f>IF(Year5_England Year5_ReferralSource_Health_services_GP="","",Year5_England Year5_ReferralSource_Health_services_GP)</f>
        <v>96780</v>
      </c>
      <c r="AM32" s="739" t="str">
        <f>IF(Year5_England Year5_ReferralSource_Health_services_HealthVisitor="","",Year5_England Year5_ReferralSource_Health_services_HealthVisitor)</f>
        <v/>
      </c>
      <c r="AN32" s="739" t="str">
        <f>IF(Year5_England Year5_ReferralSource_Health_services_SchoolNurse="","",Year5_England Year5_ReferralSource_Health_services_SchoolNurse)</f>
        <v/>
      </c>
      <c r="AO32" s="739" t="str">
        <f>IF(Year5_England Year5_ReferralSource_Health_services_OthPrimary="","",Year5_England Year5_ReferralSource_Health_services_OthPrimary)</f>
        <v/>
      </c>
      <c r="AP32" s="739" t="str">
        <f>IF(Year5_England Year5_ReferralSource_Health_services_AE="","",Year5_England Year5_ReferralSource_Health_services_AE)</f>
        <v/>
      </c>
      <c r="AQ32" s="739" t="str">
        <f>IF(Year5_England Year5_ReferralSource_Health_services_Other="","",Year5_England Year5_ReferralSource_Health_services_Other)</f>
        <v/>
      </c>
      <c r="AR32" s="739">
        <f>IF(Year5_England Year5_ReferralSource_Housing="","",Year5_England Year5_ReferralSource_Housing)</f>
        <v>9440</v>
      </c>
      <c r="AS32" s="739">
        <f>IF(Year5_England Year5_ReferralSource_LA_SC="","",Year5_England Year5_ReferralSource_LA_SC)</f>
        <v>89360</v>
      </c>
      <c r="AT32" s="739" t="str">
        <f>IF(Year5_England Year5_ReferralSource_LA_Other="","",Year5_England Year5_ReferralSource_LA_Other)</f>
        <v/>
      </c>
      <c r="AU32" s="739" t="str">
        <f>IF(Year5_England Year5_ReferralSource_LA_External="","",Year5_England Year5_ReferralSource_LA_External)</f>
        <v/>
      </c>
      <c r="AV32" s="739">
        <f>IF(Year5_England Year5_ReferralSource_Police="","",Year5_England Year5_ReferralSource_Police)</f>
        <v>186920</v>
      </c>
      <c r="AW32" s="739">
        <f>IF(Year5_England Year5_ReferralSource_Other_Legal="","",Year5_England Year5_ReferralSource_Other_Legal)</f>
        <v>22890</v>
      </c>
      <c r="AX32" s="739">
        <f>IF(Year5_England Year5_ReferralSource_Other="","",Year5_England Year5_ReferralSource_Other)</f>
        <v>38440</v>
      </c>
      <c r="AY32" s="739">
        <f>IF(Year5_England Year5_ReferralSource_Anonymous="","",Year5_England Year5_ReferralSource_Anonymous)</f>
        <v>15890</v>
      </c>
      <c r="AZ32" s="739">
        <f>IF(Year5_England Year5_ReferralSource_Unknown="","",Year5_England Year5_ReferralSource_Unknown)</f>
        <v>10680</v>
      </c>
      <c r="BA32" s="740">
        <f>SUM(AF32:AZ32)</f>
        <v>655450</v>
      </c>
      <c r="BB32" s="101">
        <f>IF(BA32&gt;0,Population!G31,0)</f>
        <v>11866957</v>
      </c>
      <c r="BD32" s="741" t="s">
        <v>94</v>
      </c>
      <c r="BE32" s="741" t="s">
        <v>38</v>
      </c>
      <c r="BF32" s="741" t="s">
        <v>108</v>
      </c>
      <c r="BG32" s="741" t="s">
        <v>46</v>
      </c>
      <c r="BH32" s="741" t="s">
        <v>109</v>
      </c>
      <c r="BI32" s="741" t="s">
        <v>24</v>
      </c>
      <c r="BJ32" s="741" t="s">
        <v>67</v>
      </c>
      <c r="BK32" s="741" t="s">
        <v>66</v>
      </c>
      <c r="BL32" s="741" t="s">
        <v>64</v>
      </c>
      <c r="BM32" s="741" t="s">
        <v>65</v>
      </c>
    </row>
    <row r="33" spans="1:65" s="88" customFormat="1" ht="7.5" hidden="1" customHeight="1" x14ac:dyDescent="0.2">
      <c r="A33" s="309"/>
      <c r="B33" s="18"/>
      <c r="C33" s="18"/>
      <c r="D33" s="17"/>
      <c r="E33" s="17"/>
      <c r="F33" s="17"/>
      <c r="G33" s="17"/>
      <c r="H33" s="17"/>
      <c r="I33" s="17"/>
      <c r="J33" s="17"/>
      <c r="K33" s="17"/>
      <c r="L33" s="17"/>
      <c r="M33" s="17"/>
      <c r="N33" s="17"/>
      <c r="O33" s="13"/>
      <c r="P33" s="19"/>
      <c r="Q33" s="19"/>
      <c r="R33" s="19"/>
      <c r="S33" s="19"/>
      <c r="T33" s="19"/>
      <c r="U33" s="19"/>
      <c r="V33" s="19"/>
      <c r="W33" s="19"/>
      <c r="X33" s="261"/>
      <c r="Y33" s="134"/>
      <c r="Z33" s="152"/>
      <c r="AA33" s="209"/>
      <c r="AB33" s="50" t="str">
        <f t="shared" ref="AB33:AB56" si="21">B9</f>
        <v>Bracknell Forest</v>
      </c>
      <c r="AC33" s="49">
        <v>1</v>
      </c>
      <c r="AD33" s="50" t="str">
        <f>CONCATENATE(AB33,$AB$6)</f>
        <v>Bracknell ForestRate per 10,000</v>
      </c>
      <c r="AE33" s="51" t="b">
        <f t="shared" si="5"/>
        <v>0</v>
      </c>
      <c r="AF33" s="730">
        <f>IF(ISERROR(AF9/$BB9*10000),NA(),AF9/$BB9*10000)</f>
        <v>41.680025649246552</v>
      </c>
      <c r="AG33" s="731" t="e">
        <f t="shared" ref="AG33:BA33" si="22">IF(ISERROR(AG9/$BB9*10000),NA(),AG9/$BB9*10000)</f>
        <v>#N/A</v>
      </c>
      <c r="AH33" s="731" t="e">
        <f t="shared" si="22"/>
        <v>#N/A</v>
      </c>
      <c r="AI33" s="731" t="e">
        <f t="shared" si="22"/>
        <v>#N/A</v>
      </c>
      <c r="AJ33" s="731">
        <f t="shared" si="22"/>
        <v>177.05104912543194</v>
      </c>
      <c r="AK33" s="731">
        <f t="shared" si="22"/>
        <v>13.893341883082185</v>
      </c>
      <c r="AL33" s="731">
        <f t="shared" si="22"/>
        <v>48.448576823055816</v>
      </c>
      <c r="AM33" s="731" t="e">
        <f t="shared" si="22"/>
        <v>#N/A</v>
      </c>
      <c r="AN33" s="731" t="e">
        <f t="shared" si="22"/>
        <v>#N/A</v>
      </c>
      <c r="AO33" s="731" t="e">
        <f t="shared" si="22"/>
        <v>#N/A</v>
      </c>
      <c r="AP33" s="731" t="e">
        <f t="shared" si="22"/>
        <v>#N/A</v>
      </c>
      <c r="AQ33" s="731" t="e">
        <f t="shared" si="22"/>
        <v>#N/A</v>
      </c>
      <c r="AR33" s="731">
        <f t="shared" si="22"/>
        <v>8.5497488511274984</v>
      </c>
      <c r="AS33" s="731">
        <f t="shared" si="22"/>
        <v>132.52110719247622</v>
      </c>
      <c r="AT33" s="731" t="e">
        <f t="shared" si="22"/>
        <v>#N/A</v>
      </c>
      <c r="AU33" s="731" t="e">
        <f t="shared" si="22"/>
        <v>#N/A</v>
      </c>
      <c r="AV33" s="731">
        <f t="shared" si="22"/>
        <v>146.77068861102205</v>
      </c>
      <c r="AW33" s="731">
        <f t="shared" si="22"/>
        <v>9.2622279220547892</v>
      </c>
      <c r="AX33" s="731">
        <f t="shared" si="22"/>
        <v>48.092337287592173</v>
      </c>
      <c r="AY33" s="731">
        <f t="shared" si="22"/>
        <v>19.59317445050052</v>
      </c>
      <c r="AZ33" s="732">
        <f t="shared" si="22"/>
        <v>2.1374372127818746</v>
      </c>
      <c r="BA33" s="733">
        <f t="shared" si="22"/>
        <v>647.9997150083716</v>
      </c>
      <c r="BB33" s="101"/>
      <c r="BC33" s="88" t="str">
        <f>AB33</f>
        <v>Bracknell Forest</v>
      </c>
      <c r="BD33" s="191">
        <f>SUM(AF9:AI9)/$BA9</f>
        <v>6.4321055525013743E-2</v>
      </c>
      <c r="BE33" s="191">
        <f>SUM(AJ9:AK9)/$BA9</f>
        <v>0.29466739967014843</v>
      </c>
      <c r="BF33" s="191">
        <f>SUM(AL9:AQ9)/$BA9</f>
        <v>7.476635514018691E-2</v>
      </c>
      <c r="BG33" s="191">
        <f>AR9/$BA9</f>
        <v>1.3194062671797692E-2</v>
      </c>
      <c r="BH33" s="191">
        <f>SUM(AS9:AU9)/$BA9</f>
        <v>0.2045079714128642</v>
      </c>
      <c r="BI33" s="191">
        <f>AV9/$BA9</f>
        <v>0.22649807586586038</v>
      </c>
      <c r="BJ33" s="191">
        <f>AW9/$BA9</f>
        <v>1.4293567894447499E-2</v>
      </c>
      <c r="BK33" s="191">
        <f>AX9/$BA9</f>
        <v>7.4216602528862016E-2</v>
      </c>
      <c r="BL33" s="191">
        <f>AY9/$BA9</f>
        <v>3.0236393622869707E-2</v>
      </c>
      <c r="BM33" s="191">
        <f>AZ9/$BA9</f>
        <v>3.2985156679494229E-3</v>
      </c>
    </row>
    <row r="34" spans="1:65" s="88" customFormat="1" ht="15" hidden="1" customHeight="1" x14ac:dyDescent="0.2">
      <c r="A34" s="1064"/>
      <c r="B34" s="1018"/>
      <c r="C34" s="1018"/>
      <c r="D34" s="1018"/>
      <c r="E34" s="1018"/>
      <c r="F34" s="1018"/>
      <c r="G34" s="1018"/>
      <c r="H34" s="1018"/>
      <c r="I34" s="1018"/>
      <c r="J34" s="1018"/>
      <c r="K34" s="1018"/>
      <c r="L34" s="1018"/>
      <c r="M34" s="1018"/>
      <c r="N34" s="1018"/>
      <c r="O34" s="1018"/>
      <c r="P34" s="1018"/>
      <c r="Q34" s="1018"/>
      <c r="R34" s="1018"/>
      <c r="S34" s="1018"/>
      <c r="T34" s="1018"/>
      <c r="U34" s="1018"/>
      <c r="V34" s="1018"/>
      <c r="W34" s="1018"/>
      <c r="X34" s="1018"/>
      <c r="Y34" s="1019"/>
      <c r="Z34" s="152"/>
      <c r="AB34" s="50" t="str">
        <f t="shared" si="21"/>
        <v>Brighton &amp; Hove</v>
      </c>
      <c r="AC34" s="49">
        <v>2</v>
      </c>
      <c r="AD34" s="50" t="str">
        <f t="shared" ref="AD34:AD55" si="23">CONCATENATE(AB34,$AB$6)</f>
        <v>Brighton &amp; HoveRate per 10,000</v>
      </c>
      <c r="AE34" s="51" t="b">
        <f t="shared" si="5"/>
        <v>0</v>
      </c>
      <c r="AF34" s="52">
        <f>IF(ISERROR(AF10/$BB10*10000),NA(),AF10/$BB10*10000)</f>
        <v>30.403483650771854</v>
      </c>
      <c r="AG34" s="53" t="e">
        <f>IF(ISERROR(AG10/$BB10*10000),NA(),AG10/$BB10*10000)</f>
        <v>#N/A</v>
      </c>
      <c r="AH34" s="53" t="e">
        <f>IF(ISERROR(AH10/$BB10*10000),NA(),AH10/$BB10*10000)</f>
        <v>#N/A</v>
      </c>
      <c r="AI34" s="53" t="e">
        <f>IF(ISERROR(AI10/$BB10*10000),NA(),AI10/$BB10*10000)</f>
        <v>#N/A</v>
      </c>
      <c r="AJ34" s="53">
        <f t="shared" ref="AJ34:BA34" si="24">IF(ISERROR(AJ10/$BB10*10000),NA(),AJ10/$BB10*10000)</f>
        <v>109.84484415762736</v>
      </c>
      <c r="AK34" s="53">
        <f t="shared" si="24"/>
        <v>12.161393460308743</v>
      </c>
      <c r="AL34" s="53">
        <f t="shared" si="24"/>
        <v>72.576057747003787</v>
      </c>
      <c r="AM34" s="53" t="e">
        <f t="shared" si="24"/>
        <v>#N/A</v>
      </c>
      <c r="AN34" s="53" t="e">
        <f t="shared" si="24"/>
        <v>#N/A</v>
      </c>
      <c r="AO34" s="53" t="e">
        <f t="shared" si="24"/>
        <v>#N/A</v>
      </c>
      <c r="AP34" s="53" t="e">
        <f t="shared" si="24"/>
        <v>#N/A</v>
      </c>
      <c r="AQ34" s="53" t="e">
        <f t="shared" si="24"/>
        <v>#N/A</v>
      </c>
      <c r="AR34" s="53">
        <f t="shared" si="24"/>
        <v>10.788332908338401</v>
      </c>
      <c r="AS34" s="53">
        <f t="shared" si="24"/>
        <v>104.15645044232164</v>
      </c>
      <c r="AT34" s="53" t="e">
        <f t="shared" si="24"/>
        <v>#N/A</v>
      </c>
      <c r="AU34" s="53" t="e">
        <f t="shared" si="24"/>
        <v>#N/A</v>
      </c>
      <c r="AV34" s="53">
        <f t="shared" si="24"/>
        <v>169.27875090720073</v>
      </c>
      <c r="AW34" s="53">
        <f t="shared" si="24"/>
        <v>16.280575116219769</v>
      </c>
      <c r="AX34" s="53">
        <f t="shared" si="24"/>
        <v>30.011180635923186</v>
      </c>
      <c r="AY34" s="53">
        <f t="shared" si="24"/>
        <v>8.2383633118220505</v>
      </c>
      <c r="AZ34" s="54">
        <f t="shared" si="24"/>
        <v>92.19120848943723</v>
      </c>
      <c r="BA34" s="57">
        <f t="shared" si="24"/>
        <v>655.93064082697481</v>
      </c>
      <c r="BC34" s="88" t="str">
        <f t="shared" ref="BC34:BC56" si="25">AB34</f>
        <v>Brighton &amp; Hove</v>
      </c>
      <c r="BD34" s="191">
        <f t="shared" ref="BD34:BD56" si="26">SUM(AF10:AI10)/$BA10</f>
        <v>4.6351674641148324E-2</v>
      </c>
      <c r="BE34" s="191">
        <f t="shared" ref="BE34:BE56" si="27">SUM(AJ10:AK10)/$BA10</f>
        <v>0.18600478468899523</v>
      </c>
      <c r="BF34" s="191">
        <f t="shared" ref="BF34:BF56" si="28">SUM(AL10:AQ10)/$BA10</f>
        <v>0.11064593301435406</v>
      </c>
      <c r="BG34" s="191">
        <f t="shared" ref="BG34:BG56" si="29">AR10/$BA10</f>
        <v>1.6447368421052631E-2</v>
      </c>
      <c r="BH34" s="191">
        <f t="shared" ref="BH34:BH56" si="30">SUM(AS10:AU10)/$BA10</f>
        <v>0.15879186602870812</v>
      </c>
      <c r="BI34" s="191">
        <f t="shared" ref="BI34:BM34" si="31">AV10/$BA10</f>
        <v>0.25807416267942584</v>
      </c>
      <c r="BJ34" s="191">
        <f t="shared" si="31"/>
        <v>2.4820574162679427E-2</v>
      </c>
      <c r="BK34" s="191">
        <f t="shared" si="31"/>
        <v>4.5753588516746414E-2</v>
      </c>
      <c r="BL34" s="191">
        <f t="shared" si="31"/>
        <v>1.2559808612440191E-2</v>
      </c>
      <c r="BM34" s="191">
        <f t="shared" si="31"/>
        <v>0.14055023923444976</v>
      </c>
    </row>
    <row r="35" spans="1:65" s="88" customFormat="1" ht="11.25" hidden="1" customHeight="1" x14ac:dyDescent="0.2">
      <c r="A35" s="1066" t="str">
        <f>Home!$A$35</f>
        <v>LA's provide quarterly data on the condition that it is used by the benchmarking group for internal reporting only. Please DO NOT share other LA's data with any external partners or the public</v>
      </c>
      <c r="B35" s="1067"/>
      <c r="C35" s="1067"/>
      <c r="D35" s="1067"/>
      <c r="E35" s="1067"/>
      <c r="F35" s="1067"/>
      <c r="G35" s="1067"/>
      <c r="H35" s="1067"/>
      <c r="I35" s="1067"/>
      <c r="J35" s="1067"/>
      <c r="K35" s="1067"/>
      <c r="L35" s="1067"/>
      <c r="M35" s="1067"/>
      <c r="N35" s="1067"/>
      <c r="O35" s="1067"/>
      <c r="P35" s="1067"/>
      <c r="Q35" s="1067"/>
      <c r="R35" s="1067"/>
      <c r="S35" s="1067"/>
      <c r="T35" s="1067"/>
      <c r="U35" s="1067"/>
      <c r="V35" s="1067"/>
      <c r="W35" s="1067"/>
      <c r="X35" s="1067"/>
      <c r="Y35" s="1068"/>
      <c r="Z35" s="152"/>
      <c r="AB35" s="50" t="str">
        <f t="shared" si="21"/>
        <v>Buckinghamshire</v>
      </c>
      <c r="AC35" s="49">
        <v>3</v>
      </c>
      <c r="AD35" s="50" t="str">
        <f t="shared" si="23"/>
        <v>BuckinghamshireRate per 10,000</v>
      </c>
      <c r="AE35" s="51" t="b">
        <f t="shared" si="5"/>
        <v>0</v>
      </c>
      <c r="AF35" s="52">
        <f t="shared" ref="AF35:BA35" si="32">IF(ISERROR(AF11/$BB11*10000),NA(),AF11/$BB11*10000)</f>
        <v>61.019703432866137</v>
      </c>
      <c r="AG35" s="53" t="e">
        <f t="shared" si="32"/>
        <v>#N/A</v>
      </c>
      <c r="AH35" s="53" t="e">
        <f t="shared" si="32"/>
        <v>#N/A</v>
      </c>
      <c r="AI35" s="53" t="e">
        <f t="shared" si="32"/>
        <v>#N/A</v>
      </c>
      <c r="AJ35" s="53">
        <f t="shared" si="32"/>
        <v>162.5025391021735</v>
      </c>
      <c r="AK35" s="53">
        <f t="shared" si="32"/>
        <v>4.1438147471054236</v>
      </c>
      <c r="AL35" s="53">
        <f t="shared" si="32"/>
        <v>138.77716839325615</v>
      </c>
      <c r="AM35" s="53" t="e">
        <f t="shared" si="32"/>
        <v>#N/A</v>
      </c>
      <c r="AN35" s="53" t="e">
        <f t="shared" si="32"/>
        <v>#N/A</v>
      </c>
      <c r="AO35" s="53" t="e">
        <f t="shared" si="32"/>
        <v>#N/A</v>
      </c>
      <c r="AP35" s="53" t="e">
        <f t="shared" si="32"/>
        <v>#N/A</v>
      </c>
      <c r="AQ35" s="53" t="e">
        <f t="shared" si="32"/>
        <v>#N/A</v>
      </c>
      <c r="AR35" s="53">
        <f t="shared" si="32"/>
        <v>7.1501117204956328</v>
      </c>
      <c r="AS35" s="53">
        <f t="shared" si="32"/>
        <v>80.845013203331305</v>
      </c>
      <c r="AT35" s="53" t="e">
        <f t="shared" si="32"/>
        <v>#N/A</v>
      </c>
      <c r="AU35" s="53" t="e">
        <f t="shared" si="32"/>
        <v>#N/A</v>
      </c>
      <c r="AV35" s="53">
        <f t="shared" si="32"/>
        <v>286.97948405443833</v>
      </c>
      <c r="AW35" s="53">
        <f t="shared" si="32"/>
        <v>19.90656104001625</v>
      </c>
      <c r="AX35" s="53">
        <f t="shared" si="32"/>
        <v>37.050578915295553</v>
      </c>
      <c r="AY35" s="53">
        <f t="shared" si="32"/>
        <v>24.781637213081453</v>
      </c>
      <c r="AZ35" s="54">
        <f t="shared" si="32"/>
        <v>16.737761527523869</v>
      </c>
      <c r="BA35" s="57">
        <f t="shared" si="32"/>
        <v>839.89437334958347</v>
      </c>
      <c r="BC35" s="88" t="str">
        <f t="shared" si="25"/>
        <v>Buckinghamshire</v>
      </c>
      <c r="BD35" s="191">
        <f t="shared" si="26"/>
        <v>7.2651639740737156E-2</v>
      </c>
      <c r="BE35" s="191">
        <f t="shared" si="27"/>
        <v>0.19841346618941666</v>
      </c>
      <c r="BF35" s="191">
        <f t="shared" si="28"/>
        <v>0.16523169198026508</v>
      </c>
      <c r="BG35" s="191">
        <f t="shared" si="29"/>
        <v>8.5131082519106123E-3</v>
      </c>
      <c r="BH35" s="191">
        <f t="shared" si="30"/>
        <v>9.6256167166489312E-2</v>
      </c>
      <c r="BI35" s="191">
        <f t="shared" ref="BI35:BM35" si="33">AV11/$BA11</f>
        <v>0.34168520847441231</v>
      </c>
      <c r="BJ35" s="191">
        <f t="shared" si="33"/>
        <v>2.3701267292251138E-2</v>
      </c>
      <c r="BK35" s="191">
        <f t="shared" si="33"/>
        <v>4.4113379123536807E-2</v>
      </c>
      <c r="BL35" s="191">
        <f t="shared" si="33"/>
        <v>2.9505659282190191E-2</v>
      </c>
      <c r="BM35" s="191">
        <f t="shared" si="33"/>
        <v>1.9928412498790751E-2</v>
      </c>
    </row>
    <row r="36" spans="1:65" s="88" customFormat="1" ht="11.25" hidden="1" customHeight="1" x14ac:dyDescent="0.2">
      <c r="A36" s="129"/>
      <c r="B36" s="130"/>
      <c r="C36" s="130"/>
      <c r="D36" s="130"/>
      <c r="E36" s="130"/>
      <c r="F36" s="130"/>
      <c r="G36" s="130"/>
      <c r="H36" s="130"/>
      <c r="I36" s="130"/>
      <c r="J36" s="130"/>
      <c r="K36" s="130"/>
      <c r="L36" s="130"/>
      <c r="M36" s="130"/>
      <c r="N36" s="130"/>
      <c r="O36" s="131"/>
      <c r="P36" s="130"/>
      <c r="Q36" s="130"/>
      <c r="R36" s="130"/>
      <c r="S36" s="130"/>
      <c r="T36" s="130"/>
      <c r="U36" s="130"/>
      <c r="V36" s="130"/>
      <c r="W36" s="130"/>
      <c r="X36" s="130"/>
      <c r="Y36" s="132"/>
      <c r="Z36" s="152"/>
      <c r="AB36" s="50" t="str">
        <f t="shared" si="21"/>
        <v>East Sussex</v>
      </c>
      <c r="AC36" s="49">
        <v>4</v>
      </c>
      <c r="AD36" s="50" t="str">
        <f t="shared" si="23"/>
        <v>East SussexRate per 10,000</v>
      </c>
      <c r="AE36" s="51" t="b">
        <f t="shared" si="5"/>
        <v>0</v>
      </c>
      <c r="AF36" s="52">
        <f t="shared" ref="AF36:BA36" si="34">IF(ISERROR(AF12/$BB12*10000),NA(),AF12/$BB12*10000)</f>
        <v>39.13432976566552</v>
      </c>
      <c r="AG36" s="53" t="e">
        <f t="shared" si="34"/>
        <v>#N/A</v>
      </c>
      <c r="AH36" s="53" t="e">
        <f t="shared" si="34"/>
        <v>#N/A</v>
      </c>
      <c r="AI36" s="53" t="e">
        <f t="shared" si="34"/>
        <v>#N/A</v>
      </c>
      <c r="AJ36" s="53">
        <f t="shared" si="34"/>
        <v>77.702861992550325</v>
      </c>
      <c r="AK36" s="53">
        <f t="shared" si="34"/>
        <v>6.3180725163845537</v>
      </c>
      <c r="AL36" s="53">
        <f t="shared" si="34"/>
        <v>41.963317459569048</v>
      </c>
      <c r="AM36" s="53" t="e">
        <f t="shared" si="34"/>
        <v>#N/A</v>
      </c>
      <c r="AN36" s="53" t="e">
        <f t="shared" si="34"/>
        <v>#N/A</v>
      </c>
      <c r="AO36" s="53" t="e">
        <f t="shared" si="34"/>
        <v>#N/A</v>
      </c>
      <c r="AP36" s="53" t="e">
        <f t="shared" si="34"/>
        <v>#N/A</v>
      </c>
      <c r="AQ36" s="53" t="e">
        <f t="shared" si="34"/>
        <v>#N/A</v>
      </c>
      <c r="AR36" s="53">
        <f t="shared" si="34"/>
        <v>3.7719835918713751</v>
      </c>
      <c r="AS36" s="53">
        <f t="shared" si="34"/>
        <v>72.704983733320759</v>
      </c>
      <c r="AT36" s="53" t="e">
        <f t="shared" si="34"/>
        <v>#N/A</v>
      </c>
      <c r="AU36" s="53" t="e">
        <f t="shared" si="34"/>
        <v>#N/A</v>
      </c>
      <c r="AV36" s="53">
        <f t="shared" si="34"/>
        <v>112.31081144797021</v>
      </c>
      <c r="AW36" s="53">
        <f t="shared" si="34"/>
        <v>16.3138290348437</v>
      </c>
      <c r="AX36" s="53">
        <f t="shared" si="34"/>
        <v>32.344759300297042</v>
      </c>
      <c r="AY36" s="53">
        <f t="shared" si="34"/>
        <v>7.1667688245556125</v>
      </c>
      <c r="AZ36" s="54">
        <f t="shared" si="34"/>
        <v>2.0745909755292566</v>
      </c>
      <c r="BA36" s="57">
        <f t="shared" si="34"/>
        <v>411.80630864255738</v>
      </c>
      <c r="BC36" s="88" t="str">
        <f t="shared" si="25"/>
        <v>East Sussex</v>
      </c>
      <c r="BD36" s="191">
        <f t="shared" si="26"/>
        <v>9.5030913670712161E-2</v>
      </c>
      <c r="BE36" s="191">
        <f t="shared" si="27"/>
        <v>0.20403022670025189</v>
      </c>
      <c r="BF36" s="191">
        <f t="shared" si="28"/>
        <v>0.10190061827341425</v>
      </c>
      <c r="BG36" s="191">
        <f t="shared" si="29"/>
        <v>9.1596061369361124E-3</v>
      </c>
      <c r="BH36" s="191">
        <f t="shared" si="30"/>
        <v>0.17655140828944355</v>
      </c>
      <c r="BI36" s="191">
        <f t="shared" ref="BI36:BM36" si="35">AV12/$BA12</f>
        <v>0.27272727272727271</v>
      </c>
      <c r="BJ36" s="191">
        <f t="shared" si="35"/>
        <v>3.9615296542248685E-2</v>
      </c>
      <c r="BK36" s="191">
        <f t="shared" si="35"/>
        <v>7.8543622624227163E-2</v>
      </c>
      <c r="BL36" s="191">
        <f t="shared" si="35"/>
        <v>1.7403251660178611E-2</v>
      </c>
      <c r="BM36" s="191">
        <f t="shared" si="35"/>
        <v>5.0377833753148613E-3</v>
      </c>
    </row>
    <row r="37" spans="1:65" s="88" customFormat="1" ht="17.25" hidden="1" customHeight="1" x14ac:dyDescent="0.2">
      <c r="A37" s="512"/>
      <c r="B37" s="833" t="str">
        <f>V5&amp;" of Referrals from each Source "&amp;Frontpage!J5</f>
        <v>Proportion (%) of Referrals from each Source 2017-18</v>
      </c>
      <c r="C37" s="722"/>
      <c r="D37" s="722"/>
      <c r="E37" s="722"/>
      <c r="F37" s="722"/>
      <c r="G37" s="722"/>
      <c r="H37" s="722"/>
      <c r="I37" s="722"/>
      <c r="J37" s="722"/>
      <c r="K37" s="722"/>
      <c r="L37" s="722"/>
      <c r="M37" s="63"/>
      <c r="N37" s="70"/>
      <c r="O37" s="70"/>
      <c r="P37" s="70"/>
      <c r="Q37" s="70"/>
      <c r="R37" s="70"/>
      <c r="S37" s="70"/>
      <c r="T37" s="70"/>
      <c r="U37" s="70"/>
      <c r="V37" s="70"/>
      <c r="W37" s="70"/>
      <c r="X37" s="70"/>
      <c r="Y37" s="137"/>
      <c r="Z37" s="152"/>
      <c r="AB37" s="50" t="str">
        <f t="shared" si="21"/>
        <v>Hampshire</v>
      </c>
      <c r="AC37" s="49">
        <v>5</v>
      </c>
      <c r="AD37" s="50" t="str">
        <f t="shared" si="23"/>
        <v>HampshireRate per 10,000</v>
      </c>
      <c r="AE37" s="51" t="b">
        <f t="shared" si="5"/>
        <v>0</v>
      </c>
      <c r="AF37" s="52">
        <f t="shared" ref="AF37:BA37" si="36">IF(ISERROR(AF13/$BB13*10000),NA(),AF13/$BB13*10000)</f>
        <v>64.839718474907698</v>
      </c>
      <c r="AG37" s="53" t="e">
        <f t="shared" si="36"/>
        <v>#N/A</v>
      </c>
      <c r="AH37" s="53" t="e">
        <f t="shared" si="36"/>
        <v>#N/A</v>
      </c>
      <c r="AI37" s="53" t="e">
        <f t="shared" si="36"/>
        <v>#N/A</v>
      </c>
      <c r="AJ37" s="53">
        <f t="shared" si="36"/>
        <v>133.13849650917356</v>
      </c>
      <c r="AK37" s="53">
        <f t="shared" si="36"/>
        <v>0</v>
      </c>
      <c r="AL37" s="53">
        <f t="shared" si="36"/>
        <v>76.487572093154597</v>
      </c>
      <c r="AM37" s="53" t="e">
        <f t="shared" si="36"/>
        <v>#N/A</v>
      </c>
      <c r="AN37" s="53" t="e">
        <f t="shared" si="36"/>
        <v>#N/A</v>
      </c>
      <c r="AO37" s="53" t="e">
        <f t="shared" si="36"/>
        <v>#N/A</v>
      </c>
      <c r="AP37" s="53" t="e">
        <f t="shared" si="36"/>
        <v>#N/A</v>
      </c>
      <c r="AQ37" s="53" t="e">
        <f t="shared" si="36"/>
        <v>#N/A</v>
      </c>
      <c r="AR37" s="53">
        <f t="shared" si="36"/>
        <v>6.0004094397029446</v>
      </c>
      <c r="AS37" s="53">
        <f t="shared" si="36"/>
        <v>56.756813994366674</v>
      </c>
      <c r="AT37" s="53" t="e">
        <f t="shared" si="36"/>
        <v>#N/A</v>
      </c>
      <c r="AU37" s="53" t="e">
        <f t="shared" si="36"/>
        <v>#N/A</v>
      </c>
      <c r="AV37" s="53">
        <f t="shared" si="36"/>
        <v>148.17481663454683</v>
      </c>
      <c r="AW37" s="53">
        <f t="shared" si="36"/>
        <v>13.447976450157775</v>
      </c>
      <c r="AX37" s="53">
        <f t="shared" si="36"/>
        <v>40.908673768327724</v>
      </c>
      <c r="AY37" s="53">
        <f t="shared" si="36"/>
        <v>13.059714662882879</v>
      </c>
      <c r="AZ37" s="54">
        <f t="shared" si="36"/>
        <v>15.989326330502552</v>
      </c>
      <c r="BA37" s="57">
        <f t="shared" si="36"/>
        <v>568.80351835772319</v>
      </c>
      <c r="BC37" s="88" t="str">
        <f t="shared" si="25"/>
        <v>Hampshire</v>
      </c>
      <c r="BD37" s="191">
        <f t="shared" si="26"/>
        <v>0.11399317406143344</v>
      </c>
      <c r="BE37" s="191">
        <f t="shared" si="27"/>
        <v>0.23406763884579584</v>
      </c>
      <c r="BF37" s="191">
        <f t="shared" si="28"/>
        <v>0.13447098976109215</v>
      </c>
      <c r="BG37" s="191">
        <f t="shared" si="29"/>
        <v>1.0549177784672665E-2</v>
      </c>
      <c r="BH37" s="191">
        <f t="shared" si="30"/>
        <v>9.9782811045609682E-2</v>
      </c>
      <c r="BI37" s="191">
        <f t="shared" ref="BI37:BM37" si="37">AV13/$BA13</f>
        <v>0.26050263729444617</v>
      </c>
      <c r="BJ37" s="191">
        <f t="shared" si="37"/>
        <v>2.3642569035060502E-2</v>
      </c>
      <c r="BK37" s="191">
        <f t="shared" si="37"/>
        <v>7.1920570896680108E-2</v>
      </c>
      <c r="BL37" s="191">
        <f t="shared" si="37"/>
        <v>2.2959975178405211E-2</v>
      </c>
      <c r="BM37" s="191">
        <f t="shared" si="37"/>
        <v>2.811045609680422E-2</v>
      </c>
    </row>
    <row r="38" spans="1:65" s="88" customFormat="1" ht="13.5" hidden="1" customHeight="1" x14ac:dyDescent="0.2">
      <c r="A38" s="309"/>
      <c r="B38" s="724" t="s">
        <v>113</v>
      </c>
      <c r="C38" s="722"/>
      <c r="D38" s="722"/>
      <c r="E38" s="722"/>
      <c r="F38" s="722"/>
      <c r="G38" s="722"/>
      <c r="H38" s="722"/>
      <c r="I38" s="722"/>
      <c r="J38" s="722"/>
      <c r="K38" s="722"/>
      <c r="L38" s="722"/>
      <c r="M38" s="70"/>
      <c r="N38" s="70"/>
      <c r="O38" s="70"/>
      <c r="P38" s="70"/>
      <c r="Q38" s="70"/>
      <c r="R38" s="70"/>
      <c r="S38" s="70"/>
      <c r="T38" s="70"/>
      <c r="U38" s="70"/>
      <c r="V38" s="58"/>
      <c r="W38" s="70"/>
      <c r="X38" s="70"/>
      <c r="Y38" s="134"/>
      <c r="Z38" s="152"/>
      <c r="AB38" s="50" t="str">
        <f t="shared" si="21"/>
        <v>Isle of Wight</v>
      </c>
      <c r="AC38" s="49">
        <v>6</v>
      </c>
      <c r="AD38" s="50" t="str">
        <f t="shared" si="23"/>
        <v>Isle of WightRate per 10,000</v>
      </c>
      <c r="AE38" s="51" t="b">
        <f t="shared" si="5"/>
        <v>0</v>
      </c>
      <c r="AF38" s="52">
        <f t="shared" ref="AF38:BA38" si="38">IF(ISERROR(AF14/$BB14*10000),NA(),AF14/$BB14*10000)</f>
        <v>85.811215326282181</v>
      </c>
      <c r="AG38" s="53" t="e">
        <f t="shared" si="38"/>
        <v>#N/A</v>
      </c>
      <c r="AH38" s="53" t="e">
        <f t="shared" si="38"/>
        <v>#N/A</v>
      </c>
      <c r="AI38" s="53" t="e">
        <f t="shared" si="38"/>
        <v>#N/A</v>
      </c>
      <c r="AJ38" s="53">
        <f t="shared" si="38"/>
        <v>266.21432847734985</v>
      </c>
      <c r="AK38" s="53">
        <f t="shared" si="38"/>
        <v>0</v>
      </c>
      <c r="AL38" s="53">
        <f t="shared" si="38"/>
        <v>112.95150668529236</v>
      </c>
      <c r="AM38" s="53" t="e">
        <f t="shared" si="38"/>
        <v>#N/A</v>
      </c>
      <c r="AN38" s="53" t="e">
        <f t="shared" si="38"/>
        <v>#N/A</v>
      </c>
      <c r="AO38" s="53" t="e">
        <f t="shared" si="38"/>
        <v>#N/A</v>
      </c>
      <c r="AP38" s="53" t="e">
        <f t="shared" si="38"/>
        <v>#N/A</v>
      </c>
      <c r="AQ38" s="53" t="e">
        <f t="shared" si="38"/>
        <v>#N/A</v>
      </c>
      <c r="AR38" s="53">
        <f t="shared" si="38"/>
        <v>13.171023747754939</v>
      </c>
      <c r="AS38" s="53">
        <f t="shared" si="38"/>
        <v>105.76731191378965</v>
      </c>
      <c r="AT38" s="53" t="e">
        <f t="shared" si="38"/>
        <v>#N/A</v>
      </c>
      <c r="AU38" s="53" t="e">
        <f t="shared" si="38"/>
        <v>#N/A</v>
      </c>
      <c r="AV38" s="53">
        <f t="shared" si="38"/>
        <v>190.78028337657153</v>
      </c>
      <c r="AW38" s="53">
        <f t="shared" si="38"/>
        <v>15.565755338255837</v>
      </c>
      <c r="AX38" s="53">
        <f t="shared" si="38"/>
        <v>67.451606465775299</v>
      </c>
      <c r="AY38" s="53">
        <f t="shared" si="38"/>
        <v>0</v>
      </c>
      <c r="AZ38" s="54">
        <f t="shared" si="38"/>
        <v>25.144681700259426</v>
      </c>
      <c r="BA38" s="57">
        <f t="shared" si="38"/>
        <v>882.85771303133106</v>
      </c>
      <c r="BC38" s="88" t="str">
        <f t="shared" si="25"/>
        <v>Isle of Wight</v>
      </c>
      <c r="BD38" s="191">
        <f t="shared" si="26"/>
        <v>9.7197106690777579E-2</v>
      </c>
      <c r="BE38" s="191">
        <f t="shared" si="27"/>
        <v>0.30153707052441231</v>
      </c>
      <c r="BF38" s="191">
        <f t="shared" si="28"/>
        <v>0.12793851717902352</v>
      </c>
      <c r="BG38" s="191">
        <f t="shared" si="29"/>
        <v>1.4918625678119348E-2</v>
      </c>
      <c r="BH38" s="191">
        <f t="shared" si="30"/>
        <v>0.11980108499095841</v>
      </c>
      <c r="BI38" s="191">
        <f t="shared" ref="BI38:BM38" si="39">AV14/$BA14</f>
        <v>0.21609403254972875</v>
      </c>
      <c r="BJ38" s="191">
        <f t="shared" si="39"/>
        <v>1.763110307414105E-2</v>
      </c>
      <c r="BK38" s="191">
        <f t="shared" si="39"/>
        <v>7.640144665461121E-2</v>
      </c>
      <c r="BL38" s="191">
        <f t="shared" si="39"/>
        <v>0</v>
      </c>
      <c r="BM38" s="191">
        <f t="shared" si="39"/>
        <v>2.8481012658227847E-2</v>
      </c>
    </row>
    <row r="39" spans="1:65" s="88" customFormat="1" ht="13.5" customHeight="1" x14ac:dyDescent="0.2">
      <c r="A39" s="309"/>
      <c r="B39" s="1050" t="s">
        <v>215</v>
      </c>
      <c r="C39" s="9"/>
      <c r="D39" s="982">
        <v>1</v>
      </c>
      <c r="E39" s="1065"/>
      <c r="F39" s="982">
        <v>2</v>
      </c>
      <c r="G39" s="1065"/>
      <c r="H39" s="982">
        <v>3</v>
      </c>
      <c r="I39" s="1065"/>
      <c r="J39" s="982">
        <v>4</v>
      </c>
      <c r="K39" s="1065"/>
      <c r="L39" s="982">
        <v>5</v>
      </c>
      <c r="M39" s="1065"/>
      <c r="N39" s="982">
        <v>6</v>
      </c>
      <c r="O39" s="1065"/>
      <c r="P39" s="982">
        <v>7</v>
      </c>
      <c r="Q39" s="1065"/>
      <c r="R39" s="982">
        <v>8</v>
      </c>
      <c r="S39" s="1065"/>
      <c r="T39" s="982">
        <v>9</v>
      </c>
      <c r="U39" s="1065"/>
      <c r="V39" s="982">
        <v>10</v>
      </c>
      <c r="W39" s="1079"/>
      <c r="X39" s="9"/>
      <c r="Y39" s="134"/>
      <c r="Z39" s="152"/>
      <c r="AB39" s="50" t="str">
        <f t="shared" si="21"/>
        <v>Kent</v>
      </c>
      <c r="AC39" s="49">
        <v>7</v>
      </c>
      <c r="AD39" s="50" t="str">
        <f t="shared" si="23"/>
        <v>KentRate per 10,000</v>
      </c>
      <c r="AE39" s="51" t="b">
        <f t="shared" si="5"/>
        <v>0</v>
      </c>
      <c r="AF39" s="52">
        <f t="shared" ref="AF39:BA39" si="40">IF(ISERROR(AF15/$BB15*10000),NA(),AF15/$BB15*10000)</f>
        <v>64.506530988723256</v>
      </c>
      <c r="AG39" s="53" t="e">
        <f t="shared" si="40"/>
        <v>#N/A</v>
      </c>
      <c r="AH39" s="53" t="e">
        <f t="shared" si="40"/>
        <v>#N/A</v>
      </c>
      <c r="AI39" s="53" t="e">
        <f t="shared" si="40"/>
        <v>#N/A</v>
      </c>
      <c r="AJ39" s="53">
        <f t="shared" si="40"/>
        <v>94.379481686453047</v>
      </c>
      <c r="AK39" s="53">
        <f t="shared" si="40"/>
        <v>3.9572733494004582</v>
      </c>
      <c r="AL39" s="53">
        <f t="shared" si="40"/>
        <v>70.665595525008186</v>
      </c>
      <c r="AM39" s="53" t="e">
        <f t="shared" si="40"/>
        <v>#N/A</v>
      </c>
      <c r="AN39" s="53" t="e">
        <f t="shared" si="40"/>
        <v>#N/A</v>
      </c>
      <c r="AO39" s="53" t="e">
        <f t="shared" si="40"/>
        <v>#N/A</v>
      </c>
      <c r="AP39" s="53" t="e">
        <f t="shared" si="40"/>
        <v>#N/A</v>
      </c>
      <c r="AQ39" s="53" t="e">
        <f t="shared" si="40"/>
        <v>#N/A</v>
      </c>
      <c r="AR39" s="53">
        <f t="shared" si="40"/>
        <v>12.080097592906663</v>
      </c>
      <c r="AS39" s="53">
        <f t="shared" si="40"/>
        <v>65.399149037460205</v>
      </c>
      <c r="AT39" s="53" t="e">
        <f t="shared" si="40"/>
        <v>#N/A</v>
      </c>
      <c r="AU39" s="53" t="e">
        <f t="shared" si="40"/>
        <v>#N/A</v>
      </c>
      <c r="AV39" s="53">
        <f t="shared" si="40"/>
        <v>198.60751584397036</v>
      </c>
      <c r="AW39" s="53">
        <f t="shared" si="40"/>
        <v>21.393079234728795</v>
      </c>
      <c r="AX39" s="53">
        <f t="shared" si="40"/>
        <v>31.24163170579309</v>
      </c>
      <c r="AY39" s="53">
        <f t="shared" si="40"/>
        <v>12.288375137611949</v>
      </c>
      <c r="AZ39" s="54">
        <f t="shared" si="40"/>
        <v>1.9042518373054835</v>
      </c>
      <c r="BA39" s="57">
        <f t="shared" si="40"/>
        <v>576.42298193936142</v>
      </c>
      <c r="BC39" s="88" t="str">
        <f t="shared" si="25"/>
        <v>Kent</v>
      </c>
      <c r="BD39" s="191">
        <f t="shared" si="26"/>
        <v>0.11190832602075053</v>
      </c>
      <c r="BE39" s="191">
        <f t="shared" si="27"/>
        <v>0.17059825530377329</v>
      </c>
      <c r="BF39" s="191">
        <f t="shared" si="28"/>
        <v>0.12259329995354359</v>
      </c>
      <c r="BG39" s="191">
        <f t="shared" si="29"/>
        <v>2.0957002013111032E-2</v>
      </c>
      <c r="BH39" s="191">
        <f t="shared" si="30"/>
        <v>0.11345687296753214</v>
      </c>
      <c r="BI39" s="191">
        <f t="shared" ref="BI39:BM39" si="41">AV15/$BA15</f>
        <v>0.3445516956589067</v>
      </c>
      <c r="BJ39" s="191">
        <f t="shared" si="41"/>
        <v>3.7113508491199092E-2</v>
      </c>
      <c r="BK39" s="191">
        <f t="shared" si="41"/>
        <v>5.4199143137356111E-2</v>
      </c>
      <c r="BL39" s="191">
        <f t="shared" si="41"/>
        <v>2.1318329634026738E-2</v>
      </c>
      <c r="BM39" s="191">
        <f t="shared" si="41"/>
        <v>3.3035668198007537E-3</v>
      </c>
    </row>
    <row r="40" spans="1:65" s="88" customFormat="1" ht="25.5" customHeight="1" x14ac:dyDescent="0.25">
      <c r="A40" s="513"/>
      <c r="B40" s="1080"/>
      <c r="D40" s="1076" t="s">
        <v>94</v>
      </c>
      <c r="E40" s="1078"/>
      <c r="F40" s="1076" t="s">
        <v>38</v>
      </c>
      <c r="G40" s="1078"/>
      <c r="H40" s="1076" t="s">
        <v>108</v>
      </c>
      <c r="I40" s="1078"/>
      <c r="J40" s="1076" t="s">
        <v>46</v>
      </c>
      <c r="K40" s="1078"/>
      <c r="L40" s="1076" t="s">
        <v>109</v>
      </c>
      <c r="M40" s="1078"/>
      <c r="N40" s="1076" t="s">
        <v>24</v>
      </c>
      <c r="O40" s="1078"/>
      <c r="P40" s="1076" t="s">
        <v>67</v>
      </c>
      <c r="Q40" s="1078"/>
      <c r="R40" s="1076" t="s">
        <v>66</v>
      </c>
      <c r="S40" s="1078"/>
      <c r="T40" s="1076" t="s">
        <v>64</v>
      </c>
      <c r="U40" s="1078"/>
      <c r="V40" s="1076" t="s">
        <v>65</v>
      </c>
      <c r="W40" s="1077"/>
      <c r="X40" s="9"/>
      <c r="Y40" s="134"/>
      <c r="Z40" s="152"/>
      <c r="AB40" s="50" t="str">
        <f t="shared" si="21"/>
        <v>Medway</v>
      </c>
      <c r="AC40" s="49">
        <v>8</v>
      </c>
      <c r="AD40" s="50" t="str">
        <f t="shared" si="23"/>
        <v>MedwayRate per 10,000</v>
      </c>
      <c r="AE40" s="51" t="b">
        <f t="shared" si="5"/>
        <v>0</v>
      </c>
      <c r="AF40" s="52">
        <f t="shared" ref="AF40:BA40" si="42">IF(ISERROR(AF16/$BB16*10000),NA(),AF16/$BB16*10000)</f>
        <v>38.628153198942805</v>
      </c>
      <c r="AG40" s="53" t="e">
        <f t="shared" si="42"/>
        <v>#N/A</v>
      </c>
      <c r="AH40" s="53" t="e">
        <f t="shared" si="42"/>
        <v>#N/A</v>
      </c>
      <c r="AI40" s="53" t="e">
        <f t="shared" si="42"/>
        <v>#N/A</v>
      </c>
      <c r="AJ40" s="53">
        <f t="shared" si="42"/>
        <v>81.166038503041776</v>
      </c>
      <c r="AK40" s="53">
        <f t="shared" si="42"/>
        <v>5.4736249472186174</v>
      </c>
      <c r="AL40" s="53">
        <f t="shared" si="42"/>
        <v>49.419013809173798</v>
      </c>
      <c r="AM40" s="53" t="e">
        <f t="shared" si="42"/>
        <v>#N/A</v>
      </c>
      <c r="AN40" s="53" t="e">
        <f t="shared" si="42"/>
        <v>#N/A</v>
      </c>
      <c r="AO40" s="53" t="e">
        <f t="shared" si="42"/>
        <v>#N/A</v>
      </c>
      <c r="AP40" s="53" t="e">
        <f t="shared" si="42"/>
        <v>#N/A</v>
      </c>
      <c r="AQ40" s="53" t="e">
        <f t="shared" si="42"/>
        <v>#N/A</v>
      </c>
      <c r="AR40" s="53">
        <f t="shared" si="42"/>
        <v>10.008914189199755</v>
      </c>
      <c r="AS40" s="53">
        <f t="shared" si="42"/>
        <v>54.579860187979918</v>
      </c>
      <c r="AT40" s="53" t="e">
        <f t="shared" si="42"/>
        <v>#N/A</v>
      </c>
      <c r="AU40" s="53" t="e">
        <f t="shared" si="42"/>
        <v>#N/A</v>
      </c>
      <c r="AV40" s="53">
        <f t="shared" si="42"/>
        <v>127.77004519650313</v>
      </c>
      <c r="AW40" s="53">
        <f t="shared" si="42"/>
        <v>11.885585599674711</v>
      </c>
      <c r="AX40" s="53">
        <f t="shared" si="42"/>
        <v>12.667532020705941</v>
      </c>
      <c r="AY40" s="53">
        <f t="shared" si="42"/>
        <v>12.980310589118433</v>
      </c>
      <c r="AZ40" s="54">
        <f t="shared" si="42"/>
        <v>3.9097321051561549</v>
      </c>
      <c r="BA40" s="57">
        <f t="shared" si="42"/>
        <v>408.48881034671507</v>
      </c>
      <c r="BC40" s="88" t="str">
        <f t="shared" si="25"/>
        <v>Medway</v>
      </c>
      <c r="BD40" s="191">
        <f t="shared" si="26"/>
        <v>9.4563552833078102E-2</v>
      </c>
      <c r="BE40" s="191">
        <f t="shared" si="27"/>
        <v>0.21209800918836141</v>
      </c>
      <c r="BF40" s="191">
        <f t="shared" si="28"/>
        <v>0.12098009188361408</v>
      </c>
      <c r="BG40" s="191">
        <f t="shared" si="29"/>
        <v>2.4502297090352222E-2</v>
      </c>
      <c r="BH40" s="191">
        <f t="shared" si="30"/>
        <v>0.13361408882082695</v>
      </c>
      <c r="BI40" s="191">
        <f t="shared" ref="BI40:BM40" si="43">AV16/$BA16</f>
        <v>0.31278713629402755</v>
      </c>
      <c r="BJ40" s="191">
        <f t="shared" si="43"/>
        <v>2.9096477794793262E-2</v>
      </c>
      <c r="BK40" s="191">
        <f t="shared" si="43"/>
        <v>3.1010719754977028E-2</v>
      </c>
      <c r="BL40" s="191">
        <f t="shared" si="43"/>
        <v>3.1776416539050535E-2</v>
      </c>
      <c r="BM40" s="191">
        <f t="shared" si="43"/>
        <v>9.5712098009188354E-3</v>
      </c>
    </row>
    <row r="41" spans="1:65" ht="13.5" customHeight="1" x14ac:dyDescent="0.2">
      <c r="A41" s="533">
        <f>VLOOKUP(B41,Sheet1!$B$4:$C$25,2,FALSE)</f>
        <v>0</v>
      </c>
      <c r="B41" s="195" t="str">
        <f>B9</f>
        <v>Bracknell Forest</v>
      </c>
      <c r="C41" s="73"/>
      <c r="D41" s="1061">
        <f t="shared" ref="D41" si="44">SUM(D9:G9)</f>
        <v>6.4321055525013744</v>
      </c>
      <c r="E41" s="1062"/>
      <c r="F41" s="1061">
        <f t="shared" ref="F41" si="45">SUM(H9:I9)</f>
        <v>29.466739967014846</v>
      </c>
      <c r="G41" s="1062"/>
      <c r="H41" s="1061">
        <f t="shared" ref="H41" si="46">SUM(J9:O9)</f>
        <v>7.4766355140186906</v>
      </c>
      <c r="I41" s="1062"/>
      <c r="J41" s="1061">
        <f t="shared" ref="J41" si="47">P9</f>
        <v>1.3194062671797691</v>
      </c>
      <c r="K41" s="1062"/>
      <c r="L41" s="1061">
        <f t="shared" ref="L41" si="48">SUM(Q9:S9)</f>
        <v>20.450797141286419</v>
      </c>
      <c r="M41" s="1062"/>
      <c r="N41" s="1061">
        <f t="shared" ref="N41" si="49">T9</f>
        <v>22.649807586586039</v>
      </c>
      <c r="O41" s="1062"/>
      <c r="P41" s="1061">
        <f t="shared" ref="P41" si="50">U9</f>
        <v>1.4293567894447499</v>
      </c>
      <c r="Q41" s="1062"/>
      <c r="R41" s="1061">
        <f t="shared" ref="R41" si="51">V9</f>
        <v>7.4216602528862019</v>
      </c>
      <c r="S41" s="1062"/>
      <c r="T41" s="1061">
        <f t="shared" ref="T41" si="52">W9</f>
        <v>3.0236393622869708</v>
      </c>
      <c r="U41" s="1062"/>
      <c r="V41" s="1061">
        <f t="shared" ref="V41" si="53">X9</f>
        <v>0.32985156679494226</v>
      </c>
      <c r="W41" s="1063"/>
      <c r="X41" s="9"/>
      <c r="Y41" s="134"/>
      <c r="Z41" s="152"/>
      <c r="AA41" s="80"/>
      <c r="AB41" s="50" t="str">
        <f t="shared" si="21"/>
        <v>Milton Keynes</v>
      </c>
      <c r="AC41" s="49">
        <v>9</v>
      </c>
      <c r="AD41" s="50" t="str">
        <f t="shared" si="23"/>
        <v>Milton KeynesRate per 10,000</v>
      </c>
      <c r="AE41" s="51" t="b">
        <f t="shared" si="5"/>
        <v>0</v>
      </c>
      <c r="AF41" s="52">
        <f t="shared" ref="AF41:BA41" si="54">IF(ISERROR(AF17/$BB17*10000),NA(),AF17/$BB17*10000)</f>
        <v>31.634810117226191</v>
      </c>
      <c r="AG41" s="53" t="e">
        <f t="shared" si="54"/>
        <v>#N/A</v>
      </c>
      <c r="AH41" s="53" t="e">
        <f t="shared" si="54"/>
        <v>#N/A</v>
      </c>
      <c r="AI41" s="53" t="e">
        <f t="shared" si="54"/>
        <v>#N/A</v>
      </c>
      <c r="AJ41" s="53">
        <f t="shared" si="54"/>
        <v>65.191361035966125</v>
      </c>
      <c r="AK41" s="53">
        <f t="shared" si="54"/>
        <v>3.9913078185285378</v>
      </c>
      <c r="AL41" s="53">
        <f t="shared" si="54"/>
        <v>44.052212219314974</v>
      </c>
      <c r="AM41" s="53" t="e">
        <f t="shared" si="54"/>
        <v>#N/A</v>
      </c>
      <c r="AN41" s="53" t="e">
        <f t="shared" si="54"/>
        <v>#N/A</v>
      </c>
      <c r="AO41" s="53" t="e">
        <f t="shared" si="54"/>
        <v>#N/A</v>
      </c>
      <c r="AP41" s="53" t="e">
        <f t="shared" si="54"/>
        <v>#N/A</v>
      </c>
      <c r="AQ41" s="53" t="e">
        <f t="shared" si="54"/>
        <v>#N/A</v>
      </c>
      <c r="AR41" s="53" t="e">
        <f t="shared" si="54"/>
        <v>#N/A</v>
      </c>
      <c r="AS41" s="53">
        <f t="shared" si="54"/>
        <v>60.01744349342912</v>
      </c>
      <c r="AT41" s="53" t="e">
        <f t="shared" si="54"/>
        <v>#N/A</v>
      </c>
      <c r="AU41" s="53" t="e">
        <f t="shared" si="54"/>
        <v>#N/A</v>
      </c>
      <c r="AV41" s="53">
        <f t="shared" si="54"/>
        <v>98.45225952370393</v>
      </c>
      <c r="AW41" s="53">
        <f t="shared" si="54"/>
        <v>20.843496385649033</v>
      </c>
      <c r="AX41" s="53">
        <f t="shared" si="54"/>
        <v>14.043490472600412</v>
      </c>
      <c r="AY41" s="53">
        <f t="shared" si="54"/>
        <v>7.0956583440507339</v>
      </c>
      <c r="AZ41" s="54" t="e">
        <f t="shared" si="54"/>
        <v>#N/A</v>
      </c>
      <c r="BA41" s="57">
        <f t="shared" si="54"/>
        <v>345.32203941046902</v>
      </c>
      <c r="BC41" s="88" t="str">
        <f t="shared" si="25"/>
        <v>Milton Keynes</v>
      </c>
      <c r="BD41" s="191">
        <f t="shared" si="26"/>
        <v>9.1609589041095896E-2</v>
      </c>
      <c r="BE41" s="191">
        <f t="shared" si="27"/>
        <v>0.20034246575342465</v>
      </c>
      <c r="BF41" s="191">
        <f t="shared" si="28"/>
        <v>0.12756849315068494</v>
      </c>
      <c r="BG41" s="191" t="e">
        <f t="shared" si="29"/>
        <v>#VALUE!</v>
      </c>
      <c r="BH41" s="191">
        <f t="shared" si="30"/>
        <v>0.1738013698630137</v>
      </c>
      <c r="BI41" s="191">
        <f t="shared" ref="BI41:BM41" si="55">AV17/$BA17</f>
        <v>0.2851027397260274</v>
      </c>
      <c r="BJ41" s="191">
        <f t="shared" si="55"/>
        <v>6.0359589041095889E-2</v>
      </c>
      <c r="BK41" s="191">
        <f t="shared" si="55"/>
        <v>4.0667808219178085E-2</v>
      </c>
      <c r="BL41" s="191">
        <f t="shared" si="55"/>
        <v>2.0547945205479451E-2</v>
      </c>
      <c r="BM41" s="191" t="e">
        <f t="shared" si="55"/>
        <v>#VALUE!</v>
      </c>
    </row>
    <row r="42" spans="1:65" ht="13.5" customHeight="1" x14ac:dyDescent="0.2">
      <c r="A42" s="533">
        <f>VLOOKUP(B42,Sheet1!$B$4:$C$25,2,FALSE)</f>
        <v>0</v>
      </c>
      <c r="B42" s="195" t="str">
        <f t="shared" ref="B42:B62" si="56">B10</f>
        <v>Brighton &amp; Hove</v>
      </c>
      <c r="C42" s="9"/>
      <c r="D42" s="1061">
        <f t="shared" ref="D42" si="57">SUM(D10:G10)</f>
        <v>4.6351674641148328</v>
      </c>
      <c r="E42" s="1062"/>
      <c r="F42" s="1061">
        <f t="shared" ref="F42" si="58">SUM(H10:I10)</f>
        <v>18.600478468899521</v>
      </c>
      <c r="G42" s="1062"/>
      <c r="H42" s="1061">
        <f t="shared" ref="H42" si="59">SUM(J10:O10)</f>
        <v>11.064593301435407</v>
      </c>
      <c r="I42" s="1062"/>
      <c r="J42" s="1061">
        <f t="shared" ref="J42" si="60">P10</f>
        <v>1.6447368421052631</v>
      </c>
      <c r="K42" s="1062"/>
      <c r="L42" s="1061">
        <f t="shared" ref="L42" si="61">SUM(Q10:S10)</f>
        <v>15.879186602870812</v>
      </c>
      <c r="M42" s="1062"/>
      <c r="N42" s="1061">
        <f t="shared" ref="N42" si="62">T10</f>
        <v>25.807416267942585</v>
      </c>
      <c r="O42" s="1062"/>
      <c r="P42" s="1061">
        <f t="shared" ref="P42" si="63">U10</f>
        <v>2.4820574162679425</v>
      </c>
      <c r="Q42" s="1062"/>
      <c r="R42" s="1061">
        <f t="shared" ref="R42" si="64">V10</f>
        <v>4.5753588516746415</v>
      </c>
      <c r="S42" s="1062"/>
      <c r="T42" s="1061">
        <f t="shared" ref="T42" si="65">W10</f>
        <v>1.2559808612440191</v>
      </c>
      <c r="U42" s="1062"/>
      <c r="V42" s="1061">
        <f t="shared" ref="V42" si="66">X10</f>
        <v>14.055023923444976</v>
      </c>
      <c r="W42" s="1063"/>
      <c r="X42" s="9"/>
      <c r="Y42" s="134"/>
      <c r="Z42" s="152"/>
      <c r="AA42" s="80"/>
      <c r="AB42" s="50" t="str">
        <f t="shared" si="21"/>
        <v>Oxfordshire</v>
      </c>
      <c r="AC42" s="49">
        <v>10</v>
      </c>
      <c r="AD42" s="50" t="str">
        <f t="shared" si="23"/>
        <v>OxfordshireRate per 10,000</v>
      </c>
      <c r="AE42" s="51" t="b">
        <f t="shared" si="5"/>
        <v>0</v>
      </c>
      <c r="AF42" s="52">
        <f t="shared" ref="AF42:BA42" si="67">IF(ISERROR(AF18/$BB18*10000),NA(),AF18/$BB18*10000)</f>
        <v>26.700315105546412</v>
      </c>
      <c r="AG42" s="53" t="e">
        <f t="shared" si="67"/>
        <v>#N/A</v>
      </c>
      <c r="AH42" s="53" t="e">
        <f t="shared" si="67"/>
        <v>#N/A</v>
      </c>
      <c r="AI42" s="53" t="e">
        <f t="shared" si="67"/>
        <v>#N/A</v>
      </c>
      <c r="AJ42" s="53">
        <f t="shared" si="67"/>
        <v>60.023423775131761</v>
      </c>
      <c r="AK42" s="53">
        <f t="shared" si="67"/>
        <v>2.4399765762248684</v>
      </c>
      <c r="AL42" s="53">
        <f t="shared" si="67"/>
        <v>43.292155823875525</v>
      </c>
      <c r="AM42" s="53" t="e">
        <f t="shared" si="67"/>
        <v>#N/A</v>
      </c>
      <c r="AN42" s="53" t="e">
        <f t="shared" si="67"/>
        <v>#N/A</v>
      </c>
      <c r="AO42" s="53" t="e">
        <f t="shared" si="67"/>
        <v>#N/A</v>
      </c>
      <c r="AP42" s="53" t="e">
        <f t="shared" si="67"/>
        <v>#N/A</v>
      </c>
      <c r="AQ42" s="53" t="e">
        <f t="shared" si="67"/>
        <v>#N/A</v>
      </c>
      <c r="AR42" s="53">
        <f t="shared" si="67"/>
        <v>2.4399765762248684</v>
      </c>
      <c r="AS42" s="53">
        <f t="shared" si="67"/>
        <v>34.299099300075291</v>
      </c>
      <c r="AT42" s="53" t="e">
        <f t="shared" si="67"/>
        <v>#N/A</v>
      </c>
      <c r="AU42" s="53" t="e">
        <f t="shared" si="67"/>
        <v>#N/A</v>
      </c>
      <c r="AV42" s="53">
        <f t="shared" si="67"/>
        <v>139.2878056942082</v>
      </c>
      <c r="AW42" s="53">
        <f t="shared" si="67"/>
        <v>5.577089317085413</v>
      </c>
      <c r="AX42" s="53">
        <f t="shared" si="67"/>
        <v>122.27768327709769</v>
      </c>
      <c r="AY42" s="53">
        <f t="shared" si="67"/>
        <v>8.9233429073366608</v>
      </c>
      <c r="AZ42" s="54">
        <f t="shared" si="67"/>
        <v>29.767714229943394</v>
      </c>
      <c r="BA42" s="57">
        <f t="shared" si="67"/>
        <v>475.02858258275006</v>
      </c>
      <c r="BC42" s="88" t="str">
        <f t="shared" si="25"/>
        <v>Oxfordshire</v>
      </c>
      <c r="BD42" s="191">
        <f t="shared" si="26"/>
        <v>5.6207807455239213E-2</v>
      </c>
      <c r="BE42" s="191">
        <f t="shared" si="27"/>
        <v>0.13149398297622542</v>
      </c>
      <c r="BF42" s="191">
        <f t="shared" si="28"/>
        <v>9.1135896683299092E-2</v>
      </c>
      <c r="BG42" s="191">
        <f t="shared" si="29"/>
        <v>5.1364837100088051E-3</v>
      </c>
      <c r="BH42" s="191">
        <f t="shared" si="30"/>
        <v>7.2204285294980922E-2</v>
      </c>
      <c r="BI42" s="191">
        <f t="shared" ref="BI42:BM42" si="68">AV18/$BA18</f>
        <v>0.2932198415027884</v>
      </c>
      <c r="BJ42" s="191">
        <f t="shared" si="68"/>
        <v>1.1740534194305841E-2</v>
      </c>
      <c r="BK42" s="191">
        <f t="shared" si="68"/>
        <v>0.25741121221015556</v>
      </c>
      <c r="BL42" s="191">
        <f t="shared" si="68"/>
        <v>1.8784854710889344E-2</v>
      </c>
      <c r="BM42" s="191">
        <f t="shared" si="68"/>
        <v>6.266510126210742E-2</v>
      </c>
    </row>
    <row r="43" spans="1:65" s="82" customFormat="1" ht="13.5" customHeight="1" x14ac:dyDescent="0.2">
      <c r="A43" s="533">
        <f>VLOOKUP(B43,Sheet1!$B$4:$C$25,2,FALSE)</f>
        <v>0</v>
      </c>
      <c r="B43" s="195" t="str">
        <f t="shared" si="56"/>
        <v>Buckinghamshire</v>
      </c>
      <c r="C43" s="9"/>
      <c r="D43" s="1061">
        <f t="shared" ref="D43:D62" si="69">SUM(D11:G11)</f>
        <v>7.2651639740737153</v>
      </c>
      <c r="E43" s="1062"/>
      <c r="F43" s="1061">
        <f t="shared" ref="F43:F62" si="70">SUM(H11:I11)</f>
        <v>19.841346618941667</v>
      </c>
      <c r="G43" s="1062"/>
      <c r="H43" s="1061">
        <f t="shared" ref="H43:H62" si="71">SUM(J11:O11)</f>
        <v>16.523169198026508</v>
      </c>
      <c r="I43" s="1062"/>
      <c r="J43" s="1061">
        <f t="shared" ref="J43:J62" si="72">P11</f>
        <v>0.85131082519106127</v>
      </c>
      <c r="K43" s="1062"/>
      <c r="L43" s="1061">
        <f t="shared" ref="L43:L62" si="73">SUM(Q11:S11)</f>
        <v>9.6256167166489313</v>
      </c>
      <c r="M43" s="1062"/>
      <c r="N43" s="1061">
        <f t="shared" ref="N43:N62" si="74">T11</f>
        <v>34.168520847441229</v>
      </c>
      <c r="O43" s="1062"/>
      <c r="P43" s="1061">
        <f t="shared" ref="P43:P62" si="75">U11</f>
        <v>2.370126729225114</v>
      </c>
      <c r="Q43" s="1062"/>
      <c r="R43" s="1061">
        <f t="shared" ref="R43:R62" si="76">V11</f>
        <v>4.4113379123536811</v>
      </c>
      <c r="S43" s="1062"/>
      <c r="T43" s="1061">
        <f t="shared" ref="T43:T62" si="77">W11</f>
        <v>2.9505659282190191</v>
      </c>
      <c r="U43" s="1062"/>
      <c r="V43" s="1061">
        <f t="shared" ref="V43:V62" si="78">X11</f>
        <v>1.9928412498790751</v>
      </c>
      <c r="W43" s="1063"/>
      <c r="X43" s="9"/>
      <c r="Y43" s="134"/>
      <c r="Z43" s="153"/>
      <c r="AB43" s="50" t="str">
        <f t="shared" si="21"/>
        <v>Portsmouth</v>
      </c>
      <c r="AC43" s="49">
        <v>11</v>
      </c>
      <c r="AD43" s="50" t="str">
        <f t="shared" si="23"/>
        <v>PortsmouthRate per 10,000</v>
      </c>
      <c r="AE43" s="51" t="b">
        <f t="shared" si="5"/>
        <v>0</v>
      </c>
      <c r="AF43" s="52">
        <f t="shared" ref="AF43:BA43" si="79">IF(ISERROR(AF19/$BB19*10000),NA(),AF19/$BB19*10000)</f>
        <v>55.666183924692255</v>
      </c>
      <c r="AG43" s="53" t="e">
        <f t="shared" si="79"/>
        <v>#N/A</v>
      </c>
      <c r="AH43" s="53" t="e">
        <f t="shared" si="79"/>
        <v>#N/A</v>
      </c>
      <c r="AI43" s="53" t="e">
        <f t="shared" si="79"/>
        <v>#N/A</v>
      </c>
      <c r="AJ43" s="53">
        <f t="shared" si="79"/>
        <v>116.98950036205648</v>
      </c>
      <c r="AK43" s="53">
        <f t="shared" si="79"/>
        <v>3.3942795076031862</v>
      </c>
      <c r="AL43" s="53">
        <f t="shared" si="79"/>
        <v>98.886676321506158</v>
      </c>
      <c r="AM43" s="53" t="e">
        <f t="shared" si="79"/>
        <v>#N/A</v>
      </c>
      <c r="AN43" s="53" t="e">
        <f t="shared" si="79"/>
        <v>#N/A</v>
      </c>
      <c r="AO43" s="53" t="e">
        <f t="shared" si="79"/>
        <v>#N/A</v>
      </c>
      <c r="AP43" s="53" t="e">
        <f t="shared" si="79"/>
        <v>#N/A</v>
      </c>
      <c r="AQ43" s="53" t="e">
        <f t="shared" si="79"/>
        <v>#N/A</v>
      </c>
      <c r="AR43" s="53">
        <f t="shared" si="79"/>
        <v>19.23425054308472</v>
      </c>
      <c r="AS43" s="53">
        <f t="shared" si="79"/>
        <v>79.878711078928305</v>
      </c>
      <c r="AT43" s="53" t="e">
        <f t="shared" si="79"/>
        <v>#N/A</v>
      </c>
      <c r="AU43" s="53" t="e">
        <f t="shared" si="79"/>
        <v>#N/A</v>
      </c>
      <c r="AV43" s="53">
        <f t="shared" si="79"/>
        <v>200.71506154960173</v>
      </c>
      <c r="AW43" s="53">
        <f t="shared" si="79"/>
        <v>28.511947863866762</v>
      </c>
      <c r="AX43" s="53">
        <f t="shared" si="79"/>
        <v>29.417089065894281</v>
      </c>
      <c r="AY43" s="53">
        <f t="shared" si="79"/>
        <v>11.087979724837075</v>
      </c>
      <c r="AZ43" s="54">
        <f t="shared" si="79"/>
        <v>0</v>
      </c>
      <c r="BA43" s="57">
        <f t="shared" si="79"/>
        <v>643.78167994207092</v>
      </c>
      <c r="BC43" s="88" t="str">
        <f t="shared" si="25"/>
        <v>Portsmouth</v>
      </c>
      <c r="BD43" s="191">
        <f t="shared" si="26"/>
        <v>8.6467486818980671E-2</v>
      </c>
      <c r="BE43" s="191">
        <f t="shared" si="27"/>
        <v>0.18699472759226712</v>
      </c>
      <c r="BF43" s="191">
        <f t="shared" si="28"/>
        <v>0.15360281195079087</v>
      </c>
      <c r="BG43" s="191">
        <f t="shared" si="29"/>
        <v>2.9876977152899824E-2</v>
      </c>
      <c r="BH43" s="191">
        <f t="shared" si="30"/>
        <v>0.12407732864674868</v>
      </c>
      <c r="BI43" s="191">
        <f t="shared" ref="BI43:BM43" si="80">AV19/$BA19</f>
        <v>0.31177504393673111</v>
      </c>
      <c r="BJ43" s="191">
        <f t="shared" si="80"/>
        <v>4.4288224956063271E-2</v>
      </c>
      <c r="BK43" s="191">
        <f t="shared" si="80"/>
        <v>4.5694200351493852E-2</v>
      </c>
      <c r="BL43" s="191">
        <f t="shared" si="80"/>
        <v>1.7223198594024606E-2</v>
      </c>
      <c r="BM43" s="191">
        <f t="shared" si="80"/>
        <v>0</v>
      </c>
    </row>
    <row r="44" spans="1:65" ht="13.5" customHeight="1" x14ac:dyDescent="0.2">
      <c r="A44" s="533">
        <f>VLOOKUP(B44,Sheet1!$B$4:$C$25,2,FALSE)</f>
        <v>0</v>
      </c>
      <c r="B44" s="195" t="str">
        <f t="shared" si="56"/>
        <v>East Sussex</v>
      </c>
      <c r="C44" s="9"/>
      <c r="D44" s="1052">
        <f t="shared" si="69"/>
        <v>9.5030913670712156</v>
      </c>
      <c r="E44" s="1053"/>
      <c r="F44" s="1052">
        <f t="shared" si="70"/>
        <v>20.403022670025187</v>
      </c>
      <c r="G44" s="1053"/>
      <c r="H44" s="1052">
        <f t="shared" si="71"/>
        <v>10.190061827341426</v>
      </c>
      <c r="I44" s="1053"/>
      <c r="J44" s="1052">
        <f t="shared" si="72"/>
        <v>0.91596061369361126</v>
      </c>
      <c r="K44" s="1053"/>
      <c r="L44" s="1052">
        <f t="shared" si="73"/>
        <v>17.655140828944354</v>
      </c>
      <c r="M44" s="1053"/>
      <c r="N44" s="1052">
        <f t="shared" si="74"/>
        <v>27.27272727272727</v>
      </c>
      <c r="O44" s="1053"/>
      <c r="P44" s="1052">
        <f t="shared" si="75"/>
        <v>3.9615296542248686</v>
      </c>
      <c r="Q44" s="1053"/>
      <c r="R44" s="1052">
        <f t="shared" si="76"/>
        <v>7.8543622624227165</v>
      </c>
      <c r="S44" s="1053"/>
      <c r="T44" s="1052">
        <f t="shared" si="77"/>
        <v>1.7403251660178611</v>
      </c>
      <c r="U44" s="1053"/>
      <c r="V44" s="1052">
        <f t="shared" si="78"/>
        <v>0.50377833753148615</v>
      </c>
      <c r="W44" s="1054"/>
      <c r="X44" s="15"/>
      <c r="Y44" s="134"/>
      <c r="Z44" s="152"/>
      <c r="AA44" s="80"/>
      <c r="AB44" s="50" t="str">
        <f t="shared" si="21"/>
        <v>Reading</v>
      </c>
      <c r="AC44" s="49">
        <v>12</v>
      </c>
      <c r="AD44" s="50" t="str">
        <f t="shared" si="23"/>
        <v>ReadingRate per 10,000</v>
      </c>
      <c r="AE44" s="51" t="b">
        <f t="shared" si="5"/>
        <v>0</v>
      </c>
      <c r="AF44" s="52">
        <f t="shared" ref="AF44:BA44" si="81">IF(ISERROR(AF20/$BB20*10000),NA(),AF20/$BB20*10000)</f>
        <v>45.29156444612191</v>
      </c>
      <c r="AG44" s="53" t="e">
        <f t="shared" si="81"/>
        <v>#N/A</v>
      </c>
      <c r="AH44" s="53" t="e">
        <f t="shared" si="81"/>
        <v>#N/A</v>
      </c>
      <c r="AI44" s="53" t="e">
        <f t="shared" si="81"/>
        <v>#N/A</v>
      </c>
      <c r="AJ44" s="53">
        <f t="shared" si="81"/>
        <v>119.69913460760792</v>
      </c>
      <c r="AK44" s="53">
        <f t="shared" si="81"/>
        <v>10.244520529479955</v>
      </c>
      <c r="AL44" s="53">
        <f t="shared" si="81"/>
        <v>107.02828026851427</v>
      </c>
      <c r="AM44" s="53" t="e">
        <f t="shared" si="81"/>
        <v>#N/A</v>
      </c>
      <c r="AN44" s="53" t="e">
        <f t="shared" si="81"/>
        <v>#N/A</v>
      </c>
      <c r="AO44" s="53" t="e">
        <f t="shared" si="81"/>
        <v>#N/A</v>
      </c>
      <c r="AP44" s="53" t="e">
        <f t="shared" si="81"/>
        <v>#N/A</v>
      </c>
      <c r="AQ44" s="53" t="e">
        <f t="shared" si="81"/>
        <v>#N/A</v>
      </c>
      <c r="AR44" s="53">
        <f t="shared" si="81"/>
        <v>17.793114603833608</v>
      </c>
      <c r="AS44" s="53">
        <f t="shared" si="81"/>
        <v>75.216348098023886</v>
      </c>
      <c r="AT44" s="53" t="e">
        <f t="shared" si="81"/>
        <v>#N/A</v>
      </c>
      <c r="AU44" s="53" t="e">
        <f t="shared" si="81"/>
        <v>#N/A</v>
      </c>
      <c r="AV44" s="53">
        <f t="shared" si="81"/>
        <v>273.36694254980728</v>
      </c>
      <c r="AW44" s="53">
        <f t="shared" si="81"/>
        <v>18.871485185884129</v>
      </c>
      <c r="AX44" s="53">
        <f t="shared" si="81"/>
        <v>32.890302752540912</v>
      </c>
      <c r="AY44" s="53" t="e">
        <f t="shared" si="81"/>
        <v>#N/A</v>
      </c>
      <c r="AZ44" s="54" t="e">
        <f t="shared" si="81"/>
        <v>#N/A</v>
      </c>
      <c r="BA44" s="57">
        <f t="shared" si="81"/>
        <v>700.40169304181393</v>
      </c>
      <c r="BC44" s="88" t="str">
        <f t="shared" si="25"/>
        <v>Reading</v>
      </c>
      <c r="BD44" s="191">
        <f t="shared" si="26"/>
        <v>6.4665127020785224E-2</v>
      </c>
      <c r="BE44" s="191">
        <f t="shared" si="27"/>
        <v>0.1855273287143957</v>
      </c>
      <c r="BF44" s="191">
        <f t="shared" si="28"/>
        <v>0.15280985373364125</v>
      </c>
      <c r="BG44" s="191">
        <f t="shared" si="29"/>
        <v>2.5404157043879907E-2</v>
      </c>
      <c r="BH44" s="191">
        <f t="shared" si="30"/>
        <v>0.10739030023094688</v>
      </c>
      <c r="BI44" s="191">
        <f t="shared" ref="BI44:BM44" si="82">AV20/$BA20</f>
        <v>0.39030023094688221</v>
      </c>
      <c r="BJ44" s="191">
        <f t="shared" si="82"/>
        <v>2.6943802925327175E-2</v>
      </c>
      <c r="BK44" s="191">
        <f t="shared" si="82"/>
        <v>4.6959199384141649E-2</v>
      </c>
      <c r="BL44" s="191" t="e">
        <f t="shared" si="82"/>
        <v>#VALUE!</v>
      </c>
      <c r="BM44" s="191" t="e">
        <f t="shared" si="82"/>
        <v>#VALUE!</v>
      </c>
    </row>
    <row r="45" spans="1:65" ht="13.5" customHeight="1" x14ac:dyDescent="0.2">
      <c r="A45" s="533">
        <f>VLOOKUP(B45,Sheet1!$B$4:$C$25,2,FALSE)</f>
        <v>0</v>
      </c>
      <c r="B45" s="195" t="str">
        <f t="shared" si="56"/>
        <v>Hampshire</v>
      </c>
      <c r="C45" s="9"/>
      <c r="D45" s="1061">
        <f t="shared" si="69"/>
        <v>11.399317406143345</v>
      </c>
      <c r="E45" s="1062"/>
      <c r="F45" s="1061">
        <f t="shared" si="70"/>
        <v>23.406763884579583</v>
      </c>
      <c r="G45" s="1062"/>
      <c r="H45" s="1061">
        <f t="shared" si="71"/>
        <v>13.447098976109215</v>
      </c>
      <c r="I45" s="1062"/>
      <c r="J45" s="1061">
        <f t="shared" si="72"/>
        <v>1.0549177784672665</v>
      </c>
      <c r="K45" s="1062"/>
      <c r="L45" s="1061">
        <f t="shared" si="73"/>
        <v>9.9782811045609687</v>
      </c>
      <c r="M45" s="1062"/>
      <c r="N45" s="1061">
        <f t="shared" si="74"/>
        <v>26.050263729444616</v>
      </c>
      <c r="O45" s="1062"/>
      <c r="P45" s="1061">
        <f t="shared" si="75"/>
        <v>2.3642569035060501</v>
      </c>
      <c r="Q45" s="1062"/>
      <c r="R45" s="1061">
        <f t="shared" si="76"/>
        <v>7.1920570896680109</v>
      </c>
      <c r="S45" s="1062"/>
      <c r="T45" s="1061">
        <f t="shared" si="77"/>
        <v>2.295997517840521</v>
      </c>
      <c r="U45" s="1062"/>
      <c r="V45" s="1061">
        <f t="shared" si="78"/>
        <v>2.8110456096804222</v>
      </c>
      <c r="W45" s="1063"/>
      <c r="X45" s="9"/>
      <c r="Y45" s="137"/>
      <c r="Z45" s="152"/>
      <c r="AA45" s="80"/>
      <c r="AB45" s="50" t="str">
        <f t="shared" si="21"/>
        <v>Slough</v>
      </c>
      <c r="AC45" s="49">
        <v>13</v>
      </c>
      <c r="AD45" s="50" t="str">
        <f t="shared" si="23"/>
        <v>SloughRate per 10,000</v>
      </c>
      <c r="AE45" s="51" t="b">
        <f t="shared" si="5"/>
        <v>0</v>
      </c>
      <c r="AF45" s="52">
        <f t="shared" ref="AF45:BA45" si="83">IF(ISERROR(AF21/$BB21*10000),NA(),AF21/$BB21*10000)</f>
        <v>26.078710289236607</v>
      </c>
      <c r="AG45" s="53" t="e">
        <f t="shared" si="83"/>
        <v>#N/A</v>
      </c>
      <c r="AH45" s="53" t="e">
        <f t="shared" si="83"/>
        <v>#N/A</v>
      </c>
      <c r="AI45" s="53" t="e">
        <f t="shared" si="83"/>
        <v>#N/A</v>
      </c>
      <c r="AJ45" s="53">
        <f t="shared" si="83"/>
        <v>63.063063063063062</v>
      </c>
      <c r="AK45" s="53">
        <f t="shared" si="83"/>
        <v>2.8449502133712663</v>
      </c>
      <c r="AL45" s="53">
        <f t="shared" si="83"/>
        <v>47.415836889521103</v>
      </c>
      <c r="AM45" s="53" t="e">
        <f t="shared" si="83"/>
        <v>#N/A</v>
      </c>
      <c r="AN45" s="53" t="e">
        <f t="shared" si="83"/>
        <v>#N/A</v>
      </c>
      <c r="AO45" s="53" t="e">
        <f t="shared" si="83"/>
        <v>#N/A</v>
      </c>
      <c r="AP45" s="53" t="e">
        <f t="shared" si="83"/>
        <v>#N/A</v>
      </c>
      <c r="AQ45" s="53" t="e">
        <f t="shared" si="83"/>
        <v>#N/A</v>
      </c>
      <c r="AR45" s="53" t="e">
        <f t="shared" si="83"/>
        <v>#N/A</v>
      </c>
      <c r="AS45" s="53">
        <f t="shared" si="83"/>
        <v>87.245139876718838</v>
      </c>
      <c r="AT45" s="53" t="e">
        <f t="shared" si="83"/>
        <v>#N/A</v>
      </c>
      <c r="AU45" s="53" t="e">
        <f t="shared" si="83"/>
        <v>#N/A</v>
      </c>
      <c r="AV45" s="53">
        <f t="shared" si="83"/>
        <v>122.09577999051683</v>
      </c>
      <c r="AW45" s="53">
        <f t="shared" si="83"/>
        <v>10.668563300142248</v>
      </c>
      <c r="AX45" s="53">
        <f t="shared" si="83"/>
        <v>6.8752963489805596</v>
      </c>
      <c r="AY45" s="53">
        <f t="shared" si="83"/>
        <v>10.194404931247036</v>
      </c>
      <c r="AZ45" s="54" t="e">
        <f t="shared" si="83"/>
        <v>#N/A</v>
      </c>
      <c r="BA45" s="57">
        <f t="shared" si="83"/>
        <v>376.48174490279752</v>
      </c>
      <c r="BC45" s="88" t="str">
        <f t="shared" si="25"/>
        <v>Slough</v>
      </c>
      <c r="BD45" s="191">
        <f t="shared" si="26"/>
        <v>6.9269521410579349E-2</v>
      </c>
      <c r="BE45" s="191">
        <f t="shared" si="27"/>
        <v>0.17506297229219145</v>
      </c>
      <c r="BF45" s="191">
        <f t="shared" si="28"/>
        <v>0.12594458438287154</v>
      </c>
      <c r="BG45" s="191" t="e">
        <f t="shared" si="29"/>
        <v>#VALUE!</v>
      </c>
      <c r="BH45" s="191">
        <f t="shared" si="30"/>
        <v>0.23173803526448364</v>
      </c>
      <c r="BI45" s="191">
        <f t="shared" ref="BI45:BM45" si="84">AV21/$BA21</f>
        <v>0.3243073047858942</v>
      </c>
      <c r="BJ45" s="191">
        <f t="shared" si="84"/>
        <v>2.8337531486146095E-2</v>
      </c>
      <c r="BK45" s="191">
        <f t="shared" si="84"/>
        <v>1.8261964735516372E-2</v>
      </c>
      <c r="BL45" s="191">
        <f t="shared" si="84"/>
        <v>2.7078085642317382E-2</v>
      </c>
      <c r="BM45" s="191" t="e">
        <f t="shared" si="84"/>
        <v>#VALUE!</v>
      </c>
    </row>
    <row r="46" spans="1:65" ht="13.5" customHeight="1" x14ac:dyDescent="0.2">
      <c r="A46" s="533">
        <f>VLOOKUP(B46,Sheet1!$B$4:$C$25,2,FALSE)</f>
        <v>0</v>
      </c>
      <c r="B46" s="195" t="str">
        <f t="shared" si="56"/>
        <v>Isle of Wight</v>
      </c>
      <c r="C46" s="9"/>
      <c r="D46" s="1052">
        <f t="shared" si="69"/>
        <v>9.7197106690777577</v>
      </c>
      <c r="E46" s="1053"/>
      <c r="F46" s="1052">
        <f t="shared" si="70"/>
        <v>30.153707052441231</v>
      </c>
      <c r="G46" s="1053"/>
      <c r="H46" s="1052">
        <f t="shared" si="71"/>
        <v>12.793851717902353</v>
      </c>
      <c r="I46" s="1053"/>
      <c r="J46" s="1052">
        <f t="shared" si="72"/>
        <v>1.4918625678119348</v>
      </c>
      <c r="K46" s="1053"/>
      <c r="L46" s="1052">
        <f t="shared" si="73"/>
        <v>11.980108499095842</v>
      </c>
      <c r="M46" s="1053"/>
      <c r="N46" s="1052">
        <f t="shared" si="74"/>
        <v>21.609403254972875</v>
      </c>
      <c r="O46" s="1053"/>
      <c r="P46" s="1052">
        <f t="shared" si="75"/>
        <v>1.763110307414105</v>
      </c>
      <c r="Q46" s="1053"/>
      <c r="R46" s="1052">
        <f t="shared" si="76"/>
        <v>7.6401446654611211</v>
      </c>
      <c r="S46" s="1053"/>
      <c r="T46" s="1052">
        <f t="shared" si="77"/>
        <v>0</v>
      </c>
      <c r="U46" s="1053"/>
      <c r="V46" s="1052">
        <f t="shared" si="78"/>
        <v>2.8481012658227849</v>
      </c>
      <c r="W46" s="1054"/>
      <c r="X46" s="9"/>
      <c r="Y46" s="134"/>
      <c r="Z46" s="152"/>
      <c r="AA46" s="80"/>
      <c r="AB46" s="50" t="str">
        <f t="shared" si="21"/>
        <v>Somerset</v>
      </c>
      <c r="AC46" s="49">
        <v>14</v>
      </c>
      <c r="AD46" s="50" t="str">
        <f t="shared" si="23"/>
        <v>SomersetRate per 10,000</v>
      </c>
      <c r="AE46" s="51" t="b">
        <f t="shared" si="5"/>
        <v>0</v>
      </c>
      <c r="AF46" s="52">
        <f t="shared" ref="AF46:BA46" si="85">IF(ISERROR(AF22/$BB22*10000),NA(),AF22/$BB22*10000)</f>
        <v>58.228262054431163</v>
      </c>
      <c r="AG46" s="53" t="e">
        <f t="shared" si="85"/>
        <v>#N/A</v>
      </c>
      <c r="AH46" s="53" t="e">
        <f t="shared" si="85"/>
        <v>#N/A</v>
      </c>
      <c r="AI46" s="53" t="e">
        <f t="shared" si="85"/>
        <v>#N/A</v>
      </c>
      <c r="AJ46" s="53">
        <f t="shared" si="85"/>
        <v>60.771774281457795</v>
      </c>
      <c r="AK46" s="53">
        <f t="shared" si="85"/>
        <v>6.0862614003851609</v>
      </c>
      <c r="AL46" s="53">
        <f t="shared" si="85"/>
        <v>73.216816249409547</v>
      </c>
      <c r="AM46" s="53" t="e">
        <f t="shared" si="85"/>
        <v>#N/A</v>
      </c>
      <c r="AN46" s="53" t="e">
        <f t="shared" si="85"/>
        <v>#N/A</v>
      </c>
      <c r="AO46" s="53" t="e">
        <f t="shared" si="85"/>
        <v>#N/A</v>
      </c>
      <c r="AP46" s="53" t="e">
        <f t="shared" si="85"/>
        <v>#N/A</v>
      </c>
      <c r="AQ46" s="53" t="e">
        <f t="shared" si="85"/>
        <v>#N/A</v>
      </c>
      <c r="AR46" s="53">
        <f t="shared" si="85"/>
        <v>2.5435122270266342</v>
      </c>
      <c r="AS46" s="53">
        <f t="shared" si="85"/>
        <v>51.324443152501722</v>
      </c>
      <c r="AT46" s="53" t="e">
        <f t="shared" si="85"/>
        <v>#N/A</v>
      </c>
      <c r="AU46" s="53" t="e">
        <f t="shared" si="85"/>
        <v>#N/A</v>
      </c>
      <c r="AV46" s="53">
        <f t="shared" si="85"/>
        <v>149.97638167217761</v>
      </c>
      <c r="AW46" s="53">
        <f t="shared" si="85"/>
        <v>15.987791141310272</v>
      </c>
      <c r="AX46" s="53">
        <f t="shared" si="85"/>
        <v>31.158024781076268</v>
      </c>
      <c r="AY46" s="53">
        <f t="shared" si="85"/>
        <v>18.803822535518332</v>
      </c>
      <c r="AZ46" s="54">
        <f t="shared" si="85"/>
        <v>1.0900766687257004</v>
      </c>
      <c r="BA46" s="57">
        <f t="shared" si="85"/>
        <v>469.1871661640202</v>
      </c>
      <c r="BC46" s="88" t="str">
        <f t="shared" si="25"/>
        <v>Somerset</v>
      </c>
      <c r="BD46" s="191">
        <f t="shared" si="26"/>
        <v>0.12410454985479187</v>
      </c>
      <c r="BE46" s="191">
        <f t="shared" si="27"/>
        <v>0.14249757986447242</v>
      </c>
      <c r="BF46" s="191">
        <f t="shared" si="28"/>
        <v>0.15605033881897387</v>
      </c>
      <c r="BG46" s="191">
        <f t="shared" si="29"/>
        <v>5.4211035818005808E-3</v>
      </c>
      <c r="BH46" s="191">
        <f t="shared" si="30"/>
        <v>0.10939012584704744</v>
      </c>
      <c r="BI46" s="191">
        <f t="shared" ref="BI46:BM46" si="86">AV22/$BA22</f>
        <v>0.31965150048402713</v>
      </c>
      <c r="BJ46" s="191">
        <f t="shared" si="86"/>
        <v>3.4075508228460796E-2</v>
      </c>
      <c r="BK46" s="191">
        <f t="shared" si="86"/>
        <v>6.6408518877057121E-2</v>
      </c>
      <c r="BL46" s="191">
        <f t="shared" si="86"/>
        <v>4.0077444336882866E-2</v>
      </c>
      <c r="BM46" s="191">
        <f t="shared" si="86"/>
        <v>2.323330106485963E-3</v>
      </c>
    </row>
    <row r="47" spans="1:65" ht="13.5" customHeight="1" x14ac:dyDescent="0.2">
      <c r="A47" s="533">
        <f>VLOOKUP(B47,Sheet1!$B$4:$C$25,2,FALSE)</f>
        <v>0</v>
      </c>
      <c r="B47" s="195" t="str">
        <f t="shared" si="56"/>
        <v>Kent</v>
      </c>
      <c r="C47" s="9"/>
      <c r="D47" s="1061">
        <f t="shared" si="69"/>
        <v>11.190832602075053</v>
      </c>
      <c r="E47" s="1062"/>
      <c r="F47" s="1061">
        <f t="shared" si="70"/>
        <v>17.059825530377328</v>
      </c>
      <c r="G47" s="1062"/>
      <c r="H47" s="1061">
        <f t="shared" si="71"/>
        <v>12.25932999535436</v>
      </c>
      <c r="I47" s="1062"/>
      <c r="J47" s="1061">
        <f t="shared" si="72"/>
        <v>2.0957002013111032</v>
      </c>
      <c r="K47" s="1062"/>
      <c r="L47" s="1061">
        <f t="shared" si="73"/>
        <v>11.345687296753214</v>
      </c>
      <c r="M47" s="1062"/>
      <c r="N47" s="1061">
        <f t="shared" si="74"/>
        <v>34.455169565890671</v>
      </c>
      <c r="O47" s="1062"/>
      <c r="P47" s="1061">
        <f t="shared" si="75"/>
        <v>3.711350849119909</v>
      </c>
      <c r="Q47" s="1062"/>
      <c r="R47" s="1061">
        <f t="shared" si="76"/>
        <v>5.4199143137356112</v>
      </c>
      <c r="S47" s="1062"/>
      <c r="T47" s="1061">
        <f t="shared" si="77"/>
        <v>2.1318329634026738</v>
      </c>
      <c r="U47" s="1062"/>
      <c r="V47" s="1061">
        <f t="shared" si="78"/>
        <v>0.3303566819800754</v>
      </c>
      <c r="W47" s="1063"/>
      <c r="X47" s="9"/>
      <c r="Y47" s="134"/>
      <c r="Z47" s="152"/>
      <c r="AA47" s="80"/>
      <c r="AB47" s="50" t="str">
        <f t="shared" si="21"/>
        <v>Southampton</v>
      </c>
      <c r="AC47" s="49">
        <v>15</v>
      </c>
      <c r="AD47" s="50" t="str">
        <f t="shared" si="23"/>
        <v>SouthamptonRate per 10,000</v>
      </c>
      <c r="AE47" s="51" t="b">
        <f t="shared" si="5"/>
        <v>0</v>
      </c>
      <c r="AF47" s="52">
        <f t="shared" ref="AF47:BA47" si="87">IF(ISERROR(AF23/$BB23*10000),NA(),AF23/$BB23*10000)</f>
        <v>19.679952291024751</v>
      </c>
      <c r="AG47" s="53" t="e">
        <f t="shared" si="87"/>
        <v>#N/A</v>
      </c>
      <c r="AH47" s="53" t="e">
        <f t="shared" si="87"/>
        <v>#N/A</v>
      </c>
      <c r="AI47" s="53" t="e">
        <f t="shared" si="87"/>
        <v>#N/A</v>
      </c>
      <c r="AJ47" s="53">
        <f t="shared" si="87"/>
        <v>109.7306430772289</v>
      </c>
      <c r="AK47" s="53">
        <f t="shared" si="87"/>
        <v>1.3915117781532651</v>
      </c>
      <c r="AL47" s="53">
        <f t="shared" si="87"/>
        <v>67.985289732630946</v>
      </c>
      <c r="AM47" s="53" t="e">
        <f t="shared" si="87"/>
        <v>#N/A</v>
      </c>
      <c r="AN47" s="53" t="e">
        <f t="shared" si="87"/>
        <v>#N/A</v>
      </c>
      <c r="AO47" s="53" t="e">
        <f t="shared" si="87"/>
        <v>#N/A</v>
      </c>
      <c r="AP47" s="53" t="e">
        <f t="shared" si="87"/>
        <v>#N/A</v>
      </c>
      <c r="AQ47" s="53" t="e">
        <f t="shared" si="87"/>
        <v>#N/A</v>
      </c>
      <c r="AR47" s="53">
        <f t="shared" si="87"/>
        <v>7.3551336845244011</v>
      </c>
      <c r="AS47" s="53">
        <f t="shared" si="87"/>
        <v>95.815525295696261</v>
      </c>
      <c r="AT47" s="53" t="e">
        <f t="shared" si="87"/>
        <v>#N/A</v>
      </c>
      <c r="AU47" s="53" t="e">
        <f t="shared" si="87"/>
        <v>#N/A</v>
      </c>
      <c r="AV47" s="53">
        <f t="shared" si="87"/>
        <v>159.02991750323031</v>
      </c>
      <c r="AW47" s="53">
        <f t="shared" si="87"/>
        <v>13.318755590895536</v>
      </c>
      <c r="AX47" s="53">
        <f t="shared" si="87"/>
        <v>31.60719610376702</v>
      </c>
      <c r="AY47" s="53">
        <f t="shared" si="87"/>
        <v>13.517542987774576</v>
      </c>
      <c r="AZ47" s="54">
        <f t="shared" si="87"/>
        <v>0</v>
      </c>
      <c r="BA47" s="57">
        <f t="shared" si="87"/>
        <v>519.43146804492596</v>
      </c>
      <c r="BC47" s="88" t="str">
        <f t="shared" si="25"/>
        <v>Southampton</v>
      </c>
      <c r="BD47" s="191">
        <f t="shared" si="26"/>
        <v>3.7887485648679678E-2</v>
      </c>
      <c r="BE47" s="191">
        <f t="shared" si="27"/>
        <v>0.21393034825870647</v>
      </c>
      <c r="BF47" s="191">
        <f t="shared" si="28"/>
        <v>0.13088404133180254</v>
      </c>
      <c r="BG47" s="191">
        <f t="shared" si="29"/>
        <v>1.4159969383849981E-2</v>
      </c>
      <c r="BH47" s="191">
        <f t="shared" si="30"/>
        <v>0.18446230386528895</v>
      </c>
      <c r="BI47" s="191">
        <f t="shared" ref="BI47:BM47" si="88">AV23/$BA23</f>
        <v>0.30616150019135091</v>
      </c>
      <c r="BJ47" s="191">
        <f t="shared" si="88"/>
        <v>2.564102564102564E-2</v>
      </c>
      <c r="BK47" s="191">
        <f t="shared" si="88"/>
        <v>6.0849598163030996E-2</v>
      </c>
      <c r="BL47" s="191">
        <f t="shared" si="88"/>
        <v>2.6023727516264829E-2</v>
      </c>
      <c r="BM47" s="191">
        <f t="shared" si="88"/>
        <v>0</v>
      </c>
    </row>
    <row r="48" spans="1:65" ht="13.5" customHeight="1" x14ac:dyDescent="0.2">
      <c r="A48" s="533">
        <f>VLOOKUP(B48,Sheet1!$B$4:$C$25,2,FALSE)</f>
        <v>0</v>
      </c>
      <c r="B48" s="195" t="str">
        <f t="shared" si="56"/>
        <v>Medway</v>
      </c>
      <c r="C48" s="9"/>
      <c r="D48" s="1052">
        <f t="shared" si="69"/>
        <v>9.4563552833078095</v>
      </c>
      <c r="E48" s="1053"/>
      <c r="F48" s="1052">
        <f t="shared" si="70"/>
        <v>21.209800918836137</v>
      </c>
      <c r="G48" s="1053"/>
      <c r="H48" s="1052">
        <f t="shared" si="71"/>
        <v>12.098009188361408</v>
      </c>
      <c r="I48" s="1053"/>
      <c r="J48" s="1052">
        <f t="shared" si="72"/>
        <v>2.4502297090352223</v>
      </c>
      <c r="K48" s="1053"/>
      <c r="L48" s="1052">
        <f t="shared" si="73"/>
        <v>13.361408882082696</v>
      </c>
      <c r="M48" s="1053"/>
      <c r="N48" s="1052">
        <f t="shared" si="74"/>
        <v>31.278713629402755</v>
      </c>
      <c r="O48" s="1053"/>
      <c r="P48" s="1052">
        <f t="shared" si="75"/>
        <v>2.9096477794793261</v>
      </c>
      <c r="Q48" s="1053"/>
      <c r="R48" s="1052">
        <f t="shared" si="76"/>
        <v>3.1010719754977027</v>
      </c>
      <c r="S48" s="1053"/>
      <c r="T48" s="1052">
        <f t="shared" si="77"/>
        <v>3.1776416539050536</v>
      </c>
      <c r="U48" s="1053"/>
      <c r="V48" s="1052">
        <f t="shared" si="78"/>
        <v>0.95712098009188351</v>
      </c>
      <c r="W48" s="1054"/>
      <c r="X48" s="9"/>
      <c r="Y48" s="134"/>
      <c r="Z48" s="152"/>
      <c r="AA48" s="80"/>
      <c r="AB48" s="50" t="str">
        <f t="shared" si="21"/>
        <v>Surrey</v>
      </c>
      <c r="AC48" s="49">
        <v>16</v>
      </c>
      <c r="AD48" s="50" t="str">
        <f t="shared" si="23"/>
        <v>SurreyRate per 10,000</v>
      </c>
      <c r="AE48" s="51" t="b">
        <f t="shared" si="5"/>
        <v>0</v>
      </c>
      <c r="AF48" s="52">
        <f t="shared" ref="AF48:BA48" si="89">IF(ISERROR(AF24/$BB24*10000),NA(),AF24/$BB24*10000)</f>
        <v>25.124373331284456</v>
      </c>
      <c r="AG48" s="53" t="e">
        <f t="shared" si="89"/>
        <v>#N/A</v>
      </c>
      <c r="AH48" s="53" t="e">
        <f t="shared" si="89"/>
        <v>#N/A</v>
      </c>
      <c r="AI48" s="53" t="e">
        <f t="shared" si="89"/>
        <v>#N/A</v>
      </c>
      <c r="AJ48" s="53">
        <f t="shared" si="89"/>
        <v>101.88048635254796</v>
      </c>
      <c r="AK48" s="53">
        <f t="shared" si="89"/>
        <v>4.0721461362632301</v>
      </c>
      <c r="AL48" s="53">
        <f t="shared" si="89"/>
        <v>68.304488964868142</v>
      </c>
      <c r="AM48" s="53" t="e">
        <f t="shared" si="89"/>
        <v>#N/A</v>
      </c>
      <c r="AN48" s="53" t="e">
        <f t="shared" si="89"/>
        <v>#N/A</v>
      </c>
      <c r="AO48" s="53" t="e">
        <f t="shared" si="89"/>
        <v>#N/A</v>
      </c>
      <c r="AP48" s="53" t="e">
        <f t="shared" si="89"/>
        <v>#N/A</v>
      </c>
      <c r="AQ48" s="53" t="e">
        <f t="shared" si="89"/>
        <v>#N/A</v>
      </c>
      <c r="AR48" s="53">
        <f t="shared" si="89"/>
        <v>4.840475595935537</v>
      </c>
      <c r="AS48" s="53">
        <f t="shared" si="89"/>
        <v>67.075161829392442</v>
      </c>
      <c r="AT48" s="53" t="e">
        <f t="shared" si="89"/>
        <v>#N/A</v>
      </c>
      <c r="AU48" s="53" t="e">
        <f t="shared" si="89"/>
        <v>#N/A</v>
      </c>
      <c r="AV48" s="53">
        <f t="shared" si="89"/>
        <v>199.72724304181631</v>
      </c>
      <c r="AW48" s="53">
        <f t="shared" si="89"/>
        <v>14.098845584986844</v>
      </c>
      <c r="AX48" s="53">
        <f t="shared" si="89"/>
        <v>30.848427805843144</v>
      </c>
      <c r="AY48" s="53">
        <f t="shared" si="89"/>
        <v>7.4912122318049983</v>
      </c>
      <c r="AZ48" s="54">
        <f t="shared" si="89"/>
        <v>0</v>
      </c>
      <c r="BA48" s="57">
        <f t="shared" si="89"/>
        <v>523.46286087474311</v>
      </c>
      <c r="BC48" s="88" t="str">
        <f t="shared" si="25"/>
        <v>Surrey</v>
      </c>
      <c r="BD48" s="191">
        <f t="shared" si="26"/>
        <v>4.7996477322765303E-2</v>
      </c>
      <c r="BE48" s="191">
        <f t="shared" si="27"/>
        <v>0.20240716277704388</v>
      </c>
      <c r="BF48" s="191">
        <f t="shared" si="28"/>
        <v>0.13048583590195215</v>
      </c>
      <c r="BG48" s="191">
        <f t="shared" si="29"/>
        <v>9.247027741083224E-3</v>
      </c>
      <c r="BH48" s="191">
        <f t="shared" si="30"/>
        <v>0.12813738441215325</v>
      </c>
      <c r="BI48" s="191">
        <f t="shared" ref="BI48:BM48" si="90">AV24/$BA24</f>
        <v>0.38154997798326729</v>
      </c>
      <c r="BJ48" s="191">
        <f t="shared" si="90"/>
        <v>2.6933803023631294E-2</v>
      </c>
      <c r="BK48" s="191">
        <f t="shared" si="90"/>
        <v>5.8931454572141495E-2</v>
      </c>
      <c r="BL48" s="191">
        <f t="shared" si="90"/>
        <v>1.4310876265962131E-2</v>
      </c>
      <c r="BM48" s="191">
        <f t="shared" si="90"/>
        <v>0</v>
      </c>
    </row>
    <row r="49" spans="1:65" ht="13.5" customHeight="1" x14ac:dyDescent="0.2">
      <c r="A49" s="533">
        <f>VLOOKUP(B49,Sheet1!$B$4:$C$25,2,FALSE)</f>
        <v>0</v>
      </c>
      <c r="B49" s="195" t="str">
        <f t="shared" si="56"/>
        <v>Milton Keynes</v>
      </c>
      <c r="C49" s="9"/>
      <c r="D49" s="1061">
        <f t="shared" si="69"/>
        <v>9.1609589041095898</v>
      </c>
      <c r="E49" s="1062"/>
      <c r="F49" s="1061">
        <f t="shared" si="70"/>
        <v>20.034246575342465</v>
      </c>
      <c r="G49" s="1062"/>
      <c r="H49" s="1061">
        <f t="shared" si="71"/>
        <v>12.756849315068495</v>
      </c>
      <c r="I49" s="1062"/>
      <c r="J49" s="1061" t="e">
        <f t="shared" si="72"/>
        <v>#N/A</v>
      </c>
      <c r="K49" s="1062"/>
      <c r="L49" s="1061">
        <f t="shared" si="73"/>
        <v>17.38013698630137</v>
      </c>
      <c r="M49" s="1062"/>
      <c r="N49" s="1061">
        <f t="shared" si="74"/>
        <v>28.510273972602739</v>
      </c>
      <c r="O49" s="1062"/>
      <c r="P49" s="1061">
        <f t="shared" si="75"/>
        <v>6.0359589041095889</v>
      </c>
      <c r="Q49" s="1062"/>
      <c r="R49" s="1061">
        <f t="shared" si="76"/>
        <v>4.0667808219178081</v>
      </c>
      <c r="S49" s="1062"/>
      <c r="T49" s="1061">
        <f t="shared" si="77"/>
        <v>2.054794520547945</v>
      </c>
      <c r="U49" s="1062"/>
      <c r="V49" s="1061" t="e">
        <f t="shared" si="78"/>
        <v>#N/A</v>
      </c>
      <c r="W49" s="1063"/>
      <c r="X49" s="9"/>
      <c r="Y49" s="134"/>
      <c r="Z49" s="152"/>
      <c r="AA49" s="80"/>
      <c r="AB49" s="50" t="str">
        <f t="shared" si="21"/>
        <v>Swindon</v>
      </c>
      <c r="AC49" s="49">
        <v>17</v>
      </c>
      <c r="AD49" s="50" t="str">
        <f t="shared" si="23"/>
        <v>SwindonRate per 10,000</v>
      </c>
      <c r="AE49" s="51" t="b">
        <f t="shared" si="5"/>
        <v>0</v>
      </c>
      <c r="AF49" s="52">
        <f t="shared" ref="AF49:BA49" si="91">IF(ISERROR(AF25/$BB25*10000),NA(),AF25/$BB25*10000)</f>
        <v>63.897123627914432</v>
      </c>
      <c r="AG49" s="53" t="e">
        <f t="shared" si="91"/>
        <v>#N/A</v>
      </c>
      <c r="AH49" s="53" t="e">
        <f t="shared" si="91"/>
        <v>#N/A</v>
      </c>
      <c r="AI49" s="53" t="e">
        <f t="shared" si="91"/>
        <v>#N/A</v>
      </c>
      <c r="AJ49" s="53">
        <f t="shared" si="91"/>
        <v>145.02043105520391</v>
      </c>
      <c r="AK49" s="53">
        <f t="shared" si="91"/>
        <v>1.201826776700585</v>
      </c>
      <c r="AL49" s="53">
        <f t="shared" si="91"/>
        <v>92.140052880378164</v>
      </c>
      <c r="AM49" s="53" t="e">
        <f t="shared" si="91"/>
        <v>#N/A</v>
      </c>
      <c r="AN49" s="53" t="e">
        <f t="shared" si="91"/>
        <v>#N/A</v>
      </c>
      <c r="AO49" s="53" t="e">
        <f t="shared" si="91"/>
        <v>#N/A</v>
      </c>
      <c r="AP49" s="53" t="e">
        <f t="shared" si="91"/>
        <v>#N/A</v>
      </c>
      <c r="AQ49" s="53" t="e">
        <f t="shared" si="91"/>
        <v>#N/A</v>
      </c>
      <c r="AR49" s="53">
        <f t="shared" si="91"/>
        <v>9.2140052880378178</v>
      </c>
      <c r="AS49" s="53">
        <f t="shared" si="91"/>
        <v>50.076115695857702</v>
      </c>
      <c r="AT49" s="53" t="e">
        <f t="shared" si="91"/>
        <v>#N/A</v>
      </c>
      <c r="AU49" s="53" t="e">
        <f t="shared" si="91"/>
        <v>#N/A</v>
      </c>
      <c r="AV49" s="53">
        <f t="shared" si="91"/>
        <v>256.59001682557488</v>
      </c>
      <c r="AW49" s="53">
        <f t="shared" si="91"/>
        <v>16.825574873808186</v>
      </c>
      <c r="AX49" s="53">
        <f t="shared" si="91"/>
        <v>42.063937184520469</v>
      </c>
      <c r="AY49" s="53">
        <f t="shared" si="91"/>
        <v>28.843842640814039</v>
      </c>
      <c r="AZ49" s="54">
        <f t="shared" si="91"/>
        <v>20.631359666693374</v>
      </c>
      <c r="BA49" s="57">
        <f t="shared" si="91"/>
        <v>726.50428651550362</v>
      </c>
      <c r="BC49" s="88" t="str">
        <f t="shared" si="25"/>
        <v>Swindon</v>
      </c>
      <c r="BD49" s="191">
        <f t="shared" si="26"/>
        <v>8.7951475048249239E-2</v>
      </c>
      <c r="BE49" s="191">
        <f t="shared" si="27"/>
        <v>0.20126826578439483</v>
      </c>
      <c r="BF49" s="191">
        <f t="shared" si="28"/>
        <v>0.12682657843948167</v>
      </c>
      <c r="BG49" s="191">
        <f t="shared" si="29"/>
        <v>1.2682657843948167E-2</v>
      </c>
      <c r="BH49" s="191">
        <f t="shared" si="30"/>
        <v>6.892748828232699E-2</v>
      </c>
      <c r="BI49" s="191">
        <f t="shared" ref="BI49:BM49" si="92">AV25/$BA25</f>
        <v>0.35318444995864351</v>
      </c>
      <c r="BJ49" s="191">
        <f t="shared" si="92"/>
        <v>2.3159636062861869E-2</v>
      </c>
      <c r="BK49" s="191">
        <f t="shared" si="92"/>
        <v>5.7899090157154671E-2</v>
      </c>
      <c r="BL49" s="191">
        <f t="shared" si="92"/>
        <v>3.9702233250620347E-2</v>
      </c>
      <c r="BM49" s="191">
        <f t="shared" si="92"/>
        <v>2.8398125172318722E-2</v>
      </c>
    </row>
    <row r="50" spans="1:65" ht="13.5" customHeight="1" x14ac:dyDescent="0.2">
      <c r="A50" s="533">
        <f>VLOOKUP(B50,Sheet1!$B$4:$C$25,2,FALSE)</f>
        <v>0</v>
      </c>
      <c r="B50" s="195" t="str">
        <f t="shared" si="56"/>
        <v>Oxfordshire</v>
      </c>
      <c r="C50" s="9"/>
      <c r="D50" s="1061">
        <f t="shared" si="69"/>
        <v>5.6207807455239216</v>
      </c>
      <c r="E50" s="1062"/>
      <c r="F50" s="1061">
        <f t="shared" si="70"/>
        <v>13.149398297622541</v>
      </c>
      <c r="G50" s="1062"/>
      <c r="H50" s="1061">
        <f t="shared" si="71"/>
        <v>9.1135896683299098</v>
      </c>
      <c r="I50" s="1062"/>
      <c r="J50" s="1061">
        <f t="shared" si="72"/>
        <v>0.51364837100088045</v>
      </c>
      <c r="K50" s="1062"/>
      <c r="L50" s="1061">
        <f t="shared" si="73"/>
        <v>7.2204285294980926</v>
      </c>
      <c r="M50" s="1062"/>
      <c r="N50" s="1061">
        <f t="shared" si="74"/>
        <v>29.321984150278841</v>
      </c>
      <c r="O50" s="1062"/>
      <c r="P50" s="1052">
        <f t="shared" si="75"/>
        <v>1.1740534194305841</v>
      </c>
      <c r="Q50" s="1053"/>
      <c r="R50" s="1052">
        <f t="shared" si="76"/>
        <v>25.741121221015558</v>
      </c>
      <c r="S50" s="1053"/>
      <c r="T50" s="1052">
        <f t="shared" si="77"/>
        <v>1.8784854710889345</v>
      </c>
      <c r="U50" s="1053"/>
      <c r="V50" s="1052">
        <f t="shared" si="78"/>
        <v>6.2665101262107417</v>
      </c>
      <c r="W50" s="1054"/>
      <c r="X50" s="9"/>
      <c r="Y50" s="134"/>
      <c r="Z50" s="152"/>
      <c r="AA50" s="80"/>
      <c r="AB50" s="50" t="str">
        <f t="shared" si="21"/>
        <v>Torbay</v>
      </c>
      <c r="AC50" s="49">
        <v>18</v>
      </c>
      <c r="AD50" s="50" t="str">
        <f t="shared" si="23"/>
        <v>TorbayRate per 10,000</v>
      </c>
      <c r="AE50" s="51" t="b">
        <f t="shared" si="5"/>
        <v>0</v>
      </c>
      <c r="AF50" s="52">
        <f t="shared" ref="AF50:BA50" si="93">IF(ISERROR(AF26/$BB26*10000),NA(),AF26/$BB26*10000)</f>
        <v>55.474682299248535</v>
      </c>
      <c r="AG50" s="53" t="e">
        <f t="shared" si="93"/>
        <v>#N/A</v>
      </c>
      <c r="AH50" s="53" t="e">
        <f t="shared" si="93"/>
        <v>#N/A</v>
      </c>
      <c r="AI50" s="53" t="e">
        <f t="shared" si="93"/>
        <v>#N/A</v>
      </c>
      <c r="AJ50" s="53">
        <f t="shared" si="93"/>
        <v>150.29311091002086</v>
      </c>
      <c r="AK50" s="53">
        <f t="shared" si="93"/>
        <v>0</v>
      </c>
      <c r="AL50" s="53">
        <f t="shared" si="93"/>
        <v>102.68717787307708</v>
      </c>
      <c r="AM50" s="53" t="e">
        <f t="shared" si="93"/>
        <v>#N/A</v>
      </c>
      <c r="AN50" s="53" t="e">
        <f t="shared" si="93"/>
        <v>#N/A</v>
      </c>
      <c r="AO50" s="53" t="e">
        <f t="shared" si="93"/>
        <v>#N/A</v>
      </c>
      <c r="AP50" s="53" t="e">
        <f t="shared" si="93"/>
        <v>#N/A</v>
      </c>
      <c r="AQ50" s="53" t="e">
        <f t="shared" si="93"/>
        <v>#N/A</v>
      </c>
      <c r="AR50" s="53">
        <f t="shared" si="93"/>
        <v>3.5409371680371402</v>
      </c>
      <c r="AS50" s="53">
        <f t="shared" si="93"/>
        <v>109.37561474603612</v>
      </c>
      <c r="AT50" s="53" t="e">
        <f t="shared" si="93"/>
        <v>#N/A</v>
      </c>
      <c r="AU50" s="53" t="e">
        <f t="shared" si="93"/>
        <v>#N/A</v>
      </c>
      <c r="AV50" s="53">
        <f t="shared" si="93"/>
        <v>171.14529645512843</v>
      </c>
      <c r="AW50" s="53">
        <f t="shared" si="93"/>
        <v>9.0490616516504705</v>
      </c>
      <c r="AX50" s="53">
        <f t="shared" si="93"/>
        <v>61.376244245977098</v>
      </c>
      <c r="AY50" s="53">
        <f t="shared" si="93"/>
        <v>23.999685250029511</v>
      </c>
      <c r="AZ50" s="54">
        <f t="shared" si="93"/>
        <v>23.212810323799033</v>
      </c>
      <c r="BA50" s="57">
        <f t="shared" si="93"/>
        <v>710.15462092300436</v>
      </c>
      <c r="BC50" s="88" t="str">
        <f t="shared" si="25"/>
        <v>Torbay</v>
      </c>
      <c r="BD50" s="191">
        <f t="shared" si="26"/>
        <v>7.8116343490304704E-2</v>
      </c>
      <c r="BE50" s="191">
        <f t="shared" si="27"/>
        <v>0.2116343490304709</v>
      </c>
      <c r="BF50" s="191">
        <f t="shared" si="28"/>
        <v>0.14459833795013852</v>
      </c>
      <c r="BG50" s="191">
        <f t="shared" si="29"/>
        <v>4.9861495844875344E-3</v>
      </c>
      <c r="BH50" s="191">
        <f t="shared" si="30"/>
        <v>0.15401662049861495</v>
      </c>
      <c r="BI50" s="191">
        <f t="shared" ref="BI50:BM50" si="94">AV26/$BA26</f>
        <v>0.24099722991689751</v>
      </c>
      <c r="BJ50" s="191">
        <f t="shared" si="94"/>
        <v>1.2742382271468145E-2</v>
      </c>
      <c r="BK50" s="191">
        <f t="shared" si="94"/>
        <v>8.6426592797783933E-2</v>
      </c>
      <c r="BL50" s="191">
        <f t="shared" si="94"/>
        <v>3.3795013850415515E-2</v>
      </c>
      <c r="BM50" s="191">
        <f t="shared" si="94"/>
        <v>3.2686980609418284E-2</v>
      </c>
    </row>
    <row r="51" spans="1:65" ht="13.5" customHeight="1" x14ac:dyDescent="0.2">
      <c r="A51" s="533">
        <f>VLOOKUP(B51,Sheet1!$B$4:$C$25,2,FALSE)</f>
        <v>0</v>
      </c>
      <c r="B51" s="195" t="str">
        <f t="shared" si="56"/>
        <v>Portsmouth</v>
      </c>
      <c r="C51" s="9"/>
      <c r="D51" s="1061">
        <f t="shared" si="69"/>
        <v>8.6467486818980674</v>
      </c>
      <c r="E51" s="1062"/>
      <c r="F51" s="1061">
        <f t="shared" si="70"/>
        <v>18.699472759226715</v>
      </c>
      <c r="G51" s="1062"/>
      <c r="H51" s="1061">
        <f t="shared" si="71"/>
        <v>15.360281195079088</v>
      </c>
      <c r="I51" s="1062"/>
      <c r="J51" s="1061">
        <f t="shared" si="72"/>
        <v>2.9876977152899822</v>
      </c>
      <c r="K51" s="1062"/>
      <c r="L51" s="1061">
        <f t="shared" si="73"/>
        <v>12.407732864674868</v>
      </c>
      <c r="M51" s="1062"/>
      <c r="N51" s="1061">
        <f t="shared" si="74"/>
        <v>31.177504393673111</v>
      </c>
      <c r="O51" s="1062"/>
      <c r="P51" s="1061">
        <f t="shared" si="75"/>
        <v>4.4288224956063269</v>
      </c>
      <c r="Q51" s="1062"/>
      <c r="R51" s="1061">
        <f t="shared" si="76"/>
        <v>4.5694200351493848</v>
      </c>
      <c r="S51" s="1062"/>
      <c r="T51" s="1061">
        <f t="shared" si="77"/>
        <v>1.7223198594024607</v>
      </c>
      <c r="U51" s="1062"/>
      <c r="V51" s="1061">
        <f t="shared" si="78"/>
        <v>0</v>
      </c>
      <c r="W51" s="1063"/>
      <c r="X51" s="9"/>
      <c r="Y51" s="134"/>
      <c r="Z51" s="152"/>
      <c r="AA51" s="80"/>
      <c r="AB51" s="50" t="str">
        <f t="shared" si="21"/>
        <v>West Berkshire</v>
      </c>
      <c r="AC51" s="49">
        <v>19</v>
      </c>
      <c r="AD51" s="50" t="str">
        <f t="shared" si="23"/>
        <v>West BerkshireRate per 10,000</v>
      </c>
      <c r="AE51" s="51" t="b">
        <f t="shared" si="5"/>
        <v>0</v>
      </c>
      <c r="AF51" s="52">
        <f t="shared" ref="AF51:BA51" si="95">IF(ISERROR(AF27/$BB27*10000),NA(),AF27/$BB27*10000)</f>
        <v>38.837664151997764</v>
      </c>
      <c r="AG51" s="53" t="e">
        <f t="shared" si="95"/>
        <v>#N/A</v>
      </c>
      <c r="AH51" s="53" t="e">
        <f t="shared" si="95"/>
        <v>#N/A</v>
      </c>
      <c r="AI51" s="53" t="e">
        <f t="shared" si="95"/>
        <v>#N/A</v>
      </c>
      <c r="AJ51" s="53">
        <f t="shared" si="95"/>
        <v>82.704666107851352</v>
      </c>
      <c r="AK51" s="53">
        <f t="shared" si="95"/>
        <v>9.2204526404023461</v>
      </c>
      <c r="AL51" s="53">
        <f t="shared" si="95"/>
        <v>52.249231628946632</v>
      </c>
      <c r="AM51" s="53" t="e">
        <f t="shared" si="95"/>
        <v>#N/A</v>
      </c>
      <c r="AN51" s="53" t="e">
        <f t="shared" si="95"/>
        <v>#N/A</v>
      </c>
      <c r="AO51" s="53" t="e">
        <f t="shared" si="95"/>
        <v>#N/A</v>
      </c>
      <c r="AP51" s="53" t="e">
        <f t="shared" si="95"/>
        <v>#N/A</v>
      </c>
      <c r="AQ51" s="53" t="e">
        <f t="shared" si="95"/>
        <v>#N/A</v>
      </c>
      <c r="AR51" s="53">
        <f t="shared" si="95"/>
        <v>7.8234143615535068</v>
      </c>
      <c r="AS51" s="53">
        <f t="shared" si="95"/>
        <v>70.96954456552109</v>
      </c>
      <c r="AT51" s="53" t="e">
        <f t="shared" si="95"/>
        <v>#N/A</v>
      </c>
      <c r="AU51" s="53" t="e">
        <f t="shared" si="95"/>
        <v>#N/A</v>
      </c>
      <c r="AV51" s="53">
        <f t="shared" si="95"/>
        <v>133.55685945794914</v>
      </c>
      <c r="AW51" s="53" t="e">
        <f t="shared" si="95"/>
        <v>#N/A</v>
      </c>
      <c r="AX51" s="53">
        <f t="shared" si="95"/>
        <v>14.808605755797711</v>
      </c>
      <c r="AY51" s="53">
        <f t="shared" si="95"/>
        <v>6.7057837384744348</v>
      </c>
      <c r="AZ51" s="54" t="e">
        <f t="shared" si="95"/>
        <v>#N/A</v>
      </c>
      <c r="BA51" s="57">
        <f t="shared" si="95"/>
        <v>416.87622240849396</v>
      </c>
      <c r="BC51" s="88" t="str">
        <f t="shared" si="25"/>
        <v>West Berkshire</v>
      </c>
      <c r="BD51" s="191">
        <f t="shared" si="26"/>
        <v>9.3163538873994645E-2</v>
      </c>
      <c r="BE51" s="191">
        <f t="shared" si="27"/>
        <v>0.22050938337801609</v>
      </c>
      <c r="BF51" s="191">
        <f t="shared" si="28"/>
        <v>0.12533512064343164</v>
      </c>
      <c r="BG51" s="191">
        <f t="shared" si="29"/>
        <v>1.876675603217158E-2</v>
      </c>
      <c r="BH51" s="191">
        <f t="shared" si="30"/>
        <v>0.17024128686327078</v>
      </c>
      <c r="BI51" s="191">
        <f t="shared" ref="BI51:BM51" si="96">AV27/$BA27</f>
        <v>0.32037533512064342</v>
      </c>
      <c r="BJ51" s="191" t="e">
        <f t="shared" si="96"/>
        <v>#VALUE!</v>
      </c>
      <c r="BK51" s="191">
        <f t="shared" si="96"/>
        <v>3.5522788203753354E-2</v>
      </c>
      <c r="BL51" s="191">
        <f t="shared" si="96"/>
        <v>1.6085790884718499E-2</v>
      </c>
      <c r="BM51" s="191" t="e">
        <f t="shared" si="96"/>
        <v>#VALUE!</v>
      </c>
    </row>
    <row r="52" spans="1:65" ht="13.5" customHeight="1" x14ac:dyDescent="0.2">
      <c r="A52" s="533">
        <f>VLOOKUP(B52,Sheet1!$B$4:$C$25,2,FALSE)</f>
        <v>0</v>
      </c>
      <c r="B52" s="195" t="str">
        <f t="shared" si="56"/>
        <v>Reading</v>
      </c>
      <c r="C52" s="9"/>
      <c r="D52" s="1052">
        <f t="shared" si="69"/>
        <v>6.4665127020785222</v>
      </c>
      <c r="E52" s="1053"/>
      <c r="F52" s="1052">
        <f t="shared" si="70"/>
        <v>18.55273287143957</v>
      </c>
      <c r="G52" s="1053"/>
      <c r="H52" s="1052">
        <f t="shared" si="71"/>
        <v>15.280985373364125</v>
      </c>
      <c r="I52" s="1053"/>
      <c r="J52" s="1052">
        <f t="shared" si="72"/>
        <v>2.5404157043879905</v>
      </c>
      <c r="K52" s="1053"/>
      <c r="L52" s="1052">
        <f t="shared" si="73"/>
        <v>10.739030023094688</v>
      </c>
      <c r="M52" s="1053"/>
      <c r="N52" s="1052">
        <f t="shared" si="74"/>
        <v>39.030023094688218</v>
      </c>
      <c r="O52" s="1053"/>
      <c r="P52" s="1052">
        <f t="shared" si="75"/>
        <v>2.6943802925327174</v>
      </c>
      <c r="Q52" s="1053"/>
      <c r="R52" s="1052">
        <f t="shared" si="76"/>
        <v>4.695919938414165</v>
      </c>
      <c r="S52" s="1053"/>
      <c r="T52" s="1052" t="e">
        <f t="shared" si="77"/>
        <v>#N/A</v>
      </c>
      <c r="U52" s="1053"/>
      <c r="V52" s="1052" t="e">
        <f t="shared" si="78"/>
        <v>#N/A</v>
      </c>
      <c r="W52" s="1054"/>
      <c r="X52" s="9"/>
      <c r="Y52" s="134"/>
      <c r="Z52" s="152"/>
      <c r="AA52" s="80"/>
      <c r="AB52" s="50" t="str">
        <f t="shared" si="21"/>
        <v>West Sussex</v>
      </c>
      <c r="AC52" s="49">
        <v>20</v>
      </c>
      <c r="AD52" s="50" t="str">
        <f t="shared" si="23"/>
        <v>West SussexRate per 10,000</v>
      </c>
      <c r="AE52" s="51" t="b">
        <f t="shared" si="5"/>
        <v>0</v>
      </c>
      <c r="AF52" s="52">
        <f t="shared" ref="AF52:BA52" si="97">IF(ISERROR(AF28/$BB28*10000),NA(),AF28/$BB28*10000)</f>
        <v>53.035243333083258</v>
      </c>
      <c r="AG52" s="53" t="e">
        <f t="shared" si="97"/>
        <v>#N/A</v>
      </c>
      <c r="AH52" s="53" t="e">
        <f t="shared" si="97"/>
        <v>#N/A</v>
      </c>
      <c r="AI52" s="53" t="e">
        <f t="shared" si="97"/>
        <v>#N/A</v>
      </c>
      <c r="AJ52" s="53">
        <f t="shared" si="97"/>
        <v>108.32116619825601</v>
      </c>
      <c r="AK52" s="53">
        <f t="shared" si="97"/>
        <v>0</v>
      </c>
      <c r="AL52" s="53">
        <f t="shared" si="97"/>
        <v>62.49963931417755</v>
      </c>
      <c r="AM52" s="53" t="e">
        <f t="shared" si="97"/>
        <v>#N/A</v>
      </c>
      <c r="AN52" s="53" t="e">
        <f t="shared" si="97"/>
        <v>#N/A</v>
      </c>
      <c r="AO52" s="53" t="e">
        <f t="shared" si="97"/>
        <v>#N/A</v>
      </c>
      <c r="AP52" s="53" t="e">
        <f t="shared" si="97"/>
        <v>#N/A</v>
      </c>
      <c r="AQ52" s="53" t="e">
        <f t="shared" si="97"/>
        <v>#N/A</v>
      </c>
      <c r="AR52" s="53">
        <f t="shared" si="97"/>
        <v>10.503171149750983</v>
      </c>
      <c r="AS52" s="53">
        <f t="shared" si="97"/>
        <v>104.97400176591778</v>
      </c>
      <c r="AT52" s="53" t="e">
        <f t="shared" si="97"/>
        <v>#N/A</v>
      </c>
      <c r="AU52" s="53" t="e">
        <f t="shared" si="97"/>
        <v>#N/A</v>
      </c>
      <c r="AV52" s="53">
        <f t="shared" si="97"/>
        <v>168.10844812760777</v>
      </c>
      <c r="AW52" s="53">
        <f t="shared" si="97"/>
        <v>20.948632567909929</v>
      </c>
      <c r="AX52" s="53">
        <f t="shared" si="97"/>
        <v>39.819714798506467</v>
      </c>
      <c r="AY52" s="53">
        <f t="shared" si="97"/>
        <v>0</v>
      </c>
      <c r="AZ52" s="54">
        <f t="shared" si="97"/>
        <v>8.5987500072137166</v>
      </c>
      <c r="BA52" s="57">
        <f t="shared" si="97"/>
        <v>576.80876726242343</v>
      </c>
      <c r="BC52" s="88" t="str">
        <f t="shared" si="25"/>
        <v>West Sussex</v>
      </c>
      <c r="BD52" s="191">
        <f t="shared" si="26"/>
        <v>9.1945972986493249E-2</v>
      </c>
      <c r="BE52" s="191">
        <f t="shared" si="27"/>
        <v>0.18779389694847423</v>
      </c>
      <c r="BF52" s="191">
        <f t="shared" si="28"/>
        <v>0.10835417708854428</v>
      </c>
      <c r="BG52" s="191">
        <f t="shared" si="29"/>
        <v>1.8209104552276138E-2</v>
      </c>
      <c r="BH52" s="191">
        <f t="shared" si="30"/>
        <v>0.18199099549774889</v>
      </c>
      <c r="BI52" s="191">
        <f t="shared" ref="BI52:BM52" si="98">AV28/$BA28</f>
        <v>0.29144572286143072</v>
      </c>
      <c r="BJ52" s="191">
        <f t="shared" si="98"/>
        <v>3.6318159079539773E-2</v>
      </c>
      <c r="BK52" s="191">
        <f t="shared" si="98"/>
        <v>6.9034517258629316E-2</v>
      </c>
      <c r="BL52" s="191">
        <f t="shared" si="98"/>
        <v>0</v>
      </c>
      <c r="BM52" s="191">
        <f t="shared" si="98"/>
        <v>1.4907453726863432E-2</v>
      </c>
    </row>
    <row r="53" spans="1:65" ht="13.5" customHeight="1" x14ac:dyDescent="0.2">
      <c r="A53" s="533">
        <f>VLOOKUP(B53,Sheet1!$B$4:$C$25,2,FALSE)</f>
        <v>0</v>
      </c>
      <c r="B53" s="195" t="str">
        <f t="shared" si="56"/>
        <v>Slough</v>
      </c>
      <c r="C53" s="9"/>
      <c r="D53" s="1061">
        <f t="shared" si="69"/>
        <v>6.9269521410579351</v>
      </c>
      <c r="E53" s="1062"/>
      <c r="F53" s="1061">
        <f t="shared" si="70"/>
        <v>17.506297229219143</v>
      </c>
      <c r="G53" s="1062"/>
      <c r="H53" s="1061">
        <f t="shared" si="71"/>
        <v>12.594458438287154</v>
      </c>
      <c r="I53" s="1062"/>
      <c r="J53" s="1061" t="e">
        <f>P21</f>
        <v>#N/A</v>
      </c>
      <c r="K53" s="1062"/>
      <c r="L53" s="1061">
        <f t="shared" si="73"/>
        <v>23.173803526448363</v>
      </c>
      <c r="M53" s="1062"/>
      <c r="N53" s="1061">
        <f t="shared" si="74"/>
        <v>32.430730478589417</v>
      </c>
      <c r="O53" s="1062"/>
      <c r="P53" s="1061">
        <f t="shared" si="75"/>
        <v>2.8337531486146093</v>
      </c>
      <c r="Q53" s="1062"/>
      <c r="R53" s="1061">
        <f t="shared" si="76"/>
        <v>1.8261964735516372</v>
      </c>
      <c r="S53" s="1062"/>
      <c r="T53" s="1061">
        <f t="shared" si="77"/>
        <v>2.7078085642317382</v>
      </c>
      <c r="U53" s="1062"/>
      <c r="V53" s="1061" t="e">
        <f t="shared" si="78"/>
        <v>#N/A</v>
      </c>
      <c r="W53" s="1063"/>
      <c r="X53" s="9"/>
      <c r="Y53" s="134"/>
      <c r="Z53" s="152"/>
      <c r="AA53" s="80"/>
      <c r="AB53" s="50" t="str">
        <f t="shared" si="21"/>
        <v>Windsor &amp; Maidenhead</v>
      </c>
      <c r="AC53" s="49">
        <v>21</v>
      </c>
      <c r="AD53" s="50" t="str">
        <f t="shared" si="23"/>
        <v>Windsor &amp; MaidenheadRate per 10,000</v>
      </c>
      <c r="AE53" s="51" t="b">
        <f t="shared" si="5"/>
        <v>0</v>
      </c>
      <c r="AF53" s="52">
        <f t="shared" ref="AF53:BA53" si="99">IF(ISERROR(AF29/$BB29*10000),NA(),AF29/$BB29*10000)</f>
        <v>42.792268281322777</v>
      </c>
      <c r="AG53" s="53" t="e">
        <f t="shared" si="99"/>
        <v>#N/A</v>
      </c>
      <c r="AH53" s="53" t="e">
        <f t="shared" si="99"/>
        <v>#N/A</v>
      </c>
      <c r="AI53" s="53" t="e">
        <f t="shared" si="99"/>
        <v>#N/A</v>
      </c>
      <c r="AJ53" s="53">
        <f t="shared" si="99"/>
        <v>28.237074988355843</v>
      </c>
      <c r="AK53" s="53">
        <f t="shared" si="99"/>
        <v>0</v>
      </c>
      <c r="AL53" s="53">
        <f t="shared" si="99"/>
        <v>38.716814159292035</v>
      </c>
      <c r="AM53" s="53" t="e">
        <f t="shared" si="99"/>
        <v>#N/A</v>
      </c>
      <c r="AN53" s="53" t="e">
        <f t="shared" si="99"/>
        <v>#N/A</v>
      </c>
      <c r="AO53" s="53" t="e">
        <f t="shared" si="99"/>
        <v>#N/A</v>
      </c>
      <c r="AP53" s="53" t="e">
        <f t="shared" si="99"/>
        <v>#N/A</v>
      </c>
      <c r="AQ53" s="53" t="e">
        <f t="shared" si="99"/>
        <v>#N/A</v>
      </c>
      <c r="AR53" s="53">
        <f t="shared" si="99"/>
        <v>2.0377270610153704</v>
      </c>
      <c r="AS53" s="53">
        <f t="shared" si="99"/>
        <v>30.565905915230555</v>
      </c>
      <c r="AT53" s="53" t="e">
        <f t="shared" si="99"/>
        <v>#N/A</v>
      </c>
      <c r="AU53" s="53" t="e">
        <f t="shared" si="99"/>
        <v>#N/A</v>
      </c>
      <c r="AV53" s="53">
        <f t="shared" si="99"/>
        <v>108.29063809967397</v>
      </c>
      <c r="AW53" s="53">
        <f t="shared" si="99"/>
        <v>4.0754541220307408</v>
      </c>
      <c r="AX53" s="53">
        <f t="shared" si="99"/>
        <v>8.7331159757801586</v>
      </c>
      <c r="AY53" s="53">
        <f t="shared" si="99"/>
        <v>6.6953889147647878</v>
      </c>
      <c r="AZ53" s="54">
        <f t="shared" si="99"/>
        <v>38.716814159292035</v>
      </c>
      <c r="BA53" s="57">
        <f t="shared" si="99"/>
        <v>308.8612016767583</v>
      </c>
      <c r="BC53" s="88" t="str">
        <f t="shared" si="25"/>
        <v>Windsor &amp; Maidenhead</v>
      </c>
      <c r="BD53" s="191">
        <f t="shared" si="26"/>
        <v>0.13854853911404336</v>
      </c>
      <c r="BE53" s="191">
        <f t="shared" si="27"/>
        <v>9.1423185673892557E-2</v>
      </c>
      <c r="BF53" s="191">
        <f t="shared" si="28"/>
        <v>0.12535344015080113</v>
      </c>
      <c r="BG53" s="191">
        <f t="shared" si="29"/>
        <v>6.5975494816211122E-3</v>
      </c>
      <c r="BH53" s="191">
        <f t="shared" si="30"/>
        <v>9.8963242224316683E-2</v>
      </c>
      <c r="BI53" s="191">
        <f t="shared" ref="BI53:BM53" si="100">AV29/$BA29</f>
        <v>0.35061262959472195</v>
      </c>
      <c r="BJ53" s="191">
        <f t="shared" si="100"/>
        <v>1.3195098963242224E-2</v>
      </c>
      <c r="BK53" s="191">
        <f t="shared" si="100"/>
        <v>2.827521206409048E-2</v>
      </c>
      <c r="BL53" s="191">
        <f t="shared" si="100"/>
        <v>2.1677662582469368E-2</v>
      </c>
      <c r="BM53" s="191">
        <f t="shared" si="100"/>
        <v>0.12535344015080113</v>
      </c>
    </row>
    <row r="54" spans="1:65" ht="13.5" customHeight="1" x14ac:dyDescent="0.2">
      <c r="A54" s="533">
        <f>VLOOKUP(B54,Sheet1!$B$4:$C$25,2,FALSE)</f>
        <v>0</v>
      </c>
      <c r="B54" s="195" t="str">
        <f t="shared" si="56"/>
        <v>Somerset</v>
      </c>
      <c r="C54" s="9"/>
      <c r="D54" s="1061">
        <f t="shared" si="69"/>
        <v>12.410454985479188</v>
      </c>
      <c r="E54" s="1062"/>
      <c r="F54" s="1061">
        <f t="shared" si="70"/>
        <v>14.249757986447241</v>
      </c>
      <c r="G54" s="1062"/>
      <c r="H54" s="1061">
        <f t="shared" si="71"/>
        <v>15.605033881897388</v>
      </c>
      <c r="I54" s="1062"/>
      <c r="J54" s="1061">
        <f t="shared" si="72"/>
        <v>0.54211035818005804</v>
      </c>
      <c r="K54" s="1062"/>
      <c r="L54" s="1061">
        <f t="shared" si="73"/>
        <v>10.939012584704743</v>
      </c>
      <c r="M54" s="1062"/>
      <c r="N54" s="1061">
        <f t="shared" si="74"/>
        <v>31.965150048402712</v>
      </c>
      <c r="O54" s="1062"/>
      <c r="P54" s="1061">
        <f t="shared" si="75"/>
        <v>3.4075508228460798</v>
      </c>
      <c r="Q54" s="1062"/>
      <c r="R54" s="1061">
        <f t="shared" si="76"/>
        <v>6.6408518877057121</v>
      </c>
      <c r="S54" s="1062"/>
      <c r="T54" s="1061">
        <f t="shared" si="77"/>
        <v>4.0077444336882868</v>
      </c>
      <c r="U54" s="1062"/>
      <c r="V54" s="1061">
        <f t="shared" si="78"/>
        <v>0.23233301064859629</v>
      </c>
      <c r="W54" s="1063"/>
      <c r="X54" s="15"/>
      <c r="Y54" s="134"/>
      <c r="Z54" s="152"/>
      <c r="AA54" s="80"/>
      <c r="AB54" s="50" t="str">
        <f t="shared" si="21"/>
        <v>Wokingham</v>
      </c>
      <c r="AC54" s="49">
        <v>22</v>
      </c>
      <c r="AD54" s="50" t="str">
        <f t="shared" si="23"/>
        <v>WokinghamRate per 10,000</v>
      </c>
      <c r="AE54" s="51" t="b">
        <f t="shared" si="5"/>
        <v>0</v>
      </c>
      <c r="AF54" s="52">
        <f t="shared" ref="AF54:BA54" si="101">IF(ISERROR(AF30/$BB30*10000),NA(),AF30/$BB30*10000)</f>
        <v>31.264534132602964</v>
      </c>
      <c r="AG54" s="53" t="e">
        <f t="shared" si="101"/>
        <v>#N/A</v>
      </c>
      <c r="AH54" s="53" t="e">
        <f t="shared" si="101"/>
        <v>#N/A</v>
      </c>
      <c r="AI54" s="53" t="e">
        <f t="shared" si="101"/>
        <v>#N/A</v>
      </c>
      <c r="AJ54" s="53">
        <f t="shared" si="101"/>
        <v>53.743992558524106</v>
      </c>
      <c r="AK54" s="53" t="e">
        <f t="shared" si="101"/>
        <v>#N/A</v>
      </c>
      <c r="AL54" s="53">
        <f t="shared" si="101"/>
        <v>45.217301431450572</v>
      </c>
      <c r="AM54" s="53" t="e">
        <f t="shared" si="101"/>
        <v>#N/A</v>
      </c>
      <c r="AN54" s="53" t="e">
        <f t="shared" si="101"/>
        <v>#N/A</v>
      </c>
      <c r="AO54" s="53" t="e">
        <f t="shared" si="101"/>
        <v>#N/A</v>
      </c>
      <c r="AP54" s="53" t="e">
        <f t="shared" si="101"/>
        <v>#N/A</v>
      </c>
      <c r="AQ54" s="53" t="e">
        <f t="shared" si="101"/>
        <v>#N/A</v>
      </c>
      <c r="AR54" s="53">
        <f t="shared" si="101"/>
        <v>2.58384579608289</v>
      </c>
      <c r="AS54" s="53">
        <f t="shared" si="101"/>
        <v>36.432225724768749</v>
      </c>
      <c r="AT54" s="53" t="e">
        <f t="shared" si="101"/>
        <v>#N/A</v>
      </c>
      <c r="AU54" s="53" t="e">
        <f t="shared" si="101"/>
        <v>#N/A</v>
      </c>
      <c r="AV54" s="53">
        <f t="shared" si="101"/>
        <v>150.12144075241588</v>
      </c>
      <c r="AW54" s="53">
        <f t="shared" si="101"/>
        <v>10.593767763939848</v>
      </c>
      <c r="AX54" s="53">
        <f t="shared" si="101"/>
        <v>16.019843935713919</v>
      </c>
      <c r="AY54" s="53">
        <f t="shared" si="101"/>
        <v>4.6509224329492014</v>
      </c>
      <c r="AZ54" s="54" t="e">
        <f t="shared" si="101"/>
        <v>#N/A</v>
      </c>
      <c r="BA54" s="57">
        <f t="shared" si="101"/>
        <v>350.62787452844816</v>
      </c>
      <c r="BC54" s="88" t="str">
        <f t="shared" si="25"/>
        <v>Wokingham</v>
      </c>
      <c r="BD54" s="191">
        <f t="shared" si="26"/>
        <v>8.9167280766396462E-2</v>
      </c>
      <c r="BE54" s="191">
        <f t="shared" si="27"/>
        <v>0.15327929255711129</v>
      </c>
      <c r="BF54" s="191">
        <f t="shared" si="28"/>
        <v>0.12896094325718496</v>
      </c>
      <c r="BG54" s="191">
        <f t="shared" si="29"/>
        <v>7.3691967575534268E-3</v>
      </c>
      <c r="BH54" s="191">
        <f t="shared" si="30"/>
        <v>0.10390567428150331</v>
      </c>
      <c r="BI54" s="191">
        <f t="shared" ref="BI54:BM54" si="102">AV30/$BA30</f>
        <v>0.42815033161385407</v>
      </c>
      <c r="BJ54" s="191">
        <f t="shared" si="102"/>
        <v>3.021370670596905E-2</v>
      </c>
      <c r="BK54" s="191">
        <f t="shared" si="102"/>
        <v>4.5689019896831246E-2</v>
      </c>
      <c r="BL54" s="191">
        <f t="shared" si="102"/>
        <v>1.3264554163596167E-2</v>
      </c>
      <c r="BM54" s="191" t="e">
        <f t="shared" si="102"/>
        <v>#VALUE!</v>
      </c>
    </row>
    <row r="55" spans="1:65" ht="13.5" customHeight="1" x14ac:dyDescent="0.2">
      <c r="A55" s="533">
        <f>VLOOKUP(B55,Sheet1!$B$4:$C$25,2,FALSE)</f>
        <v>0</v>
      </c>
      <c r="B55" s="195" t="str">
        <f t="shared" si="56"/>
        <v>Southampton</v>
      </c>
      <c r="C55" s="9"/>
      <c r="D55" s="1061">
        <f t="shared" si="69"/>
        <v>3.788748564867968</v>
      </c>
      <c r="E55" s="1062"/>
      <c r="F55" s="1061">
        <f t="shared" si="70"/>
        <v>21.39303482587065</v>
      </c>
      <c r="G55" s="1062"/>
      <c r="H55" s="1061">
        <f t="shared" si="71"/>
        <v>13.088404133180253</v>
      </c>
      <c r="I55" s="1062"/>
      <c r="J55" s="1061">
        <f t="shared" si="72"/>
        <v>1.4159969383849982</v>
      </c>
      <c r="K55" s="1062"/>
      <c r="L55" s="1061">
        <f t="shared" si="73"/>
        <v>18.446230386528896</v>
      </c>
      <c r="M55" s="1062"/>
      <c r="N55" s="1061">
        <f t="shared" si="74"/>
        <v>30.616150019135091</v>
      </c>
      <c r="O55" s="1062"/>
      <c r="P55" s="1061">
        <f t="shared" si="75"/>
        <v>2.5641025641025639</v>
      </c>
      <c r="Q55" s="1062"/>
      <c r="R55" s="1061">
        <f t="shared" si="76"/>
        <v>6.0849598163030993</v>
      </c>
      <c r="S55" s="1062"/>
      <c r="T55" s="1061">
        <f t="shared" si="77"/>
        <v>2.6023727516264827</v>
      </c>
      <c r="U55" s="1062"/>
      <c r="V55" s="1061">
        <f t="shared" si="78"/>
        <v>0</v>
      </c>
      <c r="W55" s="1063"/>
      <c r="X55" s="15"/>
      <c r="Y55" s="134"/>
      <c r="Z55" s="152"/>
      <c r="AA55" s="80"/>
      <c r="AB55" s="50" t="str">
        <f t="shared" si="21"/>
        <v>South East</v>
      </c>
      <c r="AC55" s="49">
        <v>23</v>
      </c>
      <c r="AD55" s="50" t="str">
        <f t="shared" si="23"/>
        <v>South EastRate per 10,000</v>
      </c>
      <c r="AE55" s="51" t="b">
        <f t="shared" si="5"/>
        <v>0</v>
      </c>
      <c r="AF55" s="52">
        <f t="shared" ref="AF55:BA55" si="103">IF(ISERROR(AF31/$BB31*10000),NA(),AF31/$BB31*10000)</f>
        <v>46.839672508121701</v>
      </c>
      <c r="AG55" s="53">
        <f t="shared" si="103"/>
        <v>0</v>
      </c>
      <c r="AH55" s="53">
        <f t="shared" si="103"/>
        <v>0</v>
      </c>
      <c r="AI55" s="53">
        <f t="shared" si="103"/>
        <v>0</v>
      </c>
      <c r="AJ55" s="53">
        <f t="shared" si="103"/>
        <v>104.02985804055322</v>
      </c>
      <c r="AK55" s="53">
        <f t="shared" si="103"/>
        <v>3.3952975129445719</v>
      </c>
      <c r="AL55" s="53">
        <f t="shared" si="103"/>
        <v>69.197192191844607</v>
      </c>
      <c r="AM55" s="53">
        <f t="shared" si="103"/>
        <v>0</v>
      </c>
      <c r="AN55" s="53">
        <f t="shared" si="103"/>
        <v>0</v>
      </c>
      <c r="AO55" s="53">
        <f t="shared" si="103"/>
        <v>0</v>
      </c>
      <c r="AP55" s="53">
        <f t="shared" si="103"/>
        <v>0</v>
      </c>
      <c r="AQ55" s="53">
        <f t="shared" si="103"/>
        <v>0</v>
      </c>
      <c r="AR55" s="53">
        <f t="shared" si="103"/>
        <v>7.4902320891625704</v>
      </c>
      <c r="AS55" s="53">
        <f t="shared" si="103"/>
        <v>69.624176576048228</v>
      </c>
      <c r="AT55" s="53">
        <f t="shared" si="103"/>
        <v>0</v>
      </c>
      <c r="AU55" s="53">
        <f t="shared" si="103"/>
        <v>0</v>
      </c>
      <c r="AV55" s="53">
        <f t="shared" si="103"/>
        <v>172.79492145802305</v>
      </c>
      <c r="AW55" s="53">
        <f t="shared" si="103"/>
        <v>15.721256362967594</v>
      </c>
      <c r="AX55" s="53">
        <f t="shared" si="103"/>
        <v>38.444027748840583</v>
      </c>
      <c r="AY55" s="53">
        <f t="shared" si="103"/>
        <v>9.9801169319885901</v>
      </c>
      <c r="AZ55" s="54">
        <f t="shared" si="103"/>
        <v>10.381379365336585</v>
      </c>
      <c r="BA55" s="57">
        <f t="shared" si="103"/>
        <v>547.89813078583131</v>
      </c>
      <c r="BC55" s="88" t="str">
        <f t="shared" si="25"/>
        <v>South East</v>
      </c>
      <c r="BD55" s="191">
        <f t="shared" si="26"/>
        <v>8.5489746863967556E-2</v>
      </c>
      <c r="BE55" s="191">
        <f t="shared" si="27"/>
        <v>0.19606775332381882</v>
      </c>
      <c r="BF55" s="191">
        <f t="shared" si="28"/>
        <v>0.12629572598212274</v>
      </c>
      <c r="BG55" s="191">
        <f t="shared" si="29"/>
        <v>1.367084804326598E-2</v>
      </c>
      <c r="BH55" s="191">
        <f t="shared" si="30"/>
        <v>0.12707503943513859</v>
      </c>
      <c r="BI55" s="191">
        <f t="shared" ref="BI55:BM55" si="104">AV31/$BA31</f>
        <v>0.31537782618493204</v>
      </c>
      <c r="BJ55" s="191">
        <f t="shared" si="104"/>
        <v>2.8693757980920904E-2</v>
      </c>
      <c r="BK55" s="191">
        <f t="shared" si="104"/>
        <v>7.0166378727559528E-2</v>
      </c>
      <c r="BL55" s="191">
        <f t="shared" si="104"/>
        <v>1.8215278299406595E-2</v>
      </c>
      <c r="BM55" s="191">
        <f t="shared" si="104"/>
        <v>1.8947645158867273E-2</v>
      </c>
    </row>
    <row r="56" spans="1:65" ht="13.5" customHeight="1" x14ac:dyDescent="0.2">
      <c r="A56" s="533">
        <f>VLOOKUP(B56,Sheet1!$B$4:$C$25,2,FALSE)</f>
        <v>0</v>
      </c>
      <c r="B56" s="195" t="str">
        <f t="shared" si="56"/>
        <v>Surrey</v>
      </c>
      <c r="C56" s="9"/>
      <c r="D56" s="1061">
        <f t="shared" si="69"/>
        <v>4.7996477322765303</v>
      </c>
      <c r="E56" s="1062"/>
      <c r="F56" s="1061">
        <f t="shared" si="70"/>
        <v>20.24071627770439</v>
      </c>
      <c r="G56" s="1062"/>
      <c r="H56" s="1061">
        <f t="shared" si="71"/>
        <v>13.048583590195214</v>
      </c>
      <c r="I56" s="1062"/>
      <c r="J56" s="1061">
        <f t="shared" si="72"/>
        <v>0.92470277410832236</v>
      </c>
      <c r="K56" s="1062"/>
      <c r="L56" s="1061">
        <f t="shared" si="73"/>
        <v>12.813738441215325</v>
      </c>
      <c r="M56" s="1062"/>
      <c r="N56" s="1061">
        <f t="shared" si="74"/>
        <v>38.154997798326725</v>
      </c>
      <c r="O56" s="1062"/>
      <c r="P56" s="1061">
        <f t="shared" si="75"/>
        <v>2.6933803023631295</v>
      </c>
      <c r="Q56" s="1062"/>
      <c r="R56" s="1061">
        <f t="shared" si="76"/>
        <v>5.8931454572141497</v>
      </c>
      <c r="S56" s="1062"/>
      <c r="T56" s="1061">
        <f t="shared" si="77"/>
        <v>1.4310876265962131</v>
      </c>
      <c r="U56" s="1062"/>
      <c r="V56" s="1061">
        <f t="shared" si="78"/>
        <v>0</v>
      </c>
      <c r="W56" s="1063"/>
      <c r="X56" s="15"/>
      <c r="Y56" s="134"/>
      <c r="Z56" s="152"/>
      <c r="AA56" s="80"/>
      <c r="AB56" s="50" t="str">
        <f t="shared" si="21"/>
        <v>England</v>
      </c>
      <c r="AC56" s="49">
        <v>24</v>
      </c>
      <c r="AD56" s="50" t="str">
        <f t="shared" ref="AD56" si="105">CONCATENATE(AB56,$AB$6)</f>
        <v>EnglandRate per 10,000</v>
      </c>
      <c r="AE56" s="51" t="b">
        <f t="shared" ref="AE56" si="106">IF(AB56=$AA$6,1)</f>
        <v>0</v>
      </c>
      <c r="AF56" s="52">
        <f t="shared" ref="AF56:BA56" si="107">IF(ISERROR(AF32/$BB32*10000),NA(),AF32/$BB32*10000)</f>
        <v>44.552280757400567</v>
      </c>
      <c r="AG56" s="53" t="e">
        <f t="shared" si="107"/>
        <v>#N/A</v>
      </c>
      <c r="AH56" s="53" t="e">
        <f t="shared" si="107"/>
        <v>#N/A</v>
      </c>
      <c r="AI56" s="53" t="e">
        <f t="shared" si="107"/>
        <v>#N/A</v>
      </c>
      <c r="AJ56" s="53">
        <f t="shared" si="107"/>
        <v>100.30372571502534</v>
      </c>
      <c r="AK56" s="53">
        <f t="shared" si="107"/>
        <v>11.081189558536362</v>
      </c>
      <c r="AL56" s="53">
        <f t="shared" si="107"/>
        <v>81.554184446779416</v>
      </c>
      <c r="AM56" s="53" t="e">
        <f t="shared" si="107"/>
        <v>#N/A</v>
      </c>
      <c r="AN56" s="53" t="e">
        <f t="shared" si="107"/>
        <v>#N/A</v>
      </c>
      <c r="AO56" s="53" t="e">
        <f t="shared" si="107"/>
        <v>#N/A</v>
      </c>
      <c r="AP56" s="53" t="e">
        <f t="shared" si="107"/>
        <v>#N/A</v>
      </c>
      <c r="AQ56" s="53" t="e">
        <f t="shared" si="107"/>
        <v>#N/A</v>
      </c>
      <c r="AR56" s="53">
        <f t="shared" si="107"/>
        <v>7.9548615538086134</v>
      </c>
      <c r="AS56" s="53">
        <f t="shared" si="107"/>
        <v>75.30152843732391</v>
      </c>
      <c r="AT56" s="53" t="e">
        <f t="shared" si="107"/>
        <v>#N/A</v>
      </c>
      <c r="AU56" s="53" t="e">
        <f t="shared" si="107"/>
        <v>#N/A</v>
      </c>
      <c r="AV56" s="53">
        <f t="shared" si="107"/>
        <v>157.51300017350701</v>
      </c>
      <c r="AW56" s="53">
        <f t="shared" si="107"/>
        <v>19.288853915961777</v>
      </c>
      <c r="AX56" s="53">
        <f t="shared" si="107"/>
        <v>32.39246590343253</v>
      </c>
      <c r="AY56" s="53">
        <f t="shared" si="107"/>
        <v>13.390121831569795</v>
      </c>
      <c r="AZ56" s="54">
        <f t="shared" si="107"/>
        <v>8.9997798087580492</v>
      </c>
      <c r="BA56" s="57">
        <f t="shared" si="107"/>
        <v>552.3319921021033</v>
      </c>
      <c r="BC56" s="88" t="str">
        <f t="shared" si="25"/>
        <v>England</v>
      </c>
      <c r="BD56" s="191">
        <f t="shared" si="26"/>
        <v>8.066214051415059E-2</v>
      </c>
      <c r="BE56" s="191">
        <f t="shared" si="27"/>
        <v>0.20166297963231367</v>
      </c>
      <c r="BF56" s="191">
        <f t="shared" si="28"/>
        <v>0.14765428331680525</v>
      </c>
      <c r="BG56" s="191">
        <f t="shared" si="29"/>
        <v>1.4402319017468914E-2</v>
      </c>
      <c r="BH56" s="191">
        <f t="shared" si="30"/>
        <v>0.13633381646197268</v>
      </c>
      <c r="BI56" s="191">
        <f t="shared" ref="BI56:BM56" si="108">AV32/$BA32</f>
        <v>0.28517812190098407</v>
      </c>
      <c r="BJ56" s="191">
        <f t="shared" si="108"/>
        <v>3.4922572278587229E-2</v>
      </c>
      <c r="BK56" s="191">
        <f t="shared" si="108"/>
        <v>5.86467312533374E-2</v>
      </c>
      <c r="BL56" s="191">
        <f t="shared" si="108"/>
        <v>2.4242886566481044E-2</v>
      </c>
      <c r="BM56" s="191">
        <f t="shared" si="108"/>
        <v>1.6294149057899152E-2</v>
      </c>
    </row>
    <row r="57" spans="1:65" s="88" customFormat="1" ht="13.5" customHeight="1" x14ac:dyDescent="0.2">
      <c r="A57" s="533">
        <f>VLOOKUP(B57,Sheet1!$B$4:$C$25,2,FALSE)</f>
        <v>0</v>
      </c>
      <c r="B57" s="195" t="str">
        <f>B25</f>
        <v>Swindon</v>
      </c>
      <c r="C57" s="9"/>
      <c r="D57" s="1061">
        <f t="shared" si="69"/>
        <v>8.7951475048249232</v>
      </c>
      <c r="E57" s="1062"/>
      <c r="F57" s="1061">
        <f t="shared" si="70"/>
        <v>20.126826578439481</v>
      </c>
      <c r="G57" s="1062"/>
      <c r="H57" s="1061">
        <f t="shared" si="71"/>
        <v>12.682657843948167</v>
      </c>
      <c r="I57" s="1062"/>
      <c r="J57" s="1061">
        <f t="shared" si="72"/>
        <v>1.2682657843948166</v>
      </c>
      <c r="K57" s="1062"/>
      <c r="L57" s="1061">
        <f t="shared" si="73"/>
        <v>6.8927488282326994</v>
      </c>
      <c r="M57" s="1062"/>
      <c r="N57" s="1061">
        <f t="shared" si="74"/>
        <v>35.318444995864354</v>
      </c>
      <c r="O57" s="1062"/>
      <c r="P57" s="1061">
        <f t="shared" si="75"/>
        <v>2.315963606286187</v>
      </c>
      <c r="Q57" s="1062"/>
      <c r="R57" s="1061">
        <f t="shared" si="76"/>
        <v>5.7899090157154669</v>
      </c>
      <c r="S57" s="1062"/>
      <c r="T57" s="1061">
        <f t="shared" si="77"/>
        <v>3.9702233250620349</v>
      </c>
      <c r="U57" s="1062"/>
      <c r="V57" s="1061">
        <f t="shared" si="78"/>
        <v>2.8398125172318722</v>
      </c>
      <c r="W57" s="1063"/>
      <c r="X57" s="15"/>
      <c r="Y57" s="134"/>
      <c r="Z57" s="152"/>
      <c r="AB57" s="50" t="str">
        <f t="shared" ref="AB57:AB80" si="109">B9</f>
        <v>Bracknell Forest</v>
      </c>
      <c r="AC57" s="49">
        <v>1</v>
      </c>
      <c r="AD57" s="50" t="str">
        <f>CONCATENATE(AB57,$AB$7)</f>
        <v>Bracknell ForestProportion (%)</v>
      </c>
      <c r="AE57" s="51" t="b">
        <f t="shared" si="5"/>
        <v>0</v>
      </c>
      <c r="AF57" s="52">
        <f t="shared" ref="AF57:BA57" si="110">IF(ISERROR(AF9/$BA9*100),NA(),AF9/$BA9*100)</f>
        <v>6.4321055525013744</v>
      </c>
      <c r="AG57" s="53" t="e">
        <f t="shared" si="110"/>
        <v>#N/A</v>
      </c>
      <c r="AH57" s="53" t="e">
        <f t="shared" si="110"/>
        <v>#N/A</v>
      </c>
      <c r="AI57" s="53" t="e">
        <f t="shared" si="110"/>
        <v>#N/A</v>
      </c>
      <c r="AJ57" s="53">
        <f t="shared" si="110"/>
        <v>27.322704782847719</v>
      </c>
      <c r="AK57" s="53">
        <f t="shared" si="110"/>
        <v>2.1440351841671248</v>
      </c>
      <c r="AL57" s="53">
        <f t="shared" si="110"/>
        <v>7.4766355140186906</v>
      </c>
      <c r="AM57" s="53" t="e">
        <f t="shared" si="110"/>
        <v>#N/A</v>
      </c>
      <c r="AN57" s="53" t="e">
        <f t="shared" si="110"/>
        <v>#N/A</v>
      </c>
      <c r="AO57" s="53" t="e">
        <f t="shared" si="110"/>
        <v>#N/A</v>
      </c>
      <c r="AP57" s="53" t="e">
        <f t="shared" si="110"/>
        <v>#N/A</v>
      </c>
      <c r="AQ57" s="53" t="e">
        <f t="shared" si="110"/>
        <v>#N/A</v>
      </c>
      <c r="AR57" s="53">
        <f t="shared" si="110"/>
        <v>1.3194062671797691</v>
      </c>
      <c r="AS57" s="53">
        <f t="shared" si="110"/>
        <v>20.450797141286419</v>
      </c>
      <c r="AT57" s="53" t="e">
        <f t="shared" si="110"/>
        <v>#N/A</v>
      </c>
      <c r="AU57" s="53" t="e">
        <f t="shared" si="110"/>
        <v>#N/A</v>
      </c>
      <c r="AV57" s="53">
        <f t="shared" si="110"/>
        <v>22.649807586586039</v>
      </c>
      <c r="AW57" s="53">
        <f t="shared" si="110"/>
        <v>1.4293567894447499</v>
      </c>
      <c r="AX57" s="53">
        <f t="shared" si="110"/>
        <v>7.4216602528862019</v>
      </c>
      <c r="AY57" s="53">
        <f t="shared" si="110"/>
        <v>3.0236393622869708</v>
      </c>
      <c r="AZ57" s="54">
        <f t="shared" si="110"/>
        <v>0.32985156679494226</v>
      </c>
      <c r="BA57" s="57">
        <f t="shared" si="110"/>
        <v>100</v>
      </c>
      <c r="BB57" s="80"/>
      <c r="BC57" s="80"/>
      <c r="BD57" s="742"/>
      <c r="BE57" s="742"/>
      <c r="BF57" s="742"/>
      <c r="BG57" s="742"/>
      <c r="BH57" s="742"/>
      <c r="BI57" s="742"/>
      <c r="BJ57" s="742"/>
      <c r="BK57" s="742"/>
      <c r="BL57" s="742"/>
      <c r="BM57" s="742"/>
    </row>
    <row r="58" spans="1:65" s="88" customFormat="1" ht="13.5" customHeight="1" x14ac:dyDescent="0.2">
      <c r="A58" s="533">
        <f>VLOOKUP(B58,Sheet1!$B$4:$C$25,2,FALSE)</f>
        <v>0</v>
      </c>
      <c r="B58" s="195" t="str">
        <f t="shared" si="56"/>
        <v>Torbay</v>
      </c>
      <c r="C58" s="9"/>
      <c r="D58" s="1052">
        <f t="shared" si="69"/>
        <v>7.81163434903047</v>
      </c>
      <c r="E58" s="1053"/>
      <c r="F58" s="1052">
        <f t="shared" si="70"/>
        <v>21.16343490304709</v>
      </c>
      <c r="G58" s="1053"/>
      <c r="H58" s="1052">
        <f t="shared" si="71"/>
        <v>14.459833795013852</v>
      </c>
      <c r="I58" s="1053"/>
      <c r="J58" s="1052">
        <f t="shared" si="72"/>
        <v>0.49861495844875342</v>
      </c>
      <c r="K58" s="1053"/>
      <c r="L58" s="1052">
        <f t="shared" si="73"/>
        <v>15.401662049861494</v>
      </c>
      <c r="M58" s="1053"/>
      <c r="N58" s="1052">
        <f t="shared" si="74"/>
        <v>24.099722991689752</v>
      </c>
      <c r="O58" s="1053"/>
      <c r="P58" s="1052">
        <f t="shared" si="75"/>
        <v>1.2742382271468145</v>
      </c>
      <c r="Q58" s="1053"/>
      <c r="R58" s="1052">
        <f t="shared" si="76"/>
        <v>8.6426592797783925</v>
      </c>
      <c r="S58" s="1053"/>
      <c r="T58" s="1052">
        <f t="shared" si="77"/>
        <v>3.3795013850415514</v>
      </c>
      <c r="U58" s="1053"/>
      <c r="V58" s="1052">
        <f t="shared" si="78"/>
        <v>3.2686980609418286</v>
      </c>
      <c r="W58" s="1054"/>
      <c r="X58" s="15"/>
      <c r="Y58" s="134"/>
      <c r="Z58" s="152"/>
      <c r="AB58" s="50" t="str">
        <f t="shared" si="109"/>
        <v>Brighton &amp; Hove</v>
      </c>
      <c r="AC58" s="49">
        <v>2</v>
      </c>
      <c r="AD58" s="50" t="str">
        <f t="shared" ref="AD58:AD79" si="111">CONCATENATE(AB58,$AB$7)</f>
        <v>Brighton &amp; HoveProportion (%)</v>
      </c>
      <c r="AE58" s="51" t="b">
        <f t="shared" si="5"/>
        <v>0</v>
      </c>
      <c r="AF58" s="52">
        <f t="shared" ref="AF58:BA58" si="112">IF(ISERROR(AF10/$BA10*100),NA(),AF10/$BA10*100)</f>
        <v>4.6351674641148328</v>
      </c>
      <c r="AG58" s="53" t="e">
        <f t="shared" si="112"/>
        <v>#N/A</v>
      </c>
      <c r="AH58" s="53" t="e">
        <f t="shared" si="112"/>
        <v>#N/A</v>
      </c>
      <c r="AI58" s="53" t="e">
        <f t="shared" si="112"/>
        <v>#N/A</v>
      </c>
      <c r="AJ58" s="53">
        <f t="shared" si="112"/>
        <v>16.746411483253588</v>
      </c>
      <c r="AK58" s="53">
        <f t="shared" si="112"/>
        <v>1.8540669856459329</v>
      </c>
      <c r="AL58" s="53">
        <f t="shared" si="112"/>
        <v>11.064593301435407</v>
      </c>
      <c r="AM58" s="53" t="e">
        <f t="shared" si="112"/>
        <v>#N/A</v>
      </c>
      <c r="AN58" s="53" t="e">
        <f t="shared" si="112"/>
        <v>#N/A</v>
      </c>
      <c r="AO58" s="53" t="e">
        <f t="shared" si="112"/>
        <v>#N/A</v>
      </c>
      <c r="AP58" s="53" t="e">
        <f t="shared" si="112"/>
        <v>#N/A</v>
      </c>
      <c r="AQ58" s="53" t="e">
        <f t="shared" si="112"/>
        <v>#N/A</v>
      </c>
      <c r="AR58" s="53">
        <f t="shared" si="112"/>
        <v>1.6447368421052631</v>
      </c>
      <c r="AS58" s="53">
        <f t="shared" si="112"/>
        <v>15.879186602870812</v>
      </c>
      <c r="AT58" s="53" t="e">
        <f t="shared" si="112"/>
        <v>#N/A</v>
      </c>
      <c r="AU58" s="53" t="e">
        <f t="shared" si="112"/>
        <v>#N/A</v>
      </c>
      <c r="AV58" s="53">
        <f t="shared" si="112"/>
        <v>25.807416267942585</v>
      </c>
      <c r="AW58" s="53">
        <f t="shared" si="112"/>
        <v>2.4820574162679425</v>
      </c>
      <c r="AX58" s="53">
        <f t="shared" si="112"/>
        <v>4.5753588516746415</v>
      </c>
      <c r="AY58" s="53">
        <f t="shared" si="112"/>
        <v>1.2559808612440191</v>
      </c>
      <c r="AZ58" s="54">
        <f t="shared" si="112"/>
        <v>14.055023923444976</v>
      </c>
      <c r="BA58" s="57">
        <f t="shared" si="112"/>
        <v>100</v>
      </c>
      <c r="BD58" s="742"/>
      <c r="BE58" s="742"/>
      <c r="BF58" s="742"/>
      <c r="BG58" s="742"/>
      <c r="BH58" s="742"/>
      <c r="BI58" s="742"/>
      <c r="BJ58" s="742"/>
      <c r="BK58" s="742"/>
      <c r="BL58" s="742"/>
      <c r="BM58" s="742"/>
    </row>
    <row r="59" spans="1:65" s="88" customFormat="1" ht="13.5" customHeight="1" x14ac:dyDescent="0.2">
      <c r="A59" s="533">
        <f>VLOOKUP(B59,Sheet1!$B$4:$C$25,2,FALSE)</f>
        <v>0</v>
      </c>
      <c r="B59" s="195" t="str">
        <f t="shared" si="56"/>
        <v>West Berkshire</v>
      </c>
      <c r="C59" s="9"/>
      <c r="D59" s="1052">
        <f t="shared" si="69"/>
        <v>9.3163538873994653</v>
      </c>
      <c r="E59" s="1053"/>
      <c r="F59" s="1052">
        <f t="shared" si="70"/>
        <v>22.050938337801611</v>
      </c>
      <c r="G59" s="1053"/>
      <c r="H59" s="1052">
        <f t="shared" si="71"/>
        <v>12.533512064343164</v>
      </c>
      <c r="I59" s="1053"/>
      <c r="J59" s="1052">
        <f t="shared" si="72"/>
        <v>1.8766756032171581</v>
      </c>
      <c r="K59" s="1053"/>
      <c r="L59" s="1052">
        <f t="shared" si="73"/>
        <v>17.024128686327078</v>
      </c>
      <c r="M59" s="1053"/>
      <c r="N59" s="1052">
        <f t="shared" si="74"/>
        <v>32.037533512064343</v>
      </c>
      <c r="O59" s="1053"/>
      <c r="P59" s="1052" t="e">
        <f t="shared" si="75"/>
        <v>#N/A</v>
      </c>
      <c r="Q59" s="1053"/>
      <c r="R59" s="1052">
        <f t="shared" si="76"/>
        <v>3.5522788203753355</v>
      </c>
      <c r="S59" s="1053"/>
      <c r="T59" s="1052">
        <f t="shared" si="77"/>
        <v>1.6085790884718498</v>
      </c>
      <c r="U59" s="1053"/>
      <c r="V59" s="1052" t="e">
        <f t="shared" si="78"/>
        <v>#N/A</v>
      </c>
      <c r="W59" s="1054"/>
      <c r="X59" s="15"/>
      <c r="Y59" s="134"/>
      <c r="Z59" s="152"/>
      <c r="AB59" s="50" t="str">
        <f t="shared" si="109"/>
        <v>Buckinghamshire</v>
      </c>
      <c r="AC59" s="49">
        <v>3</v>
      </c>
      <c r="AD59" s="50" t="str">
        <f t="shared" si="111"/>
        <v>BuckinghamshireProportion (%)</v>
      </c>
      <c r="AE59" s="51" t="b">
        <f t="shared" si="5"/>
        <v>0</v>
      </c>
      <c r="AF59" s="52">
        <f t="shared" ref="AF59:BA59" si="113">IF(ISERROR(AF11/$BA11*100),NA(),AF11/$BA11*100)</f>
        <v>7.2651639740737153</v>
      </c>
      <c r="AG59" s="53" t="e">
        <f t="shared" si="113"/>
        <v>#N/A</v>
      </c>
      <c r="AH59" s="53" t="e">
        <f t="shared" si="113"/>
        <v>#N/A</v>
      </c>
      <c r="AI59" s="53" t="e">
        <f t="shared" si="113"/>
        <v>#N/A</v>
      </c>
      <c r="AJ59" s="53">
        <f t="shared" si="113"/>
        <v>19.347973299796848</v>
      </c>
      <c r="AK59" s="53">
        <f t="shared" si="113"/>
        <v>0.49337331914481958</v>
      </c>
      <c r="AL59" s="53">
        <f t="shared" si="113"/>
        <v>16.523169198026508</v>
      </c>
      <c r="AM59" s="53" t="e">
        <f t="shared" si="113"/>
        <v>#N/A</v>
      </c>
      <c r="AN59" s="53" t="e">
        <f t="shared" si="113"/>
        <v>#N/A</v>
      </c>
      <c r="AO59" s="53" t="e">
        <f t="shared" si="113"/>
        <v>#N/A</v>
      </c>
      <c r="AP59" s="53" t="e">
        <f t="shared" si="113"/>
        <v>#N/A</v>
      </c>
      <c r="AQ59" s="53" t="e">
        <f t="shared" si="113"/>
        <v>#N/A</v>
      </c>
      <c r="AR59" s="53">
        <f t="shared" si="113"/>
        <v>0.85131082519106127</v>
      </c>
      <c r="AS59" s="53">
        <f t="shared" si="113"/>
        <v>9.6256167166489313</v>
      </c>
      <c r="AT59" s="53" t="e">
        <f t="shared" si="113"/>
        <v>#N/A</v>
      </c>
      <c r="AU59" s="53" t="e">
        <f t="shared" si="113"/>
        <v>#N/A</v>
      </c>
      <c r="AV59" s="53">
        <f t="shared" si="113"/>
        <v>34.168520847441229</v>
      </c>
      <c r="AW59" s="53">
        <f t="shared" si="113"/>
        <v>2.370126729225114</v>
      </c>
      <c r="AX59" s="53">
        <f t="shared" si="113"/>
        <v>4.4113379123536811</v>
      </c>
      <c r="AY59" s="53">
        <f t="shared" si="113"/>
        <v>2.9505659282190191</v>
      </c>
      <c r="AZ59" s="54">
        <f t="shared" si="113"/>
        <v>1.9928412498790751</v>
      </c>
      <c r="BA59" s="57">
        <f t="shared" si="113"/>
        <v>100</v>
      </c>
      <c r="BD59" s="742"/>
      <c r="BE59" s="742"/>
      <c r="BF59" s="742"/>
      <c r="BG59" s="742"/>
      <c r="BH59" s="742"/>
      <c r="BI59" s="742"/>
      <c r="BJ59" s="742"/>
      <c r="BK59" s="742"/>
      <c r="BL59" s="742"/>
      <c r="BM59" s="742"/>
    </row>
    <row r="60" spans="1:65" s="88" customFormat="1" ht="13.5" customHeight="1" x14ac:dyDescent="0.2">
      <c r="A60" s="533">
        <f>VLOOKUP(B60,Sheet1!$B$4:$C$25,2,FALSE)</f>
        <v>0</v>
      </c>
      <c r="B60" s="195" t="str">
        <f t="shared" si="56"/>
        <v>West Sussex</v>
      </c>
      <c r="C60" s="9"/>
      <c r="D60" s="1061">
        <f t="shared" si="69"/>
        <v>9.1945972986493256</v>
      </c>
      <c r="E60" s="1062"/>
      <c r="F60" s="1061">
        <f t="shared" si="70"/>
        <v>18.779389694847424</v>
      </c>
      <c r="G60" s="1062"/>
      <c r="H60" s="1061">
        <f t="shared" si="71"/>
        <v>10.835417708854427</v>
      </c>
      <c r="I60" s="1062"/>
      <c r="J60" s="1061">
        <f t="shared" si="72"/>
        <v>1.8209104552276139</v>
      </c>
      <c r="K60" s="1062"/>
      <c r="L60" s="1061">
        <f t="shared" si="73"/>
        <v>18.199099549774889</v>
      </c>
      <c r="M60" s="1062"/>
      <c r="N60" s="1061">
        <f t="shared" si="74"/>
        <v>29.144572286143074</v>
      </c>
      <c r="O60" s="1062"/>
      <c r="P60" s="1061">
        <f t="shared" si="75"/>
        <v>3.6318159079539774</v>
      </c>
      <c r="Q60" s="1062"/>
      <c r="R60" s="1061">
        <f t="shared" si="76"/>
        <v>6.903451725862932</v>
      </c>
      <c r="S60" s="1062"/>
      <c r="T60" s="1061">
        <f t="shared" si="77"/>
        <v>0</v>
      </c>
      <c r="U60" s="1062"/>
      <c r="V60" s="1061">
        <f t="shared" si="78"/>
        <v>1.4907453726863431</v>
      </c>
      <c r="W60" s="1063"/>
      <c r="X60" s="15"/>
      <c r="Y60" s="134"/>
      <c r="Z60" s="152"/>
      <c r="AB60" s="50" t="str">
        <f t="shared" si="109"/>
        <v>East Sussex</v>
      </c>
      <c r="AC60" s="49">
        <v>4</v>
      </c>
      <c r="AD60" s="50" t="str">
        <f t="shared" si="111"/>
        <v>East SussexProportion (%)</v>
      </c>
      <c r="AE60" s="51" t="b">
        <f t="shared" si="5"/>
        <v>0</v>
      </c>
      <c r="AF60" s="52">
        <f t="shared" ref="AF60:BA60" si="114">IF(ISERROR(AF12/$BA12*100),NA(),AF12/$BA12*100)</f>
        <v>9.5030913670712156</v>
      </c>
      <c r="AG60" s="53" t="e">
        <f t="shared" si="114"/>
        <v>#N/A</v>
      </c>
      <c r="AH60" s="53" t="e">
        <f t="shared" si="114"/>
        <v>#N/A</v>
      </c>
      <c r="AI60" s="53" t="e">
        <f t="shared" si="114"/>
        <v>#N/A</v>
      </c>
      <c r="AJ60" s="53">
        <f t="shared" si="114"/>
        <v>18.86878864208839</v>
      </c>
      <c r="AK60" s="53">
        <f t="shared" si="114"/>
        <v>1.5342340279367987</v>
      </c>
      <c r="AL60" s="53">
        <f t="shared" si="114"/>
        <v>10.190061827341426</v>
      </c>
      <c r="AM60" s="53" t="e">
        <f t="shared" si="114"/>
        <v>#N/A</v>
      </c>
      <c r="AN60" s="53" t="e">
        <f t="shared" si="114"/>
        <v>#N/A</v>
      </c>
      <c r="AO60" s="53" t="e">
        <f t="shared" si="114"/>
        <v>#N/A</v>
      </c>
      <c r="AP60" s="53" t="e">
        <f t="shared" si="114"/>
        <v>#N/A</v>
      </c>
      <c r="AQ60" s="53" t="e">
        <f t="shared" si="114"/>
        <v>#N/A</v>
      </c>
      <c r="AR60" s="53">
        <f t="shared" si="114"/>
        <v>0.91596061369361126</v>
      </c>
      <c r="AS60" s="53">
        <f t="shared" si="114"/>
        <v>17.655140828944354</v>
      </c>
      <c r="AT60" s="53" t="e">
        <f t="shared" si="114"/>
        <v>#N/A</v>
      </c>
      <c r="AU60" s="53" t="e">
        <f t="shared" si="114"/>
        <v>#N/A</v>
      </c>
      <c r="AV60" s="53">
        <f t="shared" si="114"/>
        <v>27.27272727272727</v>
      </c>
      <c r="AW60" s="53">
        <f t="shared" si="114"/>
        <v>3.9615296542248686</v>
      </c>
      <c r="AX60" s="53">
        <f t="shared" si="114"/>
        <v>7.8543622624227165</v>
      </c>
      <c r="AY60" s="53">
        <f t="shared" si="114"/>
        <v>1.7403251660178611</v>
      </c>
      <c r="AZ60" s="54">
        <f t="shared" si="114"/>
        <v>0.50377833753148615</v>
      </c>
      <c r="BA60" s="57">
        <f t="shared" si="114"/>
        <v>100</v>
      </c>
      <c r="BD60" s="742"/>
      <c r="BE60" s="742"/>
      <c r="BF60" s="742"/>
      <c r="BG60" s="742"/>
      <c r="BH60" s="742"/>
      <c r="BI60" s="742"/>
      <c r="BJ60" s="742"/>
      <c r="BK60" s="742"/>
      <c r="BL60" s="742"/>
      <c r="BM60" s="742"/>
    </row>
    <row r="61" spans="1:65" s="88" customFormat="1" ht="13.5" customHeight="1" x14ac:dyDescent="0.2">
      <c r="A61" s="533">
        <f>VLOOKUP(B61,Sheet1!$B$4:$C$25,2,FALSE)</f>
        <v>0</v>
      </c>
      <c r="B61" s="195" t="str">
        <f t="shared" si="56"/>
        <v>Windsor &amp; Maidenhead</v>
      </c>
      <c r="C61" s="9"/>
      <c r="D61" s="1061">
        <f t="shared" si="69"/>
        <v>13.854853911404335</v>
      </c>
      <c r="E61" s="1062"/>
      <c r="F61" s="1061">
        <f t="shared" si="70"/>
        <v>9.1423185673892551</v>
      </c>
      <c r="G61" s="1062"/>
      <c r="H61" s="1061">
        <f t="shared" si="71"/>
        <v>12.535344015080113</v>
      </c>
      <c r="I61" s="1062"/>
      <c r="J61" s="1061">
        <f t="shared" si="72"/>
        <v>0.65975494816211122</v>
      </c>
      <c r="K61" s="1062"/>
      <c r="L61" s="1061">
        <f t="shared" si="73"/>
        <v>9.8963242224316676</v>
      </c>
      <c r="M61" s="1062"/>
      <c r="N61" s="1061">
        <f t="shared" si="74"/>
        <v>35.061262959472195</v>
      </c>
      <c r="O61" s="1062"/>
      <c r="P61" s="1061">
        <f t="shared" si="75"/>
        <v>1.3195098963242224</v>
      </c>
      <c r="Q61" s="1062"/>
      <c r="R61" s="1061">
        <f t="shared" si="76"/>
        <v>2.827521206409048</v>
      </c>
      <c r="S61" s="1062"/>
      <c r="T61" s="1061">
        <f t="shared" si="77"/>
        <v>2.167766258246937</v>
      </c>
      <c r="U61" s="1062"/>
      <c r="V61" s="1061">
        <f t="shared" si="78"/>
        <v>12.535344015080113</v>
      </c>
      <c r="W61" s="1063"/>
      <c r="X61" s="15"/>
      <c r="Y61" s="134"/>
      <c r="Z61" s="152"/>
      <c r="AB61" s="50" t="str">
        <f t="shared" si="109"/>
        <v>Hampshire</v>
      </c>
      <c r="AC61" s="49">
        <v>5</v>
      </c>
      <c r="AD61" s="50" t="str">
        <f t="shared" si="111"/>
        <v>HampshireProportion (%)</v>
      </c>
      <c r="AE61" s="51" t="b">
        <f t="shared" si="5"/>
        <v>0</v>
      </c>
      <c r="AF61" s="52">
        <f t="shared" ref="AF61:BA61" si="115">IF(ISERROR(AF13/$BA13*100),NA(),AF13/$BA13*100)</f>
        <v>11.399317406143345</v>
      </c>
      <c r="AG61" s="53" t="e">
        <f t="shared" si="115"/>
        <v>#N/A</v>
      </c>
      <c r="AH61" s="53" t="e">
        <f t="shared" si="115"/>
        <v>#N/A</v>
      </c>
      <c r="AI61" s="53" t="e">
        <f t="shared" si="115"/>
        <v>#N/A</v>
      </c>
      <c r="AJ61" s="53">
        <f t="shared" si="115"/>
        <v>23.406763884579583</v>
      </c>
      <c r="AK61" s="53">
        <f t="shared" si="115"/>
        <v>0</v>
      </c>
      <c r="AL61" s="53">
        <f t="shared" si="115"/>
        <v>13.447098976109215</v>
      </c>
      <c r="AM61" s="53" t="e">
        <f t="shared" si="115"/>
        <v>#N/A</v>
      </c>
      <c r="AN61" s="53" t="e">
        <f t="shared" si="115"/>
        <v>#N/A</v>
      </c>
      <c r="AO61" s="53" t="e">
        <f t="shared" si="115"/>
        <v>#N/A</v>
      </c>
      <c r="AP61" s="53" t="e">
        <f t="shared" si="115"/>
        <v>#N/A</v>
      </c>
      <c r="AQ61" s="53" t="e">
        <f t="shared" si="115"/>
        <v>#N/A</v>
      </c>
      <c r="AR61" s="53">
        <f t="shared" si="115"/>
        <v>1.0549177784672665</v>
      </c>
      <c r="AS61" s="53">
        <f t="shared" si="115"/>
        <v>9.9782811045609687</v>
      </c>
      <c r="AT61" s="53" t="e">
        <f t="shared" si="115"/>
        <v>#N/A</v>
      </c>
      <c r="AU61" s="53" t="e">
        <f t="shared" si="115"/>
        <v>#N/A</v>
      </c>
      <c r="AV61" s="53">
        <f t="shared" si="115"/>
        <v>26.050263729444616</v>
      </c>
      <c r="AW61" s="53">
        <f t="shared" si="115"/>
        <v>2.3642569035060501</v>
      </c>
      <c r="AX61" s="53">
        <f t="shared" si="115"/>
        <v>7.1920570896680109</v>
      </c>
      <c r="AY61" s="53">
        <f t="shared" si="115"/>
        <v>2.295997517840521</v>
      </c>
      <c r="AZ61" s="54">
        <f t="shared" si="115"/>
        <v>2.8110456096804222</v>
      </c>
      <c r="BA61" s="57">
        <f t="shared" si="115"/>
        <v>100</v>
      </c>
    </row>
    <row r="62" spans="1:65" s="88" customFormat="1" ht="13.5" customHeight="1" x14ac:dyDescent="0.2">
      <c r="A62" s="826">
        <f>VLOOKUP(B62,Sheet1!$B$4:$C$25,2,FALSE)</f>
        <v>0</v>
      </c>
      <c r="B62" s="195" t="str">
        <f t="shared" si="56"/>
        <v>Wokingham</v>
      </c>
      <c r="C62" s="9"/>
      <c r="D62" s="1061">
        <f t="shared" si="69"/>
        <v>8.9167280766396466</v>
      </c>
      <c r="E62" s="1062"/>
      <c r="F62" s="1061" t="e">
        <f t="shared" si="70"/>
        <v>#N/A</v>
      </c>
      <c r="G62" s="1062"/>
      <c r="H62" s="1061">
        <f t="shared" si="71"/>
        <v>12.896094325718495</v>
      </c>
      <c r="I62" s="1062"/>
      <c r="J62" s="1061">
        <f t="shared" si="72"/>
        <v>0.73691967575534267</v>
      </c>
      <c r="K62" s="1062"/>
      <c r="L62" s="1061">
        <f t="shared" si="73"/>
        <v>10.39056742815033</v>
      </c>
      <c r="M62" s="1062"/>
      <c r="N62" s="1061">
        <f t="shared" si="74"/>
        <v>42.815033161385408</v>
      </c>
      <c r="O62" s="1062"/>
      <c r="P62" s="1052">
        <f t="shared" si="75"/>
        <v>3.0213706705969052</v>
      </c>
      <c r="Q62" s="1053"/>
      <c r="R62" s="1052">
        <f t="shared" si="76"/>
        <v>4.5689019896831242</v>
      </c>
      <c r="S62" s="1053"/>
      <c r="T62" s="1052">
        <f t="shared" si="77"/>
        <v>1.3264554163596167</v>
      </c>
      <c r="U62" s="1053"/>
      <c r="V62" s="1052" t="e">
        <f t="shared" si="78"/>
        <v>#N/A</v>
      </c>
      <c r="W62" s="1054"/>
      <c r="X62" s="15"/>
      <c r="Y62" s="134"/>
      <c r="Z62" s="152"/>
      <c r="AB62" s="50" t="str">
        <f t="shared" si="109"/>
        <v>Isle of Wight</v>
      </c>
      <c r="AC62" s="49">
        <v>6</v>
      </c>
      <c r="AD62" s="50" t="str">
        <f t="shared" si="111"/>
        <v>Isle of WightProportion (%)</v>
      </c>
      <c r="AE62" s="51" t="b">
        <f t="shared" si="5"/>
        <v>0</v>
      </c>
      <c r="AF62" s="52">
        <f t="shared" ref="AF62:BA62" si="116">IF(ISERROR(AF14/$BA14*100),NA(),AF14/$BA14*100)</f>
        <v>9.7197106690777577</v>
      </c>
      <c r="AG62" s="53" t="e">
        <f t="shared" si="116"/>
        <v>#N/A</v>
      </c>
      <c r="AH62" s="53" t="e">
        <f t="shared" si="116"/>
        <v>#N/A</v>
      </c>
      <c r="AI62" s="53" t="e">
        <f t="shared" si="116"/>
        <v>#N/A</v>
      </c>
      <c r="AJ62" s="53">
        <f t="shared" si="116"/>
        <v>30.153707052441231</v>
      </c>
      <c r="AK62" s="53">
        <f t="shared" si="116"/>
        <v>0</v>
      </c>
      <c r="AL62" s="53">
        <f t="shared" si="116"/>
        <v>12.793851717902353</v>
      </c>
      <c r="AM62" s="53" t="e">
        <f t="shared" si="116"/>
        <v>#N/A</v>
      </c>
      <c r="AN62" s="53" t="e">
        <f t="shared" si="116"/>
        <v>#N/A</v>
      </c>
      <c r="AO62" s="53" t="e">
        <f t="shared" si="116"/>
        <v>#N/A</v>
      </c>
      <c r="AP62" s="53" t="e">
        <f t="shared" si="116"/>
        <v>#N/A</v>
      </c>
      <c r="AQ62" s="53" t="e">
        <f t="shared" si="116"/>
        <v>#N/A</v>
      </c>
      <c r="AR62" s="53">
        <f t="shared" si="116"/>
        <v>1.4918625678119348</v>
      </c>
      <c r="AS62" s="53">
        <f t="shared" si="116"/>
        <v>11.980108499095842</v>
      </c>
      <c r="AT62" s="53" t="e">
        <f t="shared" si="116"/>
        <v>#N/A</v>
      </c>
      <c r="AU62" s="53" t="e">
        <f t="shared" si="116"/>
        <v>#N/A</v>
      </c>
      <c r="AV62" s="53">
        <f t="shared" si="116"/>
        <v>21.609403254972875</v>
      </c>
      <c r="AW62" s="53">
        <f t="shared" si="116"/>
        <v>1.763110307414105</v>
      </c>
      <c r="AX62" s="53">
        <f t="shared" si="116"/>
        <v>7.6401446654611211</v>
      </c>
      <c r="AY62" s="53">
        <f t="shared" si="116"/>
        <v>0</v>
      </c>
      <c r="AZ62" s="54">
        <f t="shared" si="116"/>
        <v>2.8481012658227849</v>
      </c>
      <c r="BA62" s="57">
        <f t="shared" si="116"/>
        <v>100</v>
      </c>
    </row>
    <row r="63" spans="1:65" s="88" customFormat="1" ht="13.5" customHeight="1" x14ac:dyDescent="0.2">
      <c r="A63" s="834"/>
      <c r="B63" s="195" t="str">
        <f>B31</f>
        <v>South East</v>
      </c>
      <c r="C63" s="9"/>
      <c r="D63" s="1052">
        <f>SUM(D31:G31)</f>
        <v>8.5489746863967557</v>
      </c>
      <c r="E63" s="1053"/>
      <c r="F63" s="1052">
        <f>SUM(H31:I31)</f>
        <v>19.606775332381883</v>
      </c>
      <c r="G63" s="1053"/>
      <c r="H63" s="1052">
        <f>SUM(J31:O31)</f>
        <v>12.629572598212274</v>
      </c>
      <c r="I63" s="1053"/>
      <c r="J63" s="1052">
        <f>P31</f>
        <v>1.367084804326598</v>
      </c>
      <c r="K63" s="1053"/>
      <c r="L63" s="1052">
        <f>SUM(Q31:S31)</f>
        <v>12.70750394351386</v>
      </c>
      <c r="M63" s="1053"/>
      <c r="N63" s="1052">
        <f>T31</f>
        <v>31.537782618493203</v>
      </c>
      <c r="O63" s="1053"/>
      <c r="P63" s="1052">
        <f>U31</f>
        <v>2.8693757980920904</v>
      </c>
      <c r="Q63" s="1053"/>
      <c r="R63" s="1052">
        <f>V31</f>
        <v>7.0166378727559531</v>
      </c>
      <c r="S63" s="1053"/>
      <c r="T63" s="1052">
        <f>W31</f>
        <v>1.8215278299406594</v>
      </c>
      <c r="U63" s="1053"/>
      <c r="V63" s="1052">
        <f>X31</f>
        <v>1.8947645158867272</v>
      </c>
      <c r="W63" s="1054"/>
      <c r="X63" s="63"/>
      <c r="Y63" s="273"/>
      <c r="Z63" s="152"/>
      <c r="AB63" s="50" t="str">
        <f t="shared" si="109"/>
        <v>Kent</v>
      </c>
      <c r="AC63" s="49">
        <v>7</v>
      </c>
      <c r="AD63" s="50" t="str">
        <f t="shared" si="111"/>
        <v>KentProportion (%)</v>
      </c>
      <c r="AE63" s="51" t="b">
        <f t="shared" si="5"/>
        <v>0</v>
      </c>
      <c r="AF63" s="52">
        <f t="shared" ref="AF63:BA63" si="117">IF(ISERROR(AF15/$BA15*100),NA(),AF15/$BA15*100)</f>
        <v>11.190832602075053</v>
      </c>
      <c r="AG63" s="53" t="e">
        <f t="shared" si="117"/>
        <v>#N/A</v>
      </c>
      <c r="AH63" s="53" t="e">
        <f t="shared" si="117"/>
        <v>#N/A</v>
      </c>
      <c r="AI63" s="53" t="e">
        <f t="shared" si="117"/>
        <v>#N/A</v>
      </c>
      <c r="AJ63" s="53">
        <f t="shared" si="117"/>
        <v>16.373303050637485</v>
      </c>
      <c r="AK63" s="53">
        <f t="shared" si="117"/>
        <v>0.68652247973984415</v>
      </c>
      <c r="AL63" s="53">
        <f t="shared" si="117"/>
        <v>12.25932999535436</v>
      </c>
      <c r="AM63" s="53" t="e">
        <f t="shared" si="117"/>
        <v>#N/A</v>
      </c>
      <c r="AN63" s="53" t="e">
        <f t="shared" si="117"/>
        <v>#N/A</v>
      </c>
      <c r="AO63" s="53" t="e">
        <f t="shared" si="117"/>
        <v>#N/A</v>
      </c>
      <c r="AP63" s="53" t="e">
        <f t="shared" si="117"/>
        <v>#N/A</v>
      </c>
      <c r="AQ63" s="53" t="e">
        <f t="shared" si="117"/>
        <v>#N/A</v>
      </c>
      <c r="AR63" s="53">
        <f t="shared" si="117"/>
        <v>2.0957002013111032</v>
      </c>
      <c r="AS63" s="53">
        <f t="shared" si="117"/>
        <v>11.345687296753214</v>
      </c>
      <c r="AT63" s="53" t="e">
        <f t="shared" si="117"/>
        <v>#N/A</v>
      </c>
      <c r="AU63" s="53" t="e">
        <f t="shared" si="117"/>
        <v>#N/A</v>
      </c>
      <c r="AV63" s="53">
        <f t="shared" si="117"/>
        <v>34.455169565890671</v>
      </c>
      <c r="AW63" s="53">
        <f t="shared" si="117"/>
        <v>3.711350849119909</v>
      </c>
      <c r="AX63" s="53">
        <f t="shared" si="117"/>
        <v>5.4199143137356112</v>
      </c>
      <c r="AY63" s="53">
        <f t="shared" si="117"/>
        <v>2.1318329634026738</v>
      </c>
      <c r="AZ63" s="54">
        <f t="shared" si="117"/>
        <v>0.3303566819800754</v>
      </c>
      <c r="BA63" s="57">
        <f t="shared" si="117"/>
        <v>100</v>
      </c>
    </row>
    <row r="64" spans="1:65" s="88" customFormat="1" ht="13.5" customHeight="1" x14ac:dyDescent="0.2">
      <c r="A64" s="834"/>
      <c r="B64" s="195" t="str">
        <f>B32</f>
        <v>England</v>
      </c>
      <c r="C64" s="9"/>
      <c r="D64" s="1052">
        <f>SUM(D32:G32)</f>
        <v>8.0662140514150593</v>
      </c>
      <c r="E64" s="1053"/>
      <c r="F64" s="1052">
        <f>SUM(H32:I32)</f>
        <v>20.166297963231369</v>
      </c>
      <c r="G64" s="1053"/>
      <c r="H64" s="1052">
        <f>SUM(J32:O32)</f>
        <v>14.765428331680525</v>
      </c>
      <c r="I64" s="1053"/>
      <c r="J64" s="1052">
        <f>P32</f>
        <v>1.4402319017468914</v>
      </c>
      <c r="K64" s="1053"/>
      <c r="L64" s="1052">
        <f>SUM(Q32:S32)</f>
        <v>13.633381646197268</v>
      </c>
      <c r="M64" s="1053"/>
      <c r="N64" s="1052">
        <f>T32</f>
        <v>28.517812190098407</v>
      </c>
      <c r="O64" s="1053"/>
      <c r="P64" s="1052">
        <f>U32</f>
        <v>3.4922572278587229</v>
      </c>
      <c r="Q64" s="1053"/>
      <c r="R64" s="1052">
        <f>V32</f>
        <v>5.8646731253337396</v>
      </c>
      <c r="S64" s="1053"/>
      <c r="T64" s="1052">
        <f>W32</f>
        <v>2.4242886566481046</v>
      </c>
      <c r="U64" s="1053"/>
      <c r="V64" s="1052">
        <f>X32</f>
        <v>1.6294149057899152</v>
      </c>
      <c r="W64" s="1054"/>
      <c r="X64" s="58"/>
      <c r="Y64" s="273"/>
      <c r="Z64" s="879"/>
      <c r="AA64" s="209"/>
      <c r="AB64" s="50" t="str">
        <f t="shared" si="109"/>
        <v>Medway</v>
      </c>
      <c r="AC64" s="49">
        <v>8</v>
      </c>
      <c r="AD64" s="50" t="str">
        <f t="shared" si="111"/>
        <v>MedwayProportion (%)</v>
      </c>
      <c r="AE64" s="51" t="b">
        <f t="shared" si="5"/>
        <v>0</v>
      </c>
      <c r="AF64" s="52">
        <f t="shared" ref="AF64:BA64" si="118">IF(ISERROR(AF16/$BA16*100),NA(),AF16/$BA16*100)</f>
        <v>9.4563552833078095</v>
      </c>
      <c r="AG64" s="53" t="e">
        <f t="shared" si="118"/>
        <v>#N/A</v>
      </c>
      <c r="AH64" s="53" t="e">
        <f t="shared" si="118"/>
        <v>#N/A</v>
      </c>
      <c r="AI64" s="53" t="e">
        <f t="shared" si="118"/>
        <v>#N/A</v>
      </c>
      <c r="AJ64" s="53">
        <f t="shared" si="118"/>
        <v>19.869831546707502</v>
      </c>
      <c r="AK64" s="53">
        <f t="shared" si="118"/>
        <v>1.339969372128637</v>
      </c>
      <c r="AL64" s="53">
        <f t="shared" si="118"/>
        <v>12.098009188361408</v>
      </c>
      <c r="AM64" s="53" t="e">
        <f t="shared" si="118"/>
        <v>#N/A</v>
      </c>
      <c r="AN64" s="53" t="e">
        <f t="shared" si="118"/>
        <v>#N/A</v>
      </c>
      <c r="AO64" s="53" t="e">
        <f t="shared" si="118"/>
        <v>#N/A</v>
      </c>
      <c r="AP64" s="53" t="e">
        <f t="shared" si="118"/>
        <v>#N/A</v>
      </c>
      <c r="AQ64" s="53" t="e">
        <f t="shared" si="118"/>
        <v>#N/A</v>
      </c>
      <c r="AR64" s="53">
        <f t="shared" si="118"/>
        <v>2.4502297090352223</v>
      </c>
      <c r="AS64" s="53">
        <f t="shared" si="118"/>
        <v>13.361408882082696</v>
      </c>
      <c r="AT64" s="53" t="e">
        <f t="shared" si="118"/>
        <v>#N/A</v>
      </c>
      <c r="AU64" s="53" t="e">
        <f t="shared" si="118"/>
        <v>#N/A</v>
      </c>
      <c r="AV64" s="53">
        <f t="shared" si="118"/>
        <v>31.278713629402755</v>
      </c>
      <c r="AW64" s="53">
        <f t="shared" si="118"/>
        <v>2.9096477794793261</v>
      </c>
      <c r="AX64" s="53">
        <f t="shared" si="118"/>
        <v>3.1010719754977027</v>
      </c>
      <c r="AY64" s="53">
        <f t="shared" si="118"/>
        <v>3.1776416539050536</v>
      </c>
      <c r="AZ64" s="54">
        <f t="shared" si="118"/>
        <v>0.95712098009188351</v>
      </c>
      <c r="BA64" s="57">
        <f t="shared" si="118"/>
        <v>100</v>
      </c>
    </row>
    <row r="65" spans="1:55" s="88" customFormat="1" ht="13.5" customHeight="1" x14ac:dyDescent="0.2">
      <c r="A65" s="834"/>
      <c r="B65" s="140" t="s">
        <v>90</v>
      </c>
      <c r="C65" s="9"/>
      <c r="D65" s="9"/>
      <c r="E65" s="9"/>
      <c r="F65" s="9"/>
      <c r="G65" s="9"/>
      <c r="H65" s="13"/>
      <c r="I65" s="13"/>
      <c r="J65" s="13"/>
      <c r="K65" s="9"/>
      <c r="L65" s="9"/>
      <c r="M65" s="9"/>
      <c r="N65" s="9"/>
      <c r="O65" s="9"/>
      <c r="P65" s="13"/>
      <c r="Q65" s="13"/>
      <c r="R65" s="13"/>
      <c r="S65" s="9"/>
      <c r="T65" s="13"/>
      <c r="U65" s="13"/>
      <c r="V65" s="13"/>
      <c r="W65" s="260"/>
      <c r="X65" s="15"/>
      <c r="Y65" s="134"/>
      <c r="Z65" s="152"/>
      <c r="AA65" s="209"/>
      <c r="AB65" s="50" t="str">
        <f t="shared" si="109"/>
        <v>Milton Keynes</v>
      </c>
      <c r="AC65" s="49">
        <v>9</v>
      </c>
      <c r="AD65" s="50" t="str">
        <f t="shared" si="111"/>
        <v>Milton KeynesProportion (%)</v>
      </c>
      <c r="AE65" s="51" t="b">
        <f t="shared" si="5"/>
        <v>0</v>
      </c>
      <c r="AF65" s="52">
        <f t="shared" ref="AF65:BA65" si="119">IF(ISERROR(AF17/$BA17*100),NA(),AF17/$BA17*100)</f>
        <v>9.1609589041095898</v>
      </c>
      <c r="AG65" s="53" t="e">
        <f t="shared" si="119"/>
        <v>#N/A</v>
      </c>
      <c r="AH65" s="53" t="e">
        <f t="shared" si="119"/>
        <v>#N/A</v>
      </c>
      <c r="AI65" s="53" t="e">
        <f t="shared" si="119"/>
        <v>#N/A</v>
      </c>
      <c r="AJ65" s="53">
        <f t="shared" si="119"/>
        <v>18.878424657534246</v>
      </c>
      <c r="AK65" s="53">
        <f t="shared" si="119"/>
        <v>1.1558219178082192</v>
      </c>
      <c r="AL65" s="53">
        <f t="shared" si="119"/>
        <v>12.756849315068495</v>
      </c>
      <c r="AM65" s="53" t="e">
        <f t="shared" si="119"/>
        <v>#N/A</v>
      </c>
      <c r="AN65" s="53" t="e">
        <f t="shared" si="119"/>
        <v>#N/A</v>
      </c>
      <c r="AO65" s="53" t="e">
        <f t="shared" si="119"/>
        <v>#N/A</v>
      </c>
      <c r="AP65" s="53" t="e">
        <f t="shared" si="119"/>
        <v>#N/A</v>
      </c>
      <c r="AQ65" s="53" t="e">
        <f t="shared" si="119"/>
        <v>#N/A</v>
      </c>
      <c r="AR65" s="53" t="e">
        <f t="shared" si="119"/>
        <v>#N/A</v>
      </c>
      <c r="AS65" s="53">
        <f t="shared" si="119"/>
        <v>17.38013698630137</v>
      </c>
      <c r="AT65" s="53" t="e">
        <f t="shared" si="119"/>
        <v>#N/A</v>
      </c>
      <c r="AU65" s="53" t="e">
        <f t="shared" si="119"/>
        <v>#N/A</v>
      </c>
      <c r="AV65" s="53">
        <f t="shared" si="119"/>
        <v>28.510273972602739</v>
      </c>
      <c r="AW65" s="53">
        <f t="shared" si="119"/>
        <v>6.0359589041095889</v>
      </c>
      <c r="AX65" s="53">
        <f t="shared" si="119"/>
        <v>4.0667808219178081</v>
      </c>
      <c r="AY65" s="53">
        <f t="shared" si="119"/>
        <v>2.054794520547945</v>
      </c>
      <c r="AZ65" s="54" t="e">
        <f t="shared" si="119"/>
        <v>#N/A</v>
      </c>
      <c r="BA65" s="57">
        <f t="shared" si="119"/>
        <v>100</v>
      </c>
    </row>
    <row r="66" spans="1:55" s="88" customFormat="1" ht="12" customHeight="1" x14ac:dyDescent="0.2">
      <c r="A66" s="309"/>
      <c r="B66" s="1055"/>
      <c r="C66" s="1056"/>
      <c r="D66" s="1056"/>
      <c r="E66" s="1056"/>
      <c r="F66" s="1056"/>
      <c r="G66" s="1056"/>
      <c r="H66" s="1056"/>
      <c r="I66" s="1056"/>
      <c r="J66" s="1056"/>
      <c r="K66" s="1056"/>
      <c r="L66" s="1056"/>
      <c r="M66" s="1056"/>
      <c r="N66" s="1056"/>
      <c r="O66" s="1056"/>
      <c r="P66" s="1056"/>
      <c r="Q66" s="1056"/>
      <c r="R66" s="1056"/>
      <c r="S66" s="1056"/>
      <c r="T66" s="1056"/>
      <c r="U66" s="1056"/>
      <c r="V66" s="1056"/>
      <c r="W66" s="1056"/>
      <c r="X66" s="1057"/>
      <c r="Y66" s="134"/>
      <c r="Z66" s="152"/>
      <c r="AB66" s="50" t="str">
        <f t="shared" si="109"/>
        <v>Oxfordshire</v>
      </c>
      <c r="AC66" s="49">
        <v>10</v>
      </c>
      <c r="AD66" s="50" t="str">
        <f t="shared" si="111"/>
        <v>OxfordshireProportion (%)</v>
      </c>
      <c r="AE66" s="51" t="b">
        <f t="shared" si="5"/>
        <v>0</v>
      </c>
      <c r="AF66" s="52">
        <f t="shared" ref="AF66:BA66" si="120">IF(ISERROR(AF18/$BA18*100),NA(),AF18/$BA18*100)</f>
        <v>5.6207807455239216</v>
      </c>
      <c r="AG66" s="53" t="e">
        <f t="shared" si="120"/>
        <v>#N/A</v>
      </c>
      <c r="AH66" s="53" t="e">
        <f t="shared" si="120"/>
        <v>#N/A</v>
      </c>
      <c r="AI66" s="53" t="e">
        <f t="shared" si="120"/>
        <v>#N/A</v>
      </c>
      <c r="AJ66" s="53">
        <f t="shared" si="120"/>
        <v>12.635749926621662</v>
      </c>
      <c r="AK66" s="53">
        <f t="shared" si="120"/>
        <v>0.51364837100088045</v>
      </c>
      <c r="AL66" s="53">
        <f t="shared" si="120"/>
        <v>9.1135896683299098</v>
      </c>
      <c r="AM66" s="53" t="e">
        <f t="shared" si="120"/>
        <v>#N/A</v>
      </c>
      <c r="AN66" s="53" t="e">
        <f t="shared" si="120"/>
        <v>#N/A</v>
      </c>
      <c r="AO66" s="53" t="e">
        <f t="shared" si="120"/>
        <v>#N/A</v>
      </c>
      <c r="AP66" s="53" t="e">
        <f t="shared" si="120"/>
        <v>#N/A</v>
      </c>
      <c r="AQ66" s="53" t="e">
        <f t="shared" si="120"/>
        <v>#N/A</v>
      </c>
      <c r="AR66" s="53">
        <f t="shared" si="120"/>
        <v>0.51364837100088045</v>
      </c>
      <c r="AS66" s="53">
        <f t="shared" si="120"/>
        <v>7.2204285294980926</v>
      </c>
      <c r="AT66" s="53" t="e">
        <f t="shared" si="120"/>
        <v>#N/A</v>
      </c>
      <c r="AU66" s="53" t="e">
        <f t="shared" si="120"/>
        <v>#N/A</v>
      </c>
      <c r="AV66" s="53">
        <f t="shared" si="120"/>
        <v>29.321984150278841</v>
      </c>
      <c r="AW66" s="53">
        <f t="shared" si="120"/>
        <v>1.1740534194305841</v>
      </c>
      <c r="AX66" s="53">
        <f t="shared" si="120"/>
        <v>25.741121221015558</v>
      </c>
      <c r="AY66" s="53">
        <f t="shared" si="120"/>
        <v>1.8784854710889345</v>
      </c>
      <c r="AZ66" s="54">
        <f t="shared" si="120"/>
        <v>6.2665101262107417</v>
      </c>
      <c r="BA66" s="57">
        <f t="shared" si="120"/>
        <v>100</v>
      </c>
    </row>
    <row r="67" spans="1:55" s="88" customFormat="1" ht="11.25" customHeight="1" x14ac:dyDescent="0.2">
      <c r="A67" s="309"/>
      <c r="B67" s="1058"/>
      <c r="C67" s="1059"/>
      <c r="D67" s="1059"/>
      <c r="E67" s="1059"/>
      <c r="F67" s="1059"/>
      <c r="G67" s="1059"/>
      <c r="H67" s="1059"/>
      <c r="I67" s="1059"/>
      <c r="J67" s="1059"/>
      <c r="K67" s="1059"/>
      <c r="L67" s="1059"/>
      <c r="M67" s="1059"/>
      <c r="N67" s="1059"/>
      <c r="O67" s="1059"/>
      <c r="P67" s="1059"/>
      <c r="Q67" s="1059"/>
      <c r="R67" s="1059"/>
      <c r="S67" s="1059"/>
      <c r="T67" s="1059"/>
      <c r="U67" s="1059"/>
      <c r="V67" s="1059"/>
      <c r="W67" s="1059"/>
      <c r="X67" s="1060"/>
      <c r="Y67" s="134"/>
      <c r="Z67" s="152"/>
      <c r="AB67" s="50" t="str">
        <f t="shared" si="109"/>
        <v>Portsmouth</v>
      </c>
      <c r="AC67" s="49">
        <v>11</v>
      </c>
      <c r="AD67" s="50" t="str">
        <f t="shared" si="111"/>
        <v>PortsmouthProportion (%)</v>
      </c>
      <c r="AE67" s="51" t="b">
        <f t="shared" si="5"/>
        <v>0</v>
      </c>
      <c r="AF67" s="52">
        <f t="shared" ref="AF67:BA67" si="121">IF(ISERROR(AF19/$BA19*100),NA(),AF19/$BA19*100)</f>
        <v>8.6467486818980674</v>
      </c>
      <c r="AG67" s="53" t="e">
        <f t="shared" si="121"/>
        <v>#N/A</v>
      </c>
      <c r="AH67" s="53" t="e">
        <f t="shared" si="121"/>
        <v>#N/A</v>
      </c>
      <c r="AI67" s="53" t="e">
        <f t="shared" si="121"/>
        <v>#N/A</v>
      </c>
      <c r="AJ67" s="53">
        <f t="shared" si="121"/>
        <v>18.172231985940247</v>
      </c>
      <c r="AK67" s="53">
        <f t="shared" si="121"/>
        <v>0.52724077328646746</v>
      </c>
      <c r="AL67" s="53">
        <f t="shared" si="121"/>
        <v>15.360281195079088</v>
      </c>
      <c r="AM67" s="53" t="e">
        <f t="shared" si="121"/>
        <v>#N/A</v>
      </c>
      <c r="AN67" s="53" t="e">
        <f t="shared" si="121"/>
        <v>#N/A</v>
      </c>
      <c r="AO67" s="53" t="e">
        <f t="shared" si="121"/>
        <v>#N/A</v>
      </c>
      <c r="AP67" s="53" t="e">
        <f t="shared" si="121"/>
        <v>#N/A</v>
      </c>
      <c r="AQ67" s="53" t="e">
        <f t="shared" si="121"/>
        <v>#N/A</v>
      </c>
      <c r="AR67" s="53">
        <f t="shared" si="121"/>
        <v>2.9876977152899822</v>
      </c>
      <c r="AS67" s="53">
        <f t="shared" si="121"/>
        <v>12.407732864674868</v>
      </c>
      <c r="AT67" s="53" t="e">
        <f t="shared" si="121"/>
        <v>#N/A</v>
      </c>
      <c r="AU67" s="53" t="e">
        <f t="shared" si="121"/>
        <v>#N/A</v>
      </c>
      <c r="AV67" s="53">
        <f t="shared" si="121"/>
        <v>31.177504393673111</v>
      </c>
      <c r="AW67" s="53">
        <f t="shared" si="121"/>
        <v>4.4288224956063269</v>
      </c>
      <c r="AX67" s="53">
        <f t="shared" si="121"/>
        <v>4.5694200351493848</v>
      </c>
      <c r="AY67" s="53">
        <f t="shared" si="121"/>
        <v>1.7223198594024607</v>
      </c>
      <c r="AZ67" s="54">
        <f t="shared" si="121"/>
        <v>0</v>
      </c>
      <c r="BA67" s="57">
        <f t="shared" si="121"/>
        <v>100</v>
      </c>
    </row>
    <row r="68" spans="1:55" s="88" customFormat="1" ht="7.5" customHeight="1" x14ac:dyDescent="0.2">
      <c r="A68" s="324"/>
      <c r="B68" s="325"/>
      <c r="C68" s="325"/>
      <c r="D68" s="325"/>
      <c r="E68" s="325"/>
      <c r="F68" s="325"/>
      <c r="G68" s="325"/>
      <c r="H68" s="325"/>
      <c r="I68" s="325"/>
      <c r="J68" s="325"/>
      <c r="K68" s="325"/>
      <c r="L68" s="325"/>
      <c r="M68" s="325"/>
      <c r="N68" s="325"/>
      <c r="O68" s="325"/>
      <c r="P68" s="325"/>
      <c r="Q68" s="325"/>
      <c r="R68" s="325"/>
      <c r="S68" s="325"/>
      <c r="T68" s="325"/>
      <c r="U68" s="325"/>
      <c r="V68" s="325"/>
      <c r="W68" s="325"/>
      <c r="X68" s="325"/>
      <c r="Y68" s="139"/>
      <c r="Z68" s="152"/>
      <c r="AB68" s="50" t="str">
        <f t="shared" si="109"/>
        <v>Reading</v>
      </c>
      <c r="AC68" s="49">
        <v>12</v>
      </c>
      <c r="AD68" s="50" t="str">
        <f t="shared" si="111"/>
        <v>ReadingProportion (%)</v>
      </c>
      <c r="AE68" s="51" t="b">
        <f t="shared" si="5"/>
        <v>0</v>
      </c>
      <c r="AF68" s="52">
        <f t="shared" ref="AF68:BA68" si="122">IF(ISERROR(AF20/$BA20*100),NA(),AF20/$BA20*100)</f>
        <v>6.4665127020785222</v>
      </c>
      <c r="AG68" s="53" t="e">
        <f t="shared" si="122"/>
        <v>#N/A</v>
      </c>
      <c r="AH68" s="53" t="e">
        <f t="shared" si="122"/>
        <v>#N/A</v>
      </c>
      <c r="AI68" s="53" t="e">
        <f t="shared" si="122"/>
        <v>#N/A</v>
      </c>
      <c r="AJ68" s="53">
        <f t="shared" si="122"/>
        <v>17.090069284064665</v>
      </c>
      <c r="AK68" s="53">
        <f t="shared" si="122"/>
        <v>1.4626635873749037</v>
      </c>
      <c r="AL68" s="53">
        <f t="shared" si="122"/>
        <v>15.280985373364125</v>
      </c>
      <c r="AM68" s="53" t="e">
        <f t="shared" si="122"/>
        <v>#N/A</v>
      </c>
      <c r="AN68" s="53" t="e">
        <f t="shared" si="122"/>
        <v>#N/A</v>
      </c>
      <c r="AO68" s="53" t="e">
        <f t="shared" si="122"/>
        <v>#N/A</v>
      </c>
      <c r="AP68" s="53" t="e">
        <f t="shared" si="122"/>
        <v>#N/A</v>
      </c>
      <c r="AQ68" s="53" t="e">
        <f t="shared" si="122"/>
        <v>#N/A</v>
      </c>
      <c r="AR68" s="53">
        <f t="shared" si="122"/>
        <v>2.5404157043879905</v>
      </c>
      <c r="AS68" s="53">
        <f t="shared" si="122"/>
        <v>10.739030023094688</v>
      </c>
      <c r="AT68" s="53" t="e">
        <f t="shared" si="122"/>
        <v>#N/A</v>
      </c>
      <c r="AU68" s="53" t="e">
        <f t="shared" si="122"/>
        <v>#N/A</v>
      </c>
      <c r="AV68" s="53">
        <f t="shared" si="122"/>
        <v>39.030023094688218</v>
      </c>
      <c r="AW68" s="53">
        <f t="shared" si="122"/>
        <v>2.6943802925327174</v>
      </c>
      <c r="AX68" s="53">
        <f t="shared" si="122"/>
        <v>4.695919938414165</v>
      </c>
      <c r="AY68" s="53" t="e">
        <f t="shared" si="122"/>
        <v>#N/A</v>
      </c>
      <c r="AZ68" s="54" t="e">
        <f t="shared" si="122"/>
        <v>#N/A</v>
      </c>
      <c r="BA68" s="57">
        <f t="shared" si="122"/>
        <v>100</v>
      </c>
    </row>
    <row r="69" spans="1:55" s="88" customFormat="1" ht="15" customHeight="1" x14ac:dyDescent="0.2">
      <c r="A69" s="309"/>
      <c r="B69" s="325"/>
      <c r="C69" s="325"/>
      <c r="D69" s="325"/>
      <c r="E69" s="325"/>
      <c r="F69" s="325"/>
      <c r="G69" s="325"/>
      <c r="H69" s="325"/>
      <c r="I69" s="325"/>
      <c r="J69" s="325"/>
      <c r="K69" s="325"/>
      <c r="L69" s="325"/>
      <c r="M69" s="325"/>
      <c r="N69" s="325"/>
      <c r="O69" s="325"/>
      <c r="P69" s="325"/>
      <c r="Q69" s="325"/>
      <c r="R69" s="325"/>
      <c r="S69" s="325"/>
      <c r="T69" s="325"/>
      <c r="U69" s="325"/>
      <c r="V69" s="325"/>
      <c r="W69" s="325"/>
      <c r="X69" s="325"/>
      <c r="Y69" s="134"/>
      <c r="Z69" s="152"/>
      <c r="AB69" s="50" t="str">
        <f t="shared" si="109"/>
        <v>Slough</v>
      </c>
      <c r="AC69" s="49">
        <v>13</v>
      </c>
      <c r="AD69" s="50" t="str">
        <f t="shared" si="111"/>
        <v>SloughProportion (%)</v>
      </c>
      <c r="AE69" s="51" t="b">
        <f t="shared" si="5"/>
        <v>0</v>
      </c>
      <c r="AF69" s="52">
        <f t="shared" ref="AF69:BA69" si="123">IF(ISERROR(AF21/$BA21*100),NA(),AF21/$BA21*100)</f>
        <v>6.9269521410579351</v>
      </c>
      <c r="AG69" s="53" t="e">
        <f t="shared" si="123"/>
        <v>#N/A</v>
      </c>
      <c r="AH69" s="53" t="e">
        <f t="shared" si="123"/>
        <v>#N/A</v>
      </c>
      <c r="AI69" s="53" t="e">
        <f t="shared" si="123"/>
        <v>#N/A</v>
      </c>
      <c r="AJ69" s="53">
        <f t="shared" si="123"/>
        <v>16.750629722921914</v>
      </c>
      <c r="AK69" s="53">
        <f t="shared" si="123"/>
        <v>0.75566750629722923</v>
      </c>
      <c r="AL69" s="53">
        <f t="shared" si="123"/>
        <v>12.594458438287154</v>
      </c>
      <c r="AM69" s="53" t="e">
        <f t="shared" si="123"/>
        <v>#N/A</v>
      </c>
      <c r="AN69" s="53" t="e">
        <f t="shared" si="123"/>
        <v>#N/A</v>
      </c>
      <c r="AO69" s="53" t="e">
        <f t="shared" si="123"/>
        <v>#N/A</v>
      </c>
      <c r="AP69" s="53" t="e">
        <f t="shared" si="123"/>
        <v>#N/A</v>
      </c>
      <c r="AQ69" s="53" t="e">
        <f t="shared" si="123"/>
        <v>#N/A</v>
      </c>
      <c r="AR69" s="53" t="e">
        <f t="shared" si="123"/>
        <v>#N/A</v>
      </c>
      <c r="AS69" s="53">
        <f t="shared" si="123"/>
        <v>23.173803526448363</v>
      </c>
      <c r="AT69" s="53" t="e">
        <f t="shared" si="123"/>
        <v>#N/A</v>
      </c>
      <c r="AU69" s="53" t="e">
        <f t="shared" si="123"/>
        <v>#N/A</v>
      </c>
      <c r="AV69" s="53">
        <f t="shared" si="123"/>
        <v>32.430730478589417</v>
      </c>
      <c r="AW69" s="53">
        <f t="shared" si="123"/>
        <v>2.8337531486146093</v>
      </c>
      <c r="AX69" s="53">
        <f t="shared" si="123"/>
        <v>1.8261964735516372</v>
      </c>
      <c r="AY69" s="53">
        <f t="shared" si="123"/>
        <v>2.7078085642317382</v>
      </c>
      <c r="AZ69" s="54" t="e">
        <f t="shared" si="123"/>
        <v>#N/A</v>
      </c>
      <c r="BA69" s="57">
        <f t="shared" si="123"/>
        <v>100</v>
      </c>
    </row>
    <row r="70" spans="1:55" ht="11.25" customHeight="1" x14ac:dyDescent="0.2">
      <c r="A70" s="1066" t="str">
        <f>Home!$A$35</f>
        <v>LA's provide quarterly data on the condition that it is used by the benchmarking group for internal reporting only. Please DO NOT share other LA's data with any external partners or the public</v>
      </c>
      <c r="B70" s="1067"/>
      <c r="C70" s="1067"/>
      <c r="D70" s="1067"/>
      <c r="E70" s="1067"/>
      <c r="F70" s="1067"/>
      <c r="G70" s="1067"/>
      <c r="H70" s="1067"/>
      <c r="I70" s="1067"/>
      <c r="J70" s="1067"/>
      <c r="K70" s="1067"/>
      <c r="L70" s="1067"/>
      <c r="M70" s="1067"/>
      <c r="N70" s="1067"/>
      <c r="O70" s="1067"/>
      <c r="P70" s="1067"/>
      <c r="Q70" s="1067"/>
      <c r="R70" s="1067"/>
      <c r="S70" s="1067"/>
      <c r="T70" s="1067"/>
      <c r="U70" s="1067"/>
      <c r="V70" s="1067"/>
      <c r="W70" s="1067"/>
      <c r="X70" s="1067"/>
      <c r="Y70" s="1068"/>
      <c r="Z70" s="152"/>
      <c r="AA70" s="80"/>
      <c r="AB70" s="50" t="str">
        <f t="shared" si="109"/>
        <v>Somerset</v>
      </c>
      <c r="AC70" s="49">
        <v>14</v>
      </c>
      <c r="AD70" s="50" t="str">
        <f t="shared" si="111"/>
        <v>SomersetProportion (%)</v>
      </c>
      <c r="AE70" s="51" t="b">
        <f t="shared" si="5"/>
        <v>0</v>
      </c>
      <c r="AF70" s="52">
        <f t="shared" ref="AF70:BA70" si="124">IF(ISERROR(AF22/$BA22*100),NA(),AF22/$BA22*100)</f>
        <v>12.410454985479188</v>
      </c>
      <c r="AG70" s="53" t="e">
        <f t="shared" si="124"/>
        <v>#N/A</v>
      </c>
      <c r="AH70" s="53" t="e">
        <f t="shared" si="124"/>
        <v>#N/A</v>
      </c>
      <c r="AI70" s="53" t="e">
        <f t="shared" si="124"/>
        <v>#N/A</v>
      </c>
      <c r="AJ70" s="53">
        <f t="shared" si="124"/>
        <v>12.952565343659245</v>
      </c>
      <c r="AK70" s="53">
        <f t="shared" si="124"/>
        <v>1.2971926427879961</v>
      </c>
      <c r="AL70" s="53">
        <f t="shared" si="124"/>
        <v>15.605033881897388</v>
      </c>
      <c r="AM70" s="53" t="e">
        <f t="shared" si="124"/>
        <v>#N/A</v>
      </c>
      <c r="AN70" s="53" t="e">
        <f t="shared" si="124"/>
        <v>#N/A</v>
      </c>
      <c r="AO70" s="53" t="e">
        <f t="shared" si="124"/>
        <v>#N/A</v>
      </c>
      <c r="AP70" s="53" t="e">
        <f t="shared" si="124"/>
        <v>#N/A</v>
      </c>
      <c r="AQ70" s="53" t="e">
        <f t="shared" si="124"/>
        <v>#N/A</v>
      </c>
      <c r="AR70" s="53">
        <f t="shared" si="124"/>
        <v>0.54211035818005804</v>
      </c>
      <c r="AS70" s="53">
        <f t="shared" si="124"/>
        <v>10.939012584704743</v>
      </c>
      <c r="AT70" s="53" t="e">
        <f t="shared" si="124"/>
        <v>#N/A</v>
      </c>
      <c r="AU70" s="53" t="e">
        <f t="shared" si="124"/>
        <v>#N/A</v>
      </c>
      <c r="AV70" s="53">
        <f t="shared" si="124"/>
        <v>31.965150048402712</v>
      </c>
      <c r="AW70" s="53">
        <f t="shared" si="124"/>
        <v>3.4075508228460798</v>
      </c>
      <c r="AX70" s="53">
        <f t="shared" si="124"/>
        <v>6.6408518877057121</v>
      </c>
      <c r="AY70" s="53">
        <f t="shared" si="124"/>
        <v>4.0077444336882868</v>
      </c>
      <c r="AZ70" s="54">
        <f t="shared" si="124"/>
        <v>0.23233301064859629</v>
      </c>
      <c r="BA70" s="57">
        <f t="shared" si="124"/>
        <v>100</v>
      </c>
      <c r="BB70" s="88"/>
      <c r="BC70" s="88"/>
    </row>
    <row r="71" spans="1:55" ht="11.25" customHeight="1" x14ac:dyDescent="0.2">
      <c r="A71" s="129"/>
      <c r="B71" s="130"/>
      <c r="C71" s="130"/>
      <c r="D71" s="130"/>
      <c r="E71" s="130"/>
      <c r="F71" s="130"/>
      <c r="G71" s="130"/>
      <c r="H71" s="130"/>
      <c r="I71" s="130"/>
      <c r="J71" s="130"/>
      <c r="K71" s="130"/>
      <c r="L71" s="130"/>
      <c r="M71" s="130"/>
      <c r="N71" s="130"/>
      <c r="O71" s="131"/>
      <c r="P71" s="130"/>
      <c r="Q71" s="130"/>
      <c r="R71" s="130"/>
      <c r="S71" s="130"/>
      <c r="T71" s="130"/>
      <c r="U71" s="130"/>
      <c r="V71" s="130"/>
      <c r="W71" s="130"/>
      <c r="X71" s="130"/>
      <c r="Y71" s="132"/>
      <c r="Z71" s="152"/>
      <c r="AA71" s="80"/>
      <c r="AB71" s="50" t="str">
        <f t="shared" si="109"/>
        <v>Southampton</v>
      </c>
      <c r="AC71" s="49">
        <v>15</v>
      </c>
      <c r="AD71" s="50" t="str">
        <f t="shared" si="111"/>
        <v>SouthamptonProportion (%)</v>
      </c>
      <c r="AE71" s="51" t="b">
        <f t="shared" si="5"/>
        <v>0</v>
      </c>
      <c r="AF71" s="52">
        <f t="shared" ref="AF71:BA71" si="125">IF(ISERROR(AF23/$BA23*100),NA(),AF23/$BA23*100)</f>
        <v>3.788748564867968</v>
      </c>
      <c r="AG71" s="53" t="e">
        <f t="shared" si="125"/>
        <v>#N/A</v>
      </c>
      <c r="AH71" s="53" t="e">
        <f t="shared" si="125"/>
        <v>#N/A</v>
      </c>
      <c r="AI71" s="53" t="e">
        <f t="shared" si="125"/>
        <v>#N/A</v>
      </c>
      <c r="AJ71" s="53">
        <f t="shared" si="125"/>
        <v>21.125143513203216</v>
      </c>
      <c r="AK71" s="53">
        <f t="shared" si="125"/>
        <v>0.26789131266743205</v>
      </c>
      <c r="AL71" s="53">
        <f t="shared" si="125"/>
        <v>13.088404133180253</v>
      </c>
      <c r="AM71" s="53" t="e">
        <f t="shared" si="125"/>
        <v>#N/A</v>
      </c>
      <c r="AN71" s="53" t="e">
        <f t="shared" si="125"/>
        <v>#N/A</v>
      </c>
      <c r="AO71" s="53" t="e">
        <f t="shared" si="125"/>
        <v>#N/A</v>
      </c>
      <c r="AP71" s="53" t="e">
        <f t="shared" si="125"/>
        <v>#N/A</v>
      </c>
      <c r="AQ71" s="53" t="e">
        <f t="shared" si="125"/>
        <v>#N/A</v>
      </c>
      <c r="AR71" s="53">
        <f t="shared" si="125"/>
        <v>1.4159969383849982</v>
      </c>
      <c r="AS71" s="53">
        <f t="shared" si="125"/>
        <v>18.446230386528896</v>
      </c>
      <c r="AT71" s="53" t="e">
        <f t="shared" si="125"/>
        <v>#N/A</v>
      </c>
      <c r="AU71" s="53" t="e">
        <f t="shared" si="125"/>
        <v>#N/A</v>
      </c>
      <c r="AV71" s="53">
        <f t="shared" si="125"/>
        <v>30.616150019135091</v>
      </c>
      <c r="AW71" s="53">
        <f t="shared" si="125"/>
        <v>2.5641025641025639</v>
      </c>
      <c r="AX71" s="53">
        <f t="shared" si="125"/>
        <v>6.0849598163030993</v>
      </c>
      <c r="AY71" s="53">
        <f t="shared" si="125"/>
        <v>2.6023727516264827</v>
      </c>
      <c r="AZ71" s="54">
        <f t="shared" si="125"/>
        <v>0</v>
      </c>
      <c r="BA71" s="57">
        <f t="shared" si="125"/>
        <v>100</v>
      </c>
    </row>
    <row r="72" spans="1:55" s="82" customFormat="1" ht="18.75" customHeight="1" x14ac:dyDescent="0.25">
      <c r="A72" s="513"/>
      <c r="B72" s="1087" t="str">
        <f>V5&amp;" of Referrals from each Source "&amp;Frontpage!J5</f>
        <v>Proportion (%) of Referrals from each Source 2017-18</v>
      </c>
      <c r="C72" s="1087"/>
      <c r="D72" s="1087"/>
      <c r="E72" s="1087"/>
      <c r="F72" s="1087"/>
      <c r="G72" s="1087"/>
      <c r="H72" s="1087"/>
      <c r="I72" s="1087"/>
      <c r="J72" s="1087"/>
      <c r="K72" s="1087"/>
      <c r="L72" s="1087"/>
      <c r="M72" s="63"/>
      <c r="N72" s="70"/>
      <c r="O72" s="70"/>
      <c r="P72" s="70"/>
      <c r="Q72" s="70"/>
      <c r="R72" s="63"/>
      <c r="S72" s="70"/>
      <c r="T72" s="70"/>
      <c r="U72" s="70"/>
      <c r="V72" s="70"/>
      <c r="W72" s="70"/>
      <c r="X72" s="70"/>
      <c r="Y72" s="134"/>
      <c r="Z72" s="152"/>
      <c r="AB72" s="50" t="str">
        <f t="shared" si="109"/>
        <v>Surrey</v>
      </c>
      <c r="AC72" s="49">
        <v>16</v>
      </c>
      <c r="AD72" s="50" t="str">
        <f t="shared" si="111"/>
        <v>SurreyProportion (%)</v>
      </c>
      <c r="AE72" s="51" t="b">
        <f t="shared" si="5"/>
        <v>0</v>
      </c>
      <c r="AF72" s="52">
        <f t="shared" ref="AF72:BA72" si="126">IF(ISERROR(AF24/$BA24*100),NA(),AF24/$BA24*100)</f>
        <v>4.7996477322765303</v>
      </c>
      <c r="AG72" s="53" t="e">
        <f t="shared" si="126"/>
        <v>#N/A</v>
      </c>
      <c r="AH72" s="53" t="e">
        <f t="shared" si="126"/>
        <v>#N/A</v>
      </c>
      <c r="AI72" s="53" t="e">
        <f t="shared" si="126"/>
        <v>#N/A</v>
      </c>
      <c r="AJ72" s="53">
        <f t="shared" si="126"/>
        <v>19.462791721708498</v>
      </c>
      <c r="AK72" s="53">
        <f t="shared" si="126"/>
        <v>0.77792455599589017</v>
      </c>
      <c r="AL72" s="53">
        <f t="shared" si="126"/>
        <v>13.048583590195214</v>
      </c>
      <c r="AM72" s="53" t="e">
        <f t="shared" si="126"/>
        <v>#N/A</v>
      </c>
      <c r="AN72" s="53" t="e">
        <f t="shared" si="126"/>
        <v>#N/A</v>
      </c>
      <c r="AO72" s="53" t="e">
        <f t="shared" si="126"/>
        <v>#N/A</v>
      </c>
      <c r="AP72" s="53" t="e">
        <f t="shared" si="126"/>
        <v>#N/A</v>
      </c>
      <c r="AQ72" s="53" t="e">
        <f t="shared" si="126"/>
        <v>#N/A</v>
      </c>
      <c r="AR72" s="53">
        <f t="shared" si="126"/>
        <v>0.92470277410832236</v>
      </c>
      <c r="AS72" s="53">
        <f t="shared" si="126"/>
        <v>12.813738441215325</v>
      </c>
      <c r="AT72" s="53" t="e">
        <f t="shared" si="126"/>
        <v>#N/A</v>
      </c>
      <c r="AU72" s="53" t="e">
        <f t="shared" si="126"/>
        <v>#N/A</v>
      </c>
      <c r="AV72" s="53">
        <f t="shared" si="126"/>
        <v>38.154997798326725</v>
      </c>
      <c r="AW72" s="53">
        <f t="shared" si="126"/>
        <v>2.6933803023631295</v>
      </c>
      <c r="AX72" s="53">
        <f t="shared" si="126"/>
        <v>5.8931454572141497</v>
      </c>
      <c r="AY72" s="53">
        <f t="shared" si="126"/>
        <v>1.4310876265962131</v>
      </c>
      <c r="AZ72" s="54">
        <f t="shared" si="126"/>
        <v>0</v>
      </c>
      <c r="BA72" s="57">
        <f t="shared" si="126"/>
        <v>100</v>
      </c>
      <c r="BB72" s="80"/>
      <c r="BC72" s="80"/>
    </row>
    <row r="73" spans="1:55" ht="18.75" customHeight="1" x14ac:dyDescent="0.2">
      <c r="A73" s="309"/>
      <c r="B73" s="1087"/>
      <c r="C73" s="1087"/>
      <c r="D73" s="1087"/>
      <c r="E73" s="1087"/>
      <c r="F73" s="1087"/>
      <c r="G73" s="1087"/>
      <c r="H73" s="1087"/>
      <c r="I73" s="1087"/>
      <c r="J73" s="1087"/>
      <c r="K73" s="1087"/>
      <c r="L73" s="1087"/>
      <c r="M73" s="70"/>
      <c r="N73" s="70"/>
      <c r="O73" s="70"/>
      <c r="P73" s="70"/>
      <c r="Q73" s="70"/>
      <c r="R73" s="70"/>
      <c r="S73" s="70"/>
      <c r="T73" s="70"/>
      <c r="U73" s="70"/>
      <c r="V73" s="58"/>
      <c r="W73" s="70"/>
      <c r="X73" s="70"/>
      <c r="Y73" s="134"/>
      <c r="Z73" s="153"/>
      <c r="AA73" s="80"/>
      <c r="AB73" s="50" t="str">
        <f t="shared" si="109"/>
        <v>Swindon</v>
      </c>
      <c r="AC73" s="49">
        <v>17</v>
      </c>
      <c r="AD73" s="50" t="str">
        <f t="shared" si="111"/>
        <v>SwindonProportion (%)</v>
      </c>
      <c r="AE73" s="51" t="b">
        <f t="shared" si="5"/>
        <v>0</v>
      </c>
      <c r="AF73" s="52">
        <f t="shared" ref="AF73:BA73" si="127">IF(ISERROR(AF25/$BA25*100),NA(),AF25/$BA25*100)</f>
        <v>8.7951475048249232</v>
      </c>
      <c r="AG73" s="53" t="e">
        <f t="shared" si="127"/>
        <v>#N/A</v>
      </c>
      <c r="AH73" s="53" t="e">
        <f t="shared" si="127"/>
        <v>#N/A</v>
      </c>
      <c r="AI73" s="53" t="e">
        <f t="shared" si="127"/>
        <v>#N/A</v>
      </c>
      <c r="AJ73" s="53">
        <f t="shared" si="127"/>
        <v>19.961400606561895</v>
      </c>
      <c r="AK73" s="53">
        <f t="shared" si="127"/>
        <v>0.16542597187758479</v>
      </c>
      <c r="AL73" s="53">
        <f t="shared" si="127"/>
        <v>12.682657843948167</v>
      </c>
      <c r="AM73" s="53" t="e">
        <f t="shared" si="127"/>
        <v>#N/A</v>
      </c>
      <c r="AN73" s="53" t="e">
        <f t="shared" si="127"/>
        <v>#N/A</v>
      </c>
      <c r="AO73" s="53" t="e">
        <f t="shared" si="127"/>
        <v>#N/A</v>
      </c>
      <c r="AP73" s="53" t="e">
        <f t="shared" si="127"/>
        <v>#N/A</v>
      </c>
      <c r="AQ73" s="53" t="e">
        <f t="shared" si="127"/>
        <v>#N/A</v>
      </c>
      <c r="AR73" s="53">
        <f t="shared" si="127"/>
        <v>1.2682657843948166</v>
      </c>
      <c r="AS73" s="53">
        <f t="shared" si="127"/>
        <v>6.8927488282326994</v>
      </c>
      <c r="AT73" s="53" t="e">
        <f t="shared" si="127"/>
        <v>#N/A</v>
      </c>
      <c r="AU73" s="53" t="e">
        <f t="shared" si="127"/>
        <v>#N/A</v>
      </c>
      <c r="AV73" s="53">
        <f t="shared" si="127"/>
        <v>35.318444995864354</v>
      </c>
      <c r="AW73" s="53">
        <f t="shared" si="127"/>
        <v>2.315963606286187</v>
      </c>
      <c r="AX73" s="53">
        <f t="shared" si="127"/>
        <v>5.7899090157154669</v>
      </c>
      <c r="AY73" s="53">
        <f t="shared" si="127"/>
        <v>3.9702233250620349</v>
      </c>
      <c r="AZ73" s="54">
        <f t="shared" si="127"/>
        <v>2.8398125172318722</v>
      </c>
      <c r="BA73" s="57">
        <f t="shared" si="127"/>
        <v>100</v>
      </c>
      <c r="BB73" s="82"/>
      <c r="BC73" s="82"/>
    </row>
    <row r="74" spans="1:55" ht="19.5" customHeight="1" x14ac:dyDescent="0.2">
      <c r="A74" s="309"/>
      <c r="B74" s="201"/>
      <c r="C74" s="58"/>
      <c r="D74" s="58"/>
      <c r="E74" s="58"/>
      <c r="F74" s="58"/>
      <c r="G74" s="58"/>
      <c r="H74" s="58"/>
      <c r="I74" s="58"/>
      <c r="J74" s="58"/>
      <c r="K74" s="58"/>
      <c r="L74" s="58"/>
      <c r="M74" s="58"/>
      <c r="N74" s="58"/>
      <c r="O74" s="58"/>
      <c r="P74" s="58"/>
      <c r="Q74" s="58"/>
      <c r="R74" s="58"/>
      <c r="S74" s="58"/>
      <c r="T74" s="58"/>
      <c r="U74" s="58"/>
      <c r="V74" s="58"/>
      <c r="W74" s="58"/>
      <c r="X74" s="9"/>
      <c r="Y74" s="134"/>
      <c r="Z74" s="152"/>
      <c r="AA74" s="80"/>
      <c r="AB74" s="50" t="str">
        <f t="shared" si="109"/>
        <v>Torbay</v>
      </c>
      <c r="AC74" s="49">
        <v>18</v>
      </c>
      <c r="AD74" s="50" t="str">
        <f t="shared" si="111"/>
        <v>TorbayProportion (%)</v>
      </c>
      <c r="AE74" s="51" t="b">
        <f t="shared" si="5"/>
        <v>0</v>
      </c>
      <c r="AF74" s="52">
        <f t="shared" ref="AF74:BA74" si="128">IF(ISERROR(AF26/$BA26*100),NA(),AF26/$BA26*100)</f>
        <v>7.81163434903047</v>
      </c>
      <c r="AG74" s="53" t="e">
        <f t="shared" si="128"/>
        <v>#N/A</v>
      </c>
      <c r="AH74" s="53" t="e">
        <f t="shared" si="128"/>
        <v>#N/A</v>
      </c>
      <c r="AI74" s="53" t="e">
        <f t="shared" si="128"/>
        <v>#N/A</v>
      </c>
      <c r="AJ74" s="53">
        <f t="shared" si="128"/>
        <v>21.16343490304709</v>
      </c>
      <c r="AK74" s="53">
        <f t="shared" si="128"/>
        <v>0</v>
      </c>
      <c r="AL74" s="53">
        <f t="shared" si="128"/>
        <v>14.459833795013852</v>
      </c>
      <c r="AM74" s="53" t="e">
        <f t="shared" si="128"/>
        <v>#N/A</v>
      </c>
      <c r="AN74" s="53" t="e">
        <f t="shared" si="128"/>
        <v>#N/A</v>
      </c>
      <c r="AO74" s="53" t="e">
        <f t="shared" si="128"/>
        <v>#N/A</v>
      </c>
      <c r="AP74" s="53" t="e">
        <f t="shared" si="128"/>
        <v>#N/A</v>
      </c>
      <c r="AQ74" s="53" t="e">
        <f t="shared" si="128"/>
        <v>#N/A</v>
      </c>
      <c r="AR74" s="53">
        <f t="shared" si="128"/>
        <v>0.49861495844875342</v>
      </c>
      <c r="AS74" s="53">
        <f t="shared" si="128"/>
        <v>15.401662049861494</v>
      </c>
      <c r="AT74" s="53" t="e">
        <f t="shared" si="128"/>
        <v>#N/A</v>
      </c>
      <c r="AU74" s="53" t="e">
        <f t="shared" si="128"/>
        <v>#N/A</v>
      </c>
      <c r="AV74" s="53">
        <f t="shared" si="128"/>
        <v>24.099722991689752</v>
      </c>
      <c r="AW74" s="53">
        <f t="shared" si="128"/>
        <v>1.2742382271468145</v>
      </c>
      <c r="AX74" s="53">
        <f t="shared" si="128"/>
        <v>8.6426592797783925</v>
      </c>
      <c r="AY74" s="53">
        <f t="shared" si="128"/>
        <v>3.3795013850415514</v>
      </c>
      <c r="AZ74" s="54">
        <f t="shared" si="128"/>
        <v>3.2686980609418286</v>
      </c>
      <c r="BA74" s="57">
        <f t="shared" si="128"/>
        <v>100</v>
      </c>
    </row>
    <row r="75" spans="1:55" ht="19.5" customHeight="1" x14ac:dyDescent="0.2">
      <c r="A75" s="309"/>
      <c r="B75" s="201"/>
      <c r="C75" s="58"/>
      <c r="D75" s="58"/>
      <c r="E75" s="58"/>
      <c r="F75" s="58"/>
      <c r="G75" s="58"/>
      <c r="H75" s="58"/>
      <c r="I75" s="58"/>
      <c r="J75" s="58"/>
      <c r="K75" s="58"/>
      <c r="L75" s="58"/>
      <c r="M75" s="58"/>
      <c r="N75" s="58"/>
      <c r="O75" s="58"/>
      <c r="P75" s="58"/>
      <c r="Q75" s="58"/>
      <c r="R75" s="58"/>
      <c r="S75" s="58"/>
      <c r="T75" s="58"/>
      <c r="U75" s="58"/>
      <c r="V75" s="58"/>
      <c r="W75" s="58"/>
      <c r="X75" s="9"/>
      <c r="Y75" s="134"/>
      <c r="Z75" s="152"/>
      <c r="AA75" s="80"/>
      <c r="AB75" s="50" t="str">
        <f t="shared" si="109"/>
        <v>West Berkshire</v>
      </c>
      <c r="AC75" s="49">
        <v>19</v>
      </c>
      <c r="AD75" s="50" t="str">
        <f t="shared" si="111"/>
        <v>West BerkshireProportion (%)</v>
      </c>
      <c r="AE75" s="51" t="b">
        <f t="shared" si="5"/>
        <v>0</v>
      </c>
      <c r="AF75" s="52">
        <f t="shared" ref="AF75:BA75" si="129">IF(ISERROR(AF27/$BA27*100),NA(),AF27/$BA27*100)</f>
        <v>9.3163538873994653</v>
      </c>
      <c r="AG75" s="53" t="e">
        <f t="shared" si="129"/>
        <v>#N/A</v>
      </c>
      <c r="AH75" s="53" t="e">
        <f t="shared" si="129"/>
        <v>#N/A</v>
      </c>
      <c r="AI75" s="53" t="e">
        <f t="shared" si="129"/>
        <v>#N/A</v>
      </c>
      <c r="AJ75" s="53">
        <f t="shared" si="129"/>
        <v>19.839142091152816</v>
      </c>
      <c r="AK75" s="53">
        <f t="shared" si="129"/>
        <v>2.2117962466487935</v>
      </c>
      <c r="AL75" s="53">
        <f t="shared" si="129"/>
        <v>12.533512064343164</v>
      </c>
      <c r="AM75" s="53" t="e">
        <f t="shared" si="129"/>
        <v>#N/A</v>
      </c>
      <c r="AN75" s="53" t="e">
        <f t="shared" si="129"/>
        <v>#N/A</v>
      </c>
      <c r="AO75" s="53" t="e">
        <f t="shared" si="129"/>
        <v>#N/A</v>
      </c>
      <c r="AP75" s="53" t="e">
        <f t="shared" si="129"/>
        <v>#N/A</v>
      </c>
      <c r="AQ75" s="53" t="e">
        <f t="shared" si="129"/>
        <v>#N/A</v>
      </c>
      <c r="AR75" s="53">
        <f t="shared" si="129"/>
        <v>1.8766756032171581</v>
      </c>
      <c r="AS75" s="53">
        <f t="shared" si="129"/>
        <v>17.024128686327078</v>
      </c>
      <c r="AT75" s="53" t="e">
        <f t="shared" si="129"/>
        <v>#N/A</v>
      </c>
      <c r="AU75" s="53" t="e">
        <f t="shared" si="129"/>
        <v>#N/A</v>
      </c>
      <c r="AV75" s="53">
        <f t="shared" si="129"/>
        <v>32.037533512064343</v>
      </c>
      <c r="AW75" s="53" t="e">
        <f t="shared" si="129"/>
        <v>#N/A</v>
      </c>
      <c r="AX75" s="53">
        <f t="shared" si="129"/>
        <v>3.5522788203753355</v>
      </c>
      <c r="AY75" s="53">
        <f t="shared" si="129"/>
        <v>1.6085790884718498</v>
      </c>
      <c r="AZ75" s="54" t="e">
        <f t="shared" si="129"/>
        <v>#N/A</v>
      </c>
      <c r="BA75" s="57">
        <f t="shared" si="129"/>
        <v>100</v>
      </c>
    </row>
    <row r="76" spans="1:55" ht="19.5" customHeight="1" x14ac:dyDescent="0.2">
      <c r="A76" s="309"/>
      <c r="B76" s="201"/>
      <c r="C76" s="58"/>
      <c r="D76" s="58"/>
      <c r="E76" s="58"/>
      <c r="F76" s="58"/>
      <c r="G76" s="58"/>
      <c r="H76" s="58"/>
      <c r="I76" s="58"/>
      <c r="J76" s="58"/>
      <c r="K76" s="58"/>
      <c r="L76" s="58"/>
      <c r="M76" s="58"/>
      <c r="N76" s="58"/>
      <c r="O76" s="58"/>
      <c r="P76" s="58"/>
      <c r="Q76" s="58"/>
      <c r="R76" s="58"/>
      <c r="S76" s="58"/>
      <c r="T76" s="58"/>
      <c r="U76" s="58"/>
      <c r="V76" s="58"/>
      <c r="W76" s="63"/>
      <c r="X76" s="15"/>
      <c r="Y76" s="134"/>
      <c r="Z76" s="152"/>
      <c r="AA76" s="80"/>
      <c r="AB76" s="50" t="str">
        <f t="shared" si="109"/>
        <v>West Sussex</v>
      </c>
      <c r="AC76" s="49">
        <v>20</v>
      </c>
      <c r="AD76" s="50" t="str">
        <f t="shared" si="111"/>
        <v>West SussexProportion (%)</v>
      </c>
      <c r="AE76" s="51" t="b">
        <f t="shared" ref="AE76:AE79" si="130">IF(AB76=$AA$6,1)</f>
        <v>0</v>
      </c>
      <c r="AF76" s="52">
        <f t="shared" ref="AF76:BA76" si="131">IF(ISERROR(AF28/$BA28*100),NA(),AF28/$BA28*100)</f>
        <v>9.1945972986493256</v>
      </c>
      <c r="AG76" s="53" t="e">
        <f t="shared" si="131"/>
        <v>#N/A</v>
      </c>
      <c r="AH76" s="53" t="e">
        <f t="shared" si="131"/>
        <v>#N/A</v>
      </c>
      <c r="AI76" s="53" t="e">
        <f t="shared" si="131"/>
        <v>#N/A</v>
      </c>
      <c r="AJ76" s="53">
        <f t="shared" si="131"/>
        <v>18.779389694847424</v>
      </c>
      <c r="AK76" s="53">
        <f t="shared" si="131"/>
        <v>0</v>
      </c>
      <c r="AL76" s="53">
        <f t="shared" si="131"/>
        <v>10.835417708854427</v>
      </c>
      <c r="AM76" s="53" t="e">
        <f t="shared" si="131"/>
        <v>#N/A</v>
      </c>
      <c r="AN76" s="53" t="e">
        <f t="shared" si="131"/>
        <v>#N/A</v>
      </c>
      <c r="AO76" s="53" t="e">
        <f t="shared" si="131"/>
        <v>#N/A</v>
      </c>
      <c r="AP76" s="53" t="e">
        <f t="shared" si="131"/>
        <v>#N/A</v>
      </c>
      <c r="AQ76" s="53" t="e">
        <f t="shared" si="131"/>
        <v>#N/A</v>
      </c>
      <c r="AR76" s="53">
        <f t="shared" si="131"/>
        <v>1.8209104552276139</v>
      </c>
      <c r="AS76" s="53">
        <f t="shared" si="131"/>
        <v>18.199099549774889</v>
      </c>
      <c r="AT76" s="53" t="e">
        <f t="shared" si="131"/>
        <v>#N/A</v>
      </c>
      <c r="AU76" s="53" t="e">
        <f t="shared" si="131"/>
        <v>#N/A</v>
      </c>
      <c r="AV76" s="53">
        <f t="shared" si="131"/>
        <v>29.144572286143074</v>
      </c>
      <c r="AW76" s="53">
        <f t="shared" si="131"/>
        <v>3.6318159079539774</v>
      </c>
      <c r="AX76" s="53">
        <f t="shared" si="131"/>
        <v>6.903451725862932</v>
      </c>
      <c r="AY76" s="53">
        <f t="shared" si="131"/>
        <v>0</v>
      </c>
      <c r="AZ76" s="54">
        <f t="shared" si="131"/>
        <v>1.4907453726863431</v>
      </c>
      <c r="BA76" s="57">
        <f t="shared" si="131"/>
        <v>100</v>
      </c>
    </row>
    <row r="77" spans="1:55" ht="19.5" customHeight="1" x14ac:dyDescent="0.2">
      <c r="A77" s="512"/>
      <c r="B77" s="201"/>
      <c r="C77" s="58"/>
      <c r="D77" s="58"/>
      <c r="E77" s="58"/>
      <c r="F77" s="58"/>
      <c r="G77" s="58"/>
      <c r="H77" s="58"/>
      <c r="I77" s="58"/>
      <c r="J77" s="58"/>
      <c r="K77" s="58"/>
      <c r="L77" s="58"/>
      <c r="M77" s="58"/>
      <c r="N77" s="58"/>
      <c r="O77" s="58"/>
      <c r="P77" s="58"/>
      <c r="Q77" s="58"/>
      <c r="R77" s="58"/>
      <c r="S77" s="58"/>
      <c r="T77" s="58"/>
      <c r="U77" s="58"/>
      <c r="V77" s="58"/>
      <c r="W77" s="58"/>
      <c r="X77" s="9"/>
      <c r="Y77" s="137"/>
      <c r="Z77" s="152"/>
      <c r="AA77" s="80"/>
      <c r="AB77" s="50" t="str">
        <f t="shared" si="109"/>
        <v>Windsor &amp; Maidenhead</v>
      </c>
      <c r="AC77" s="49">
        <v>21</v>
      </c>
      <c r="AD77" s="50" t="str">
        <f t="shared" si="111"/>
        <v>Windsor &amp; MaidenheadProportion (%)</v>
      </c>
      <c r="AE77" s="51" t="b">
        <f t="shared" si="130"/>
        <v>0</v>
      </c>
      <c r="AF77" s="52">
        <f t="shared" ref="AF77:BA77" si="132">IF(ISERROR(AF29/$BA29*100),NA(),AF29/$BA29*100)</f>
        <v>13.854853911404335</v>
      </c>
      <c r="AG77" s="53" t="e">
        <f t="shared" si="132"/>
        <v>#N/A</v>
      </c>
      <c r="AH77" s="53" t="e">
        <f t="shared" si="132"/>
        <v>#N/A</v>
      </c>
      <c r="AI77" s="53" t="e">
        <f t="shared" si="132"/>
        <v>#N/A</v>
      </c>
      <c r="AJ77" s="53">
        <f t="shared" si="132"/>
        <v>9.1423185673892551</v>
      </c>
      <c r="AK77" s="53">
        <f t="shared" si="132"/>
        <v>0</v>
      </c>
      <c r="AL77" s="53">
        <f t="shared" si="132"/>
        <v>12.535344015080113</v>
      </c>
      <c r="AM77" s="53" t="e">
        <f t="shared" si="132"/>
        <v>#N/A</v>
      </c>
      <c r="AN77" s="53" t="e">
        <f t="shared" si="132"/>
        <v>#N/A</v>
      </c>
      <c r="AO77" s="53" t="e">
        <f t="shared" si="132"/>
        <v>#N/A</v>
      </c>
      <c r="AP77" s="53" t="e">
        <f t="shared" si="132"/>
        <v>#N/A</v>
      </c>
      <c r="AQ77" s="53" t="e">
        <f t="shared" si="132"/>
        <v>#N/A</v>
      </c>
      <c r="AR77" s="53">
        <f t="shared" si="132"/>
        <v>0.65975494816211122</v>
      </c>
      <c r="AS77" s="53">
        <f t="shared" si="132"/>
        <v>9.8963242224316676</v>
      </c>
      <c r="AT77" s="53" t="e">
        <f t="shared" si="132"/>
        <v>#N/A</v>
      </c>
      <c r="AU77" s="53" t="e">
        <f t="shared" si="132"/>
        <v>#N/A</v>
      </c>
      <c r="AV77" s="53">
        <f t="shared" si="132"/>
        <v>35.061262959472195</v>
      </c>
      <c r="AW77" s="53">
        <f t="shared" si="132"/>
        <v>1.3195098963242224</v>
      </c>
      <c r="AX77" s="53">
        <f t="shared" si="132"/>
        <v>2.827521206409048</v>
      </c>
      <c r="AY77" s="53">
        <f t="shared" si="132"/>
        <v>2.167766258246937</v>
      </c>
      <c r="AZ77" s="54">
        <f t="shared" si="132"/>
        <v>12.535344015080113</v>
      </c>
      <c r="BA77" s="57">
        <f t="shared" si="132"/>
        <v>100</v>
      </c>
    </row>
    <row r="78" spans="1:55" ht="19.5" customHeight="1" x14ac:dyDescent="0.2">
      <c r="A78" s="309"/>
      <c r="B78" s="201"/>
      <c r="C78" s="58"/>
      <c r="D78" s="58"/>
      <c r="E78" s="58"/>
      <c r="F78" s="58"/>
      <c r="G78" s="58"/>
      <c r="H78" s="58"/>
      <c r="I78" s="58"/>
      <c r="J78" s="58"/>
      <c r="K78" s="58"/>
      <c r="L78" s="58"/>
      <c r="M78" s="58"/>
      <c r="N78" s="58"/>
      <c r="O78" s="58"/>
      <c r="P78" s="58"/>
      <c r="Q78" s="58"/>
      <c r="R78" s="58"/>
      <c r="S78" s="58"/>
      <c r="T78" s="58"/>
      <c r="U78" s="58"/>
      <c r="V78" s="58"/>
      <c r="W78" s="58"/>
      <c r="X78" s="9"/>
      <c r="Y78" s="134"/>
      <c r="Z78" s="152"/>
      <c r="AA78" s="80"/>
      <c r="AB78" s="50" t="str">
        <f t="shared" si="109"/>
        <v>Wokingham</v>
      </c>
      <c r="AC78" s="49">
        <v>22</v>
      </c>
      <c r="AD78" s="50" t="str">
        <f t="shared" si="111"/>
        <v>WokinghamProportion (%)</v>
      </c>
      <c r="AE78" s="51" t="b">
        <f t="shared" si="130"/>
        <v>0</v>
      </c>
      <c r="AF78" s="52">
        <f t="shared" ref="AF78:BA78" si="133">IF(ISERROR(AF30/$BA30*100),NA(),AF30/$BA30*100)</f>
        <v>8.9167280766396466</v>
      </c>
      <c r="AG78" s="53" t="e">
        <f t="shared" si="133"/>
        <v>#N/A</v>
      </c>
      <c r="AH78" s="53" t="e">
        <f t="shared" si="133"/>
        <v>#N/A</v>
      </c>
      <c r="AI78" s="53" t="e">
        <f t="shared" si="133"/>
        <v>#N/A</v>
      </c>
      <c r="AJ78" s="53">
        <f t="shared" si="133"/>
        <v>15.327929255711128</v>
      </c>
      <c r="AK78" s="53" t="e">
        <f t="shared" si="133"/>
        <v>#N/A</v>
      </c>
      <c r="AL78" s="53">
        <f t="shared" si="133"/>
        <v>12.896094325718495</v>
      </c>
      <c r="AM78" s="53" t="e">
        <f t="shared" si="133"/>
        <v>#N/A</v>
      </c>
      <c r="AN78" s="53" t="e">
        <f t="shared" si="133"/>
        <v>#N/A</v>
      </c>
      <c r="AO78" s="53" t="e">
        <f t="shared" si="133"/>
        <v>#N/A</v>
      </c>
      <c r="AP78" s="53" t="e">
        <f t="shared" si="133"/>
        <v>#N/A</v>
      </c>
      <c r="AQ78" s="53" t="e">
        <f t="shared" si="133"/>
        <v>#N/A</v>
      </c>
      <c r="AR78" s="53">
        <f t="shared" si="133"/>
        <v>0.73691967575534267</v>
      </c>
      <c r="AS78" s="53">
        <f t="shared" si="133"/>
        <v>10.39056742815033</v>
      </c>
      <c r="AT78" s="53" t="e">
        <f t="shared" si="133"/>
        <v>#N/A</v>
      </c>
      <c r="AU78" s="53" t="e">
        <f t="shared" si="133"/>
        <v>#N/A</v>
      </c>
      <c r="AV78" s="53">
        <f t="shared" si="133"/>
        <v>42.815033161385408</v>
      </c>
      <c r="AW78" s="53">
        <f t="shared" si="133"/>
        <v>3.0213706705969052</v>
      </c>
      <c r="AX78" s="53">
        <f t="shared" si="133"/>
        <v>4.5689019896831242</v>
      </c>
      <c r="AY78" s="53">
        <f t="shared" si="133"/>
        <v>1.3264554163596167</v>
      </c>
      <c r="AZ78" s="54" t="e">
        <f t="shared" si="133"/>
        <v>#N/A</v>
      </c>
      <c r="BA78" s="57">
        <f t="shared" si="133"/>
        <v>100</v>
      </c>
    </row>
    <row r="79" spans="1:55" ht="19.5" customHeight="1" x14ac:dyDescent="0.2">
      <c r="A79" s="309"/>
      <c r="B79" s="201"/>
      <c r="C79" s="58"/>
      <c r="D79" s="58"/>
      <c r="E79" s="58"/>
      <c r="F79" s="58"/>
      <c r="G79" s="58"/>
      <c r="H79" s="58"/>
      <c r="I79" s="58"/>
      <c r="J79" s="58"/>
      <c r="K79" s="58"/>
      <c r="L79" s="58"/>
      <c r="M79" s="58"/>
      <c r="N79" s="58"/>
      <c r="O79" s="58"/>
      <c r="P79" s="58"/>
      <c r="Q79" s="58"/>
      <c r="R79" s="58"/>
      <c r="S79" s="58"/>
      <c r="T79" s="58"/>
      <c r="U79" s="58"/>
      <c r="V79" s="58"/>
      <c r="W79" s="58"/>
      <c r="X79" s="9"/>
      <c r="Y79" s="134"/>
      <c r="Z79" s="152"/>
      <c r="AA79" s="80"/>
      <c r="AB79" s="50" t="str">
        <f t="shared" si="109"/>
        <v>South East</v>
      </c>
      <c r="AC79" s="49">
        <v>23</v>
      </c>
      <c r="AD79" s="50" t="str">
        <f t="shared" si="111"/>
        <v>South EastProportion (%)</v>
      </c>
      <c r="AE79" s="51" t="b">
        <f t="shared" si="130"/>
        <v>0</v>
      </c>
      <c r="AF79" s="52">
        <f t="shared" ref="AF79:BA80" si="134">IF(ISERROR(AF31/$BA31*100),NA(),AF31/$BA31*100)</f>
        <v>8.5489746863967557</v>
      </c>
      <c r="AG79" s="53">
        <f t="shared" si="134"/>
        <v>0</v>
      </c>
      <c r="AH79" s="53">
        <f t="shared" si="134"/>
        <v>0</v>
      </c>
      <c r="AI79" s="53">
        <f t="shared" si="134"/>
        <v>0</v>
      </c>
      <c r="AJ79" s="53">
        <f t="shared" si="134"/>
        <v>18.987080297453616</v>
      </c>
      <c r="AK79" s="53">
        <f t="shared" si="134"/>
        <v>0.61969503492826561</v>
      </c>
      <c r="AL79" s="53">
        <f t="shared" si="134"/>
        <v>12.629572598212274</v>
      </c>
      <c r="AM79" s="53">
        <f t="shared" si="134"/>
        <v>0</v>
      </c>
      <c r="AN79" s="53">
        <f t="shared" si="134"/>
        <v>0</v>
      </c>
      <c r="AO79" s="53">
        <f t="shared" si="134"/>
        <v>0</v>
      </c>
      <c r="AP79" s="53">
        <f t="shared" si="134"/>
        <v>0</v>
      </c>
      <c r="AQ79" s="53">
        <f t="shared" si="134"/>
        <v>0</v>
      </c>
      <c r="AR79" s="53">
        <f t="shared" si="134"/>
        <v>1.367084804326598</v>
      </c>
      <c r="AS79" s="53">
        <f t="shared" si="134"/>
        <v>12.70750394351386</v>
      </c>
      <c r="AT79" s="53">
        <f t="shared" si="134"/>
        <v>0</v>
      </c>
      <c r="AU79" s="53">
        <f t="shared" si="134"/>
        <v>0</v>
      </c>
      <c r="AV79" s="53">
        <f t="shared" si="134"/>
        <v>31.537782618493203</v>
      </c>
      <c r="AW79" s="53">
        <f t="shared" si="134"/>
        <v>2.8693757980920904</v>
      </c>
      <c r="AX79" s="53">
        <f t="shared" si="134"/>
        <v>7.0166378727559531</v>
      </c>
      <c r="AY79" s="53">
        <f t="shared" si="134"/>
        <v>1.8215278299406594</v>
      </c>
      <c r="AZ79" s="54">
        <f t="shared" si="134"/>
        <v>1.8947645158867272</v>
      </c>
      <c r="BA79" s="57">
        <f t="shared" si="134"/>
        <v>100</v>
      </c>
    </row>
    <row r="80" spans="1:55" ht="19.5" customHeight="1" x14ac:dyDescent="0.2">
      <c r="A80" s="309"/>
      <c r="B80" s="201"/>
      <c r="C80" s="58"/>
      <c r="D80" s="58"/>
      <c r="E80" s="58"/>
      <c r="F80" s="58"/>
      <c r="G80" s="58"/>
      <c r="H80" s="58"/>
      <c r="I80" s="58"/>
      <c r="J80" s="58"/>
      <c r="K80" s="58"/>
      <c r="L80" s="58"/>
      <c r="M80" s="58"/>
      <c r="N80" s="58"/>
      <c r="O80" s="58"/>
      <c r="P80" s="58"/>
      <c r="Q80" s="58"/>
      <c r="R80" s="58"/>
      <c r="S80" s="58"/>
      <c r="T80" s="58"/>
      <c r="U80" s="58"/>
      <c r="V80" s="58"/>
      <c r="W80" s="58"/>
      <c r="X80" s="9"/>
      <c r="Y80" s="134"/>
      <c r="Z80" s="152"/>
      <c r="AA80" s="80"/>
      <c r="AB80" s="50" t="str">
        <f t="shared" si="109"/>
        <v>England</v>
      </c>
      <c r="AC80" s="726">
        <v>24</v>
      </c>
      <c r="AD80" s="50" t="str">
        <f t="shared" ref="AD80" si="135">CONCATENATE(AB80,$AB$7)</f>
        <v>EnglandProportion (%)</v>
      </c>
      <c r="AE80" s="51" t="b">
        <f t="shared" ref="AE80" si="136">IF(AB80=$AA$6,1)</f>
        <v>0</v>
      </c>
      <c r="AF80" s="52">
        <f t="shared" si="134"/>
        <v>8.0662140514150593</v>
      </c>
      <c r="AG80" s="53" t="e">
        <f t="shared" si="134"/>
        <v>#N/A</v>
      </c>
      <c r="AH80" s="53" t="e">
        <f t="shared" si="134"/>
        <v>#N/A</v>
      </c>
      <c r="AI80" s="53" t="e">
        <f t="shared" si="134"/>
        <v>#N/A</v>
      </c>
      <c r="AJ80" s="53">
        <f t="shared" si="134"/>
        <v>18.160042718742851</v>
      </c>
      <c r="AK80" s="53">
        <f t="shared" si="134"/>
        <v>2.0062552444885191</v>
      </c>
      <c r="AL80" s="53">
        <f t="shared" si="134"/>
        <v>14.765428331680525</v>
      </c>
      <c r="AM80" s="53" t="e">
        <f t="shared" si="134"/>
        <v>#N/A</v>
      </c>
      <c r="AN80" s="53" t="e">
        <f t="shared" si="134"/>
        <v>#N/A</v>
      </c>
      <c r="AO80" s="53" t="e">
        <f t="shared" si="134"/>
        <v>#N/A</v>
      </c>
      <c r="AP80" s="53" t="e">
        <f t="shared" si="134"/>
        <v>#N/A</v>
      </c>
      <c r="AQ80" s="53" t="e">
        <f t="shared" si="134"/>
        <v>#N/A</v>
      </c>
      <c r="AR80" s="53">
        <f t="shared" si="134"/>
        <v>1.4402319017468914</v>
      </c>
      <c r="AS80" s="53">
        <f t="shared" si="134"/>
        <v>13.633381646197268</v>
      </c>
      <c r="AT80" s="53" t="e">
        <f t="shared" si="134"/>
        <v>#N/A</v>
      </c>
      <c r="AU80" s="53" t="e">
        <f t="shared" si="134"/>
        <v>#N/A</v>
      </c>
      <c r="AV80" s="53">
        <f t="shared" si="134"/>
        <v>28.517812190098407</v>
      </c>
      <c r="AW80" s="53">
        <f t="shared" si="134"/>
        <v>3.4922572278587229</v>
      </c>
      <c r="AX80" s="53">
        <f t="shared" si="134"/>
        <v>5.8646731253337396</v>
      </c>
      <c r="AY80" s="53">
        <f t="shared" si="134"/>
        <v>2.4242886566481046</v>
      </c>
      <c r="AZ80" s="54">
        <f t="shared" si="134"/>
        <v>1.6294149057899152</v>
      </c>
      <c r="BA80" s="57">
        <f t="shared" si="134"/>
        <v>100</v>
      </c>
    </row>
    <row r="81" spans="1:55" ht="18.75" customHeight="1" x14ac:dyDescent="0.2">
      <c r="A81" s="309"/>
      <c r="B81" s="201"/>
      <c r="C81" s="58"/>
      <c r="D81" s="58"/>
      <c r="E81" s="58"/>
      <c r="F81" s="58"/>
      <c r="G81" s="58"/>
      <c r="H81" s="58"/>
      <c r="I81" s="58"/>
      <c r="J81" s="58"/>
      <c r="K81" s="58"/>
      <c r="L81" s="58"/>
      <c r="M81" s="58"/>
      <c r="N81" s="58"/>
      <c r="O81" s="58"/>
      <c r="P81" s="58"/>
      <c r="Q81" s="58"/>
      <c r="R81" s="58"/>
      <c r="S81" s="58"/>
      <c r="T81" s="58"/>
      <c r="U81" s="58"/>
      <c r="V81" s="58"/>
      <c r="W81" s="58"/>
      <c r="X81" s="9"/>
      <c r="Y81" s="134"/>
      <c r="Z81" s="152"/>
      <c r="AA81" s="80"/>
      <c r="AB81" s="50"/>
      <c r="AC81" s="726"/>
      <c r="AD81" s="727"/>
      <c r="AE81" s="728"/>
      <c r="AF81" s="729"/>
      <c r="AG81" s="729"/>
      <c r="AH81" s="729"/>
      <c r="AI81" s="729"/>
      <c r="AJ81" s="729"/>
      <c r="AK81" s="729"/>
      <c r="AL81" s="729"/>
      <c r="AM81" s="729"/>
      <c r="AN81" s="729"/>
      <c r="AO81" s="729"/>
      <c r="AP81" s="729"/>
      <c r="AQ81" s="729"/>
      <c r="AR81" s="729"/>
      <c r="AS81" s="729"/>
      <c r="AT81" s="729"/>
      <c r="AU81" s="729"/>
      <c r="AV81" s="729"/>
      <c r="AW81" s="729"/>
      <c r="AX81" s="729"/>
      <c r="AY81" s="729"/>
      <c r="AZ81" s="729"/>
      <c r="BA81" s="726"/>
    </row>
    <row r="82" spans="1:55" ht="19.5" customHeight="1" x14ac:dyDescent="0.2">
      <c r="A82" s="309"/>
      <c r="B82" s="201"/>
      <c r="C82" s="58"/>
      <c r="D82" s="58"/>
      <c r="E82" s="58"/>
      <c r="F82" s="58"/>
      <c r="G82" s="58"/>
      <c r="H82" s="58"/>
      <c r="I82" s="58"/>
      <c r="J82" s="58"/>
      <c r="K82" s="58"/>
      <c r="L82" s="58"/>
      <c r="M82" s="58"/>
      <c r="N82" s="58"/>
      <c r="O82" s="58"/>
      <c r="P82" s="58"/>
      <c r="Q82" s="58"/>
      <c r="R82" s="58"/>
      <c r="S82" s="58"/>
      <c r="T82" s="58"/>
      <c r="U82" s="58"/>
      <c r="V82" s="58"/>
      <c r="W82" s="58"/>
      <c r="X82" s="9"/>
      <c r="Y82" s="134"/>
      <c r="Z82" s="152"/>
      <c r="AA82" s="80"/>
      <c r="AB82" s="1085" t="s">
        <v>94</v>
      </c>
      <c r="AC82" s="88">
        <v>0.5</v>
      </c>
      <c r="AD82" s="221">
        <f>IF(V5="Number",NA(),D63)</f>
        <v>8.5489746863967557</v>
      </c>
      <c r="AM82" s="210"/>
      <c r="AN82" s="210"/>
      <c r="AO82" s="210"/>
      <c r="AP82" s="210"/>
      <c r="AQ82" s="210"/>
    </row>
    <row r="83" spans="1:55" ht="19.5" customHeight="1" x14ac:dyDescent="0.2">
      <c r="A83" s="309"/>
      <c r="B83" s="201"/>
      <c r="C83" s="58"/>
      <c r="D83" s="58"/>
      <c r="E83" s="58"/>
      <c r="F83" s="58"/>
      <c r="G83" s="58"/>
      <c r="H83" s="58"/>
      <c r="I83" s="58"/>
      <c r="J83" s="58"/>
      <c r="K83" s="58"/>
      <c r="L83" s="58"/>
      <c r="M83" s="58"/>
      <c r="N83" s="58"/>
      <c r="O83" s="58"/>
      <c r="P83" s="58"/>
      <c r="Q83" s="58"/>
      <c r="R83" s="58"/>
      <c r="S83" s="58"/>
      <c r="T83" s="58"/>
      <c r="U83" s="58"/>
      <c r="V83" s="58"/>
      <c r="W83" s="58"/>
      <c r="X83" s="9"/>
      <c r="Y83" s="134"/>
      <c r="Z83" s="152"/>
      <c r="AA83" s="80"/>
      <c r="AB83" s="1088"/>
      <c r="AC83" s="88">
        <v>23.5</v>
      </c>
      <c r="AD83" s="222">
        <f>AD82</f>
        <v>8.5489746863967557</v>
      </c>
      <c r="AM83" s="210"/>
      <c r="AN83" s="210"/>
      <c r="AO83" s="210"/>
      <c r="AP83" s="210"/>
      <c r="AQ83" s="210"/>
    </row>
    <row r="84" spans="1:55" ht="19.5" customHeight="1" x14ac:dyDescent="0.2">
      <c r="A84" s="309"/>
      <c r="B84" s="201"/>
      <c r="C84" s="58"/>
      <c r="D84" s="58"/>
      <c r="E84" s="58"/>
      <c r="F84" s="58"/>
      <c r="G84" s="58"/>
      <c r="H84" s="58"/>
      <c r="I84" s="58"/>
      <c r="J84" s="58"/>
      <c r="K84" s="58"/>
      <c r="L84" s="58"/>
      <c r="M84" s="58"/>
      <c r="N84" s="58"/>
      <c r="O84" s="58"/>
      <c r="P84" s="58"/>
      <c r="Q84" s="58"/>
      <c r="R84" s="58"/>
      <c r="S84" s="58"/>
      <c r="T84" s="58"/>
      <c r="U84" s="58"/>
      <c r="V84" s="58"/>
      <c r="W84" s="58"/>
      <c r="X84" s="9"/>
      <c r="Y84" s="134"/>
      <c r="Z84" s="152"/>
      <c r="AA84" s="80"/>
      <c r="AB84" s="1085" t="s">
        <v>38</v>
      </c>
      <c r="AC84" s="88">
        <v>0.5</v>
      </c>
      <c r="AD84" s="221">
        <f>IF($V$5="Number",NA(),F63)</f>
        <v>19.606775332381883</v>
      </c>
      <c r="AH84" s="215"/>
      <c r="AI84" s="215"/>
      <c r="AJ84" s="215"/>
      <c r="AK84" s="215"/>
      <c r="AL84" s="215"/>
      <c r="AM84" s="210"/>
      <c r="AN84" s="210"/>
      <c r="AO84" s="210"/>
      <c r="AP84" s="210"/>
      <c r="AQ84" s="210"/>
      <c r="AR84" s="82"/>
      <c r="AS84" s="82"/>
      <c r="AT84" s="82"/>
      <c r="AU84" s="82"/>
      <c r="AV84" s="82"/>
      <c r="AW84" s="82"/>
      <c r="AX84" s="82"/>
      <c r="AY84" s="82"/>
      <c r="AZ84" s="82"/>
      <c r="BA84" s="82"/>
    </row>
    <row r="85" spans="1:55" ht="19.5" customHeight="1" x14ac:dyDescent="0.2">
      <c r="A85" s="309"/>
      <c r="B85" s="201"/>
      <c r="C85" s="58"/>
      <c r="D85" s="58"/>
      <c r="E85" s="58"/>
      <c r="F85" s="58"/>
      <c r="G85" s="58"/>
      <c r="H85" s="58"/>
      <c r="I85" s="58"/>
      <c r="J85" s="58"/>
      <c r="K85" s="58"/>
      <c r="L85" s="58"/>
      <c r="M85" s="58"/>
      <c r="N85" s="58"/>
      <c r="O85" s="58"/>
      <c r="P85" s="58"/>
      <c r="Q85" s="58"/>
      <c r="R85" s="58"/>
      <c r="S85" s="58"/>
      <c r="T85" s="58"/>
      <c r="U85" s="58"/>
      <c r="V85" s="58"/>
      <c r="W85" s="58"/>
      <c r="X85" s="9"/>
      <c r="Y85" s="134"/>
      <c r="Z85" s="152"/>
      <c r="AA85" s="80"/>
      <c r="AB85" s="1088"/>
      <c r="AC85" s="88">
        <f>$AC$83</f>
        <v>23.5</v>
      </c>
      <c r="AD85" s="222">
        <f>AD84</f>
        <v>19.606775332381883</v>
      </c>
      <c r="AE85" s="223"/>
      <c r="AF85" s="224"/>
      <c r="AG85" s="224"/>
      <c r="AM85" s="210"/>
      <c r="AN85" s="210"/>
      <c r="AO85" s="210"/>
      <c r="AP85" s="210"/>
      <c r="AQ85" s="210"/>
    </row>
    <row r="86" spans="1:55" s="88" customFormat="1" ht="19.5" customHeight="1" x14ac:dyDescent="0.2">
      <c r="A86" s="309"/>
      <c r="B86" s="201"/>
      <c r="C86" s="58"/>
      <c r="D86" s="58"/>
      <c r="E86" s="58"/>
      <c r="F86" s="58"/>
      <c r="G86" s="58"/>
      <c r="H86" s="58"/>
      <c r="I86" s="58"/>
      <c r="J86" s="58"/>
      <c r="K86" s="58"/>
      <c r="L86" s="58"/>
      <c r="M86" s="58"/>
      <c r="N86" s="58"/>
      <c r="O86" s="58"/>
      <c r="P86" s="58"/>
      <c r="Q86" s="58"/>
      <c r="R86" s="58"/>
      <c r="S86" s="58"/>
      <c r="T86" s="58"/>
      <c r="U86" s="58"/>
      <c r="V86" s="58"/>
      <c r="W86" s="63"/>
      <c r="X86" s="15"/>
      <c r="Y86" s="134"/>
      <c r="Z86" s="152"/>
      <c r="AB86" s="1085" t="s">
        <v>108</v>
      </c>
      <c r="AC86" s="88">
        <v>0.5</v>
      </c>
      <c r="AD86" s="221">
        <f>IF($V$5="Number",NA(),H$63)</f>
        <v>12.629572598212274</v>
      </c>
      <c r="AH86" s="215"/>
      <c r="AI86" s="215"/>
      <c r="AJ86" s="215"/>
      <c r="AK86" s="215"/>
      <c r="AL86" s="215"/>
      <c r="AM86" s="210"/>
      <c r="AN86" s="210"/>
      <c r="AO86" s="210"/>
      <c r="AP86" s="210"/>
      <c r="AQ86" s="210"/>
      <c r="AR86" s="101"/>
      <c r="AS86" s="101"/>
      <c r="AT86" s="101"/>
      <c r="AU86" s="101"/>
      <c r="AV86" s="101"/>
      <c r="AW86" s="101"/>
      <c r="AX86" s="101"/>
      <c r="AY86" s="101"/>
      <c r="AZ86" s="101"/>
      <c r="BA86" s="101"/>
      <c r="BB86" s="80"/>
      <c r="BC86" s="80"/>
    </row>
    <row r="87" spans="1:55" s="88" customFormat="1" ht="19.5" customHeight="1" x14ac:dyDescent="0.2">
      <c r="A87" s="309"/>
      <c r="B87" s="201"/>
      <c r="C87" s="58"/>
      <c r="D87" s="58"/>
      <c r="E87" s="58"/>
      <c r="F87" s="58"/>
      <c r="G87" s="58"/>
      <c r="H87" s="58"/>
      <c r="I87" s="58"/>
      <c r="J87" s="58"/>
      <c r="K87" s="58"/>
      <c r="L87" s="58"/>
      <c r="M87" s="58"/>
      <c r="N87" s="58"/>
      <c r="O87" s="58"/>
      <c r="P87" s="58"/>
      <c r="Q87" s="58"/>
      <c r="R87" s="58"/>
      <c r="S87" s="58"/>
      <c r="T87" s="58"/>
      <c r="U87" s="58"/>
      <c r="V87" s="58"/>
      <c r="W87" s="63"/>
      <c r="X87" s="15"/>
      <c r="Y87" s="134"/>
      <c r="Z87" s="152"/>
      <c r="AB87" s="1088"/>
      <c r="AC87" s="88">
        <f>$AC$83</f>
        <v>23.5</v>
      </c>
      <c r="AD87" s="222">
        <f>AD86</f>
        <v>12.629572598212274</v>
      </c>
      <c r="AE87" s="223"/>
      <c r="AF87" s="224"/>
      <c r="AG87" s="224"/>
      <c r="AM87" s="210"/>
      <c r="AN87" s="210"/>
      <c r="AO87" s="210"/>
      <c r="AP87" s="210"/>
      <c r="AQ87" s="210"/>
      <c r="AR87" s="101"/>
      <c r="AS87" s="101"/>
      <c r="AT87" s="101"/>
      <c r="AU87" s="101"/>
      <c r="AV87" s="101"/>
      <c r="AW87" s="101"/>
      <c r="AX87" s="101"/>
      <c r="AY87" s="101"/>
      <c r="AZ87" s="101"/>
      <c r="BA87" s="101"/>
      <c r="BB87" s="80"/>
    </row>
    <row r="88" spans="1:55" s="88" customFormat="1" ht="18.75" customHeight="1" x14ac:dyDescent="0.2">
      <c r="A88" s="309"/>
      <c r="B88" s="201"/>
      <c r="C88" s="58"/>
      <c r="D88" s="58"/>
      <c r="E88" s="58"/>
      <c r="F88" s="58"/>
      <c r="G88" s="58"/>
      <c r="H88" s="58"/>
      <c r="I88" s="58"/>
      <c r="J88" s="58"/>
      <c r="K88" s="58"/>
      <c r="L88" s="58"/>
      <c r="M88" s="58"/>
      <c r="N88" s="58"/>
      <c r="O88" s="58"/>
      <c r="P88" s="58"/>
      <c r="Q88" s="58"/>
      <c r="R88" s="58"/>
      <c r="S88" s="58"/>
      <c r="T88" s="58"/>
      <c r="U88" s="58"/>
      <c r="V88" s="58"/>
      <c r="W88" s="63"/>
      <c r="X88" s="15"/>
      <c r="Y88" s="134"/>
      <c r="Z88" s="152"/>
      <c r="AB88" s="1085" t="s">
        <v>46</v>
      </c>
      <c r="AC88" s="88">
        <v>0.5</v>
      </c>
      <c r="AD88" s="221">
        <f>IF($V$5="Number",NA(),J$63)</f>
        <v>1.367084804326598</v>
      </c>
      <c r="AH88" s="215"/>
      <c r="AI88" s="215"/>
      <c r="AJ88" s="215"/>
      <c r="AK88" s="215"/>
      <c r="AL88" s="215"/>
      <c r="AM88" s="210"/>
      <c r="AN88" s="210"/>
      <c r="AO88" s="210"/>
      <c r="AP88" s="210"/>
      <c r="AQ88" s="210"/>
      <c r="AR88" s="101"/>
      <c r="AS88" s="101"/>
      <c r="AT88" s="101"/>
      <c r="AU88" s="101"/>
      <c r="AV88" s="101"/>
      <c r="AW88" s="101"/>
      <c r="AX88" s="101"/>
      <c r="AY88" s="101"/>
      <c r="AZ88" s="101"/>
      <c r="BA88" s="101"/>
      <c r="BB88" s="80"/>
    </row>
    <row r="89" spans="1:55" s="88" customFormat="1" ht="18.75" customHeight="1" x14ac:dyDescent="0.2">
      <c r="A89" s="309"/>
      <c r="B89" s="201"/>
      <c r="C89" s="58"/>
      <c r="D89" s="58"/>
      <c r="E89" s="58"/>
      <c r="F89" s="58"/>
      <c r="G89" s="58"/>
      <c r="H89" s="67"/>
      <c r="I89" s="67"/>
      <c r="J89" s="67"/>
      <c r="K89" s="58"/>
      <c r="L89" s="58"/>
      <c r="M89" s="58"/>
      <c r="N89" s="58"/>
      <c r="O89" s="58"/>
      <c r="P89" s="67"/>
      <c r="Q89" s="67"/>
      <c r="R89" s="67"/>
      <c r="S89" s="58"/>
      <c r="T89" s="67"/>
      <c r="U89" s="67"/>
      <c r="V89" s="67"/>
      <c r="W89" s="63"/>
      <c r="X89" s="15"/>
      <c r="Y89" s="134"/>
      <c r="Z89" s="152"/>
      <c r="AB89" s="1088"/>
      <c r="AC89" s="88">
        <f>$AC$83</f>
        <v>23.5</v>
      </c>
      <c r="AD89" s="222">
        <f>AD88</f>
        <v>1.367084804326598</v>
      </c>
      <c r="AE89" s="223"/>
      <c r="AF89" s="224"/>
      <c r="AG89" s="224"/>
      <c r="AM89" s="210"/>
      <c r="AN89" s="210"/>
      <c r="AO89" s="210"/>
      <c r="AP89" s="210"/>
      <c r="AQ89" s="210"/>
      <c r="AR89" s="101"/>
      <c r="AS89" s="101"/>
      <c r="AT89" s="101"/>
      <c r="AU89" s="101"/>
      <c r="AV89" s="101"/>
      <c r="AW89" s="101"/>
      <c r="AX89" s="101"/>
      <c r="AY89" s="101"/>
      <c r="AZ89" s="101"/>
      <c r="BA89" s="101"/>
    </row>
    <row r="90" spans="1:55" s="88" customFormat="1" ht="19.5" customHeight="1" x14ac:dyDescent="0.2">
      <c r="A90" s="309"/>
      <c r="B90" s="201"/>
      <c r="C90" s="58"/>
      <c r="D90" s="58"/>
      <c r="E90" s="58"/>
      <c r="F90" s="58"/>
      <c r="G90" s="58"/>
      <c r="H90" s="67"/>
      <c r="I90" s="67"/>
      <c r="J90" s="67"/>
      <c r="K90" s="58"/>
      <c r="L90" s="58"/>
      <c r="M90" s="58"/>
      <c r="N90" s="58"/>
      <c r="O90" s="58"/>
      <c r="P90" s="67"/>
      <c r="Q90" s="67"/>
      <c r="R90" s="67"/>
      <c r="S90" s="58"/>
      <c r="T90" s="67"/>
      <c r="U90" s="67"/>
      <c r="V90" s="67"/>
      <c r="W90" s="63"/>
      <c r="X90" s="15"/>
      <c r="Y90" s="134"/>
      <c r="Z90" s="152"/>
      <c r="AB90" s="1085" t="s">
        <v>109</v>
      </c>
      <c r="AC90" s="88">
        <v>0.5</v>
      </c>
      <c r="AD90" s="221">
        <f>IF($V$5="Number",NA(),L$63)</f>
        <v>12.70750394351386</v>
      </c>
      <c r="AH90" s="215"/>
      <c r="AI90" s="215"/>
      <c r="AJ90" s="215"/>
      <c r="AK90" s="215"/>
      <c r="AL90" s="215"/>
      <c r="AM90" s="210"/>
      <c r="AN90" s="210"/>
      <c r="AO90" s="210"/>
      <c r="AP90" s="210"/>
      <c r="AQ90" s="210"/>
      <c r="AR90" s="101"/>
      <c r="AS90" s="101"/>
      <c r="AT90" s="101"/>
      <c r="AU90" s="101"/>
      <c r="AV90" s="101"/>
      <c r="AW90" s="101"/>
      <c r="AX90" s="101"/>
      <c r="AY90" s="101"/>
      <c r="AZ90" s="101"/>
      <c r="BA90" s="101"/>
    </row>
    <row r="91" spans="1:55" s="88" customFormat="1" ht="19.5" customHeight="1" x14ac:dyDescent="0.2">
      <c r="A91" s="309"/>
      <c r="B91" s="201"/>
      <c r="C91" s="58"/>
      <c r="D91" s="58"/>
      <c r="E91" s="58"/>
      <c r="F91" s="58"/>
      <c r="G91" s="58"/>
      <c r="H91" s="67"/>
      <c r="I91" s="67"/>
      <c r="J91" s="67"/>
      <c r="K91" s="58"/>
      <c r="L91" s="58"/>
      <c r="M91" s="58"/>
      <c r="N91" s="58"/>
      <c r="O91" s="58"/>
      <c r="P91" s="67"/>
      <c r="Q91" s="67"/>
      <c r="R91" s="67"/>
      <c r="S91" s="58"/>
      <c r="T91" s="67"/>
      <c r="U91" s="67"/>
      <c r="V91" s="67"/>
      <c r="W91" s="63"/>
      <c r="X91" s="15"/>
      <c r="Y91" s="134"/>
      <c r="Z91" s="152"/>
      <c r="AB91" s="1088"/>
      <c r="AC91" s="88">
        <f>$AC$83</f>
        <v>23.5</v>
      </c>
      <c r="AD91" s="222">
        <f>AD90</f>
        <v>12.70750394351386</v>
      </c>
      <c r="AE91" s="223"/>
      <c r="AF91" s="224"/>
      <c r="AG91" s="224"/>
      <c r="AM91" s="210"/>
      <c r="AN91" s="210"/>
      <c r="AO91" s="210"/>
      <c r="AP91" s="210"/>
      <c r="AQ91" s="210"/>
      <c r="AR91" s="101"/>
      <c r="AS91" s="101"/>
      <c r="AT91" s="101"/>
      <c r="AU91" s="101"/>
      <c r="AV91" s="101"/>
      <c r="AW91" s="101"/>
      <c r="AX91" s="101"/>
      <c r="AY91" s="101"/>
      <c r="AZ91" s="101"/>
      <c r="BA91" s="101"/>
    </row>
    <row r="92" spans="1:55" s="88" customFormat="1" ht="19.5" customHeight="1" x14ac:dyDescent="0.2">
      <c r="A92" s="309"/>
      <c r="B92" s="201"/>
      <c r="C92" s="58"/>
      <c r="D92" s="58"/>
      <c r="E92" s="58"/>
      <c r="F92" s="58"/>
      <c r="G92" s="58"/>
      <c r="H92" s="67"/>
      <c r="I92" s="67"/>
      <c r="J92" s="67"/>
      <c r="K92" s="58"/>
      <c r="L92" s="58"/>
      <c r="M92" s="58"/>
      <c r="N92" s="58"/>
      <c r="O92" s="58"/>
      <c r="P92" s="67"/>
      <c r="Q92" s="67"/>
      <c r="R92" s="67"/>
      <c r="S92" s="58"/>
      <c r="T92" s="67"/>
      <c r="U92" s="67"/>
      <c r="V92" s="67"/>
      <c r="W92" s="63"/>
      <c r="X92" s="15"/>
      <c r="Y92" s="134"/>
      <c r="Z92" s="152"/>
      <c r="AB92" s="1083" t="s">
        <v>24</v>
      </c>
      <c r="AC92" s="88">
        <v>0.5</v>
      </c>
      <c r="AD92" s="221">
        <f>IF($V$5="Number",NA(),N$63)</f>
        <v>31.537782618493203</v>
      </c>
      <c r="AH92" s="215"/>
      <c r="AI92" s="215"/>
      <c r="AJ92" s="215"/>
      <c r="AK92" s="215"/>
      <c r="AL92" s="215"/>
      <c r="AM92" s="210"/>
      <c r="AN92" s="210"/>
      <c r="AO92" s="210"/>
      <c r="AP92" s="210"/>
      <c r="AQ92" s="210"/>
      <c r="AR92" s="101"/>
      <c r="AS92" s="101"/>
      <c r="AT92" s="101"/>
      <c r="AU92" s="101"/>
      <c r="AV92" s="101"/>
      <c r="AW92" s="101"/>
      <c r="AX92" s="101"/>
      <c r="AY92" s="101"/>
      <c r="AZ92" s="101"/>
      <c r="BA92" s="101"/>
    </row>
    <row r="93" spans="1:55" s="88" customFormat="1" ht="19.5" customHeight="1" x14ac:dyDescent="0.2">
      <c r="A93" s="309"/>
      <c r="B93" s="201"/>
      <c r="C93" s="58"/>
      <c r="D93" s="58"/>
      <c r="E93" s="58"/>
      <c r="F93" s="58"/>
      <c r="G93" s="58"/>
      <c r="H93" s="67"/>
      <c r="I93" s="67"/>
      <c r="J93" s="67"/>
      <c r="K93" s="58"/>
      <c r="L93" s="58"/>
      <c r="M93" s="58"/>
      <c r="N93" s="58"/>
      <c r="O93" s="58"/>
      <c r="P93" s="67"/>
      <c r="Q93" s="67"/>
      <c r="R93" s="67"/>
      <c r="S93" s="58"/>
      <c r="T93" s="67"/>
      <c r="U93" s="67"/>
      <c r="V93" s="67"/>
      <c r="W93" s="63"/>
      <c r="X93" s="15"/>
      <c r="Y93" s="134"/>
      <c r="Z93" s="152"/>
      <c r="AB93" s="1084"/>
      <c r="AC93" s="88">
        <f>$AC$83</f>
        <v>23.5</v>
      </c>
      <c r="AD93" s="222">
        <f>AD92</f>
        <v>31.537782618493203</v>
      </c>
      <c r="AH93" s="215"/>
      <c r="AI93" s="215"/>
      <c r="AJ93" s="215"/>
      <c r="AK93" s="215"/>
      <c r="AL93" s="215"/>
      <c r="AM93" s="210"/>
      <c r="AN93" s="210"/>
      <c r="AO93" s="210"/>
      <c r="AP93" s="210"/>
      <c r="AQ93" s="210"/>
      <c r="AR93" s="101"/>
      <c r="AS93" s="101"/>
      <c r="AT93" s="101"/>
      <c r="AU93" s="101"/>
      <c r="AV93" s="101"/>
      <c r="AW93" s="101"/>
      <c r="AX93" s="101"/>
      <c r="AY93" s="101"/>
      <c r="AZ93" s="101"/>
      <c r="BA93" s="101"/>
    </row>
    <row r="94" spans="1:55" s="88" customFormat="1" ht="19.5" customHeight="1" x14ac:dyDescent="0.2">
      <c r="A94" s="309"/>
      <c r="B94" s="202"/>
      <c r="C94" s="58"/>
      <c r="D94" s="58"/>
      <c r="E94" s="58"/>
      <c r="F94" s="58"/>
      <c r="G94" s="58"/>
      <c r="H94" s="67"/>
      <c r="I94" s="67"/>
      <c r="J94" s="67"/>
      <c r="K94" s="58"/>
      <c r="L94" s="58"/>
      <c r="M94" s="58"/>
      <c r="N94" s="58"/>
      <c r="O94" s="58"/>
      <c r="P94" s="67"/>
      <c r="Q94" s="67"/>
      <c r="R94" s="67"/>
      <c r="S94" s="58"/>
      <c r="T94" s="67"/>
      <c r="U94" s="67"/>
      <c r="V94" s="67"/>
      <c r="W94" s="63"/>
      <c r="X94" s="15"/>
      <c r="Y94" s="134"/>
      <c r="Z94" s="152"/>
      <c r="AA94" s="209"/>
      <c r="AB94" s="1085" t="s">
        <v>67</v>
      </c>
      <c r="AC94" s="88">
        <v>0.5</v>
      </c>
      <c r="AD94" s="221">
        <f>IF($V$5="Number",NA(),P$63)</f>
        <v>2.8693757980920904</v>
      </c>
      <c r="AH94" s="215"/>
      <c r="AI94" s="215"/>
      <c r="AJ94" s="215"/>
      <c r="AK94" s="215"/>
      <c r="AL94" s="215"/>
      <c r="AM94" s="210"/>
      <c r="AN94" s="210"/>
      <c r="AO94" s="210"/>
      <c r="AP94" s="210"/>
      <c r="AQ94" s="210"/>
      <c r="AR94" s="101"/>
      <c r="AS94" s="101"/>
      <c r="AT94" s="101"/>
      <c r="AU94" s="101"/>
      <c r="AV94" s="101"/>
      <c r="AW94" s="101"/>
      <c r="AX94" s="101"/>
      <c r="AY94" s="101"/>
      <c r="AZ94" s="101"/>
      <c r="BA94" s="101"/>
    </row>
    <row r="95" spans="1:55" s="88" customFormat="1" ht="19.5" customHeight="1" x14ac:dyDescent="0.2">
      <c r="A95" s="309"/>
      <c r="B95" s="201"/>
      <c r="C95" s="58"/>
      <c r="D95" s="58"/>
      <c r="E95" s="58"/>
      <c r="F95" s="58"/>
      <c r="G95" s="58"/>
      <c r="H95" s="67"/>
      <c r="I95" s="67"/>
      <c r="J95" s="67"/>
      <c r="K95" s="58"/>
      <c r="L95" s="58"/>
      <c r="M95" s="58"/>
      <c r="N95" s="58"/>
      <c r="O95" s="58"/>
      <c r="P95" s="67"/>
      <c r="Q95" s="67"/>
      <c r="R95" s="67"/>
      <c r="S95" s="58"/>
      <c r="T95" s="67"/>
      <c r="U95" s="67"/>
      <c r="V95" s="67"/>
      <c r="W95" s="63"/>
      <c r="X95" s="15"/>
      <c r="Y95" s="134"/>
      <c r="Z95" s="152"/>
      <c r="AA95" s="209"/>
      <c r="AB95" s="1088"/>
      <c r="AC95" s="88">
        <f>$AC$83</f>
        <v>23.5</v>
      </c>
      <c r="AD95" s="222">
        <f>AD94</f>
        <v>2.8693757980920904</v>
      </c>
      <c r="AE95" s="223"/>
      <c r="AF95" s="224"/>
      <c r="AG95" s="224"/>
      <c r="AM95" s="210"/>
      <c r="AN95" s="210"/>
      <c r="AO95" s="210"/>
      <c r="AP95" s="210"/>
      <c r="AQ95" s="210"/>
      <c r="AR95" s="101"/>
      <c r="AS95" s="101"/>
      <c r="AT95" s="101"/>
      <c r="AU95" s="101"/>
      <c r="AV95" s="101"/>
      <c r="AW95" s="101"/>
      <c r="AX95" s="101"/>
      <c r="AY95" s="101"/>
      <c r="AZ95" s="101"/>
      <c r="BA95" s="101"/>
    </row>
    <row r="96" spans="1:55" ht="19.5" customHeight="1" x14ac:dyDescent="0.2">
      <c r="A96" s="309"/>
      <c r="B96" s="201"/>
      <c r="C96" s="58"/>
      <c r="D96" s="58"/>
      <c r="E96" s="58"/>
      <c r="F96" s="58"/>
      <c r="G96" s="58"/>
      <c r="H96" s="67"/>
      <c r="I96" s="67"/>
      <c r="J96" s="67"/>
      <c r="K96" s="58"/>
      <c r="L96" s="58"/>
      <c r="M96" s="58"/>
      <c r="N96" s="58"/>
      <c r="O96" s="58"/>
      <c r="P96" s="67"/>
      <c r="Q96" s="67"/>
      <c r="R96" s="67"/>
      <c r="S96" s="58"/>
      <c r="T96" s="67"/>
      <c r="U96" s="67"/>
      <c r="V96" s="67"/>
      <c r="W96" s="63"/>
      <c r="X96" s="15"/>
      <c r="Y96" s="134"/>
      <c r="Z96" s="152"/>
      <c r="AA96" s="209"/>
      <c r="AB96" s="1085" t="s">
        <v>66</v>
      </c>
      <c r="AC96" s="88">
        <v>0.5</v>
      </c>
      <c r="AD96" s="221">
        <f>IF($V$5="Number",NA(),R$63)</f>
        <v>7.0166378727559531</v>
      </c>
      <c r="AH96" s="215"/>
      <c r="AI96" s="215"/>
      <c r="AJ96" s="215"/>
      <c r="AK96" s="215"/>
      <c r="AL96" s="215"/>
      <c r="AM96" s="210"/>
      <c r="AN96" s="210"/>
      <c r="AO96" s="210"/>
      <c r="AP96" s="210"/>
      <c r="AQ96" s="210"/>
      <c r="AR96" s="101"/>
      <c r="AS96" s="101"/>
      <c r="AT96" s="101"/>
      <c r="AU96" s="101"/>
      <c r="AV96" s="101" t="s">
        <v>104</v>
      </c>
      <c r="AW96" s="101"/>
      <c r="AX96" s="101"/>
      <c r="AY96" s="101"/>
      <c r="AZ96" s="101"/>
      <c r="BA96" s="101"/>
      <c r="BB96" s="88"/>
      <c r="BC96" s="88"/>
    </row>
    <row r="97" spans="1:55" ht="15" customHeight="1" x14ac:dyDescent="0.2">
      <c r="A97" s="324"/>
      <c r="B97" s="126"/>
      <c r="C97" s="126"/>
      <c r="D97" s="126"/>
      <c r="E97" s="126"/>
      <c r="F97" s="126"/>
      <c r="G97" s="126"/>
      <c r="H97" s="126"/>
      <c r="I97" s="126"/>
      <c r="J97" s="126"/>
      <c r="K97" s="126"/>
      <c r="L97" s="126"/>
      <c r="M97" s="126"/>
      <c r="N97" s="126"/>
      <c r="O97" s="115"/>
      <c r="P97" s="97"/>
      <c r="Q97" s="97"/>
      <c r="R97" s="97"/>
      <c r="S97" s="97"/>
      <c r="T97" s="97"/>
      <c r="U97" s="97"/>
      <c r="V97" s="97"/>
      <c r="W97" s="97"/>
      <c r="X97" s="97"/>
      <c r="Y97" s="139"/>
      <c r="Z97" s="152"/>
      <c r="AA97" s="209"/>
      <c r="AB97" s="1088"/>
      <c r="AC97" s="88">
        <f>$AC$83</f>
        <v>23.5</v>
      </c>
      <c r="AD97" s="222">
        <f>AD96</f>
        <v>7.0166378727559531</v>
      </c>
      <c r="AE97" s="223"/>
      <c r="AF97" s="224"/>
      <c r="AG97" s="224"/>
      <c r="AM97" s="210"/>
      <c r="AN97" s="210"/>
      <c r="AO97" s="210"/>
      <c r="AP97" s="210"/>
      <c r="AQ97" s="210"/>
      <c r="AR97" s="101"/>
      <c r="AS97" s="101"/>
      <c r="AT97" s="101"/>
      <c r="AU97" s="101"/>
      <c r="AV97" s="101"/>
      <c r="AW97" s="101"/>
      <c r="AX97" s="101"/>
      <c r="AY97" s="101"/>
      <c r="AZ97" s="101"/>
      <c r="BA97" s="101"/>
      <c r="BB97" s="88"/>
    </row>
    <row r="98" spans="1:55" ht="11.25" customHeight="1" x14ac:dyDescent="0.2">
      <c r="A98" s="309"/>
      <c r="B98" s="18"/>
      <c r="C98" s="18"/>
      <c r="D98" s="17"/>
      <c r="E98" s="17"/>
      <c r="F98" s="17"/>
      <c r="G98" s="17"/>
      <c r="H98" s="17"/>
      <c r="I98" s="17"/>
      <c r="J98" s="17"/>
      <c r="K98" s="17"/>
      <c r="L98" s="17"/>
      <c r="M98" s="17"/>
      <c r="N98" s="17"/>
      <c r="O98" s="13"/>
      <c r="P98" s="19"/>
      <c r="Q98" s="19"/>
      <c r="R98" s="19"/>
      <c r="S98" s="19"/>
      <c r="T98" s="19"/>
      <c r="U98" s="19"/>
      <c r="V98" s="19"/>
      <c r="W98" s="19"/>
      <c r="X98" s="20"/>
      <c r="Y98" s="134"/>
      <c r="Z98" s="152"/>
      <c r="AA98" s="209"/>
      <c r="AB98" s="1085" t="s">
        <v>64</v>
      </c>
      <c r="AC98" s="88">
        <v>0.5</v>
      </c>
      <c r="AD98" s="221">
        <f>IF($V$5="Number",NA(),T$63)</f>
        <v>1.8215278299406594</v>
      </c>
      <c r="AH98" s="215"/>
      <c r="AI98" s="215"/>
      <c r="AJ98" s="215"/>
      <c r="AK98" s="215"/>
      <c r="AL98" s="215"/>
      <c r="AM98" s="210"/>
      <c r="AN98" s="210"/>
      <c r="AO98" s="210"/>
      <c r="AP98" s="210"/>
      <c r="AQ98" s="210"/>
      <c r="AR98" s="101"/>
      <c r="AS98" s="101"/>
      <c r="AT98" s="101"/>
      <c r="AU98" s="101"/>
      <c r="AV98" s="101"/>
      <c r="AW98" s="101"/>
      <c r="AX98" s="101"/>
      <c r="AY98" s="101"/>
      <c r="AZ98" s="101"/>
      <c r="BA98" s="101"/>
      <c r="BB98" s="88"/>
    </row>
    <row r="99" spans="1:55" s="101" customFormat="1" ht="11.25" customHeight="1" x14ac:dyDescent="0.2">
      <c r="A99" s="1066" t="str">
        <f>Home!$A$35</f>
        <v>LA's provide quarterly data on the condition that it is used by the benchmarking group for internal reporting only. Please DO NOT share other LA's data with any external partners or the public</v>
      </c>
      <c r="B99" s="1067"/>
      <c r="C99" s="1067"/>
      <c r="D99" s="1067"/>
      <c r="E99" s="1067"/>
      <c r="F99" s="1067"/>
      <c r="G99" s="1067"/>
      <c r="H99" s="1067"/>
      <c r="I99" s="1067"/>
      <c r="J99" s="1067"/>
      <c r="K99" s="1067"/>
      <c r="L99" s="1067"/>
      <c r="M99" s="1067"/>
      <c r="N99" s="1067"/>
      <c r="O99" s="1067"/>
      <c r="P99" s="1067"/>
      <c r="Q99" s="1067"/>
      <c r="R99" s="1067"/>
      <c r="S99" s="1067"/>
      <c r="T99" s="1067"/>
      <c r="U99" s="1067"/>
      <c r="V99" s="1067"/>
      <c r="W99" s="1067"/>
      <c r="X99" s="1067"/>
      <c r="Y99" s="1068"/>
      <c r="Z99" s="152"/>
      <c r="AA99" s="209"/>
      <c r="AB99" s="1088"/>
      <c r="AC99" s="88">
        <f>$AC$83</f>
        <v>23.5</v>
      </c>
      <c r="AD99" s="222">
        <f>AD98</f>
        <v>1.8215278299406594</v>
      </c>
      <c r="AE99" s="223"/>
      <c r="AF99" s="224"/>
      <c r="AG99" s="224"/>
      <c r="AH99" s="88"/>
      <c r="AI99" s="88"/>
      <c r="AJ99" s="88"/>
      <c r="AK99" s="88"/>
      <c r="AL99" s="88"/>
      <c r="AM99" s="210"/>
      <c r="AN99" s="210"/>
      <c r="AO99" s="210"/>
      <c r="AP99" s="210"/>
      <c r="AQ99" s="210"/>
      <c r="BB99" s="88"/>
      <c r="BC99" s="80"/>
    </row>
    <row r="100" spans="1:55" s="101" customFormat="1" ht="11.25" customHeight="1" x14ac:dyDescent="0.2">
      <c r="A100" s="203"/>
      <c r="B100" s="194"/>
      <c r="C100" s="194"/>
      <c r="D100" s="194"/>
      <c r="E100" s="194"/>
      <c r="F100" s="194"/>
      <c r="G100" s="194"/>
      <c r="H100" s="194"/>
      <c r="I100" s="194"/>
      <c r="J100" s="194"/>
      <c r="K100" s="194"/>
      <c r="L100" s="194"/>
      <c r="M100" s="194"/>
      <c r="N100" s="194"/>
      <c r="O100" s="194"/>
      <c r="P100" s="194"/>
      <c r="Q100" s="194"/>
      <c r="R100" s="194"/>
      <c r="S100" s="194"/>
      <c r="T100" s="194"/>
      <c r="U100" s="194"/>
      <c r="V100" s="194"/>
      <c r="W100" s="194"/>
      <c r="X100" s="194"/>
      <c r="Y100" s="194"/>
      <c r="Z100" s="154"/>
      <c r="AA100" s="209"/>
      <c r="AB100" s="1085" t="s">
        <v>65</v>
      </c>
      <c r="AC100" s="88">
        <v>0.5</v>
      </c>
      <c r="AD100" s="221">
        <f>IF($V$5="Number",NA(),V$63)</f>
        <v>1.8947645158867272</v>
      </c>
      <c r="AE100" s="88"/>
      <c r="AF100" s="88"/>
      <c r="AG100" s="88"/>
      <c r="AH100" s="215"/>
      <c r="AI100" s="215"/>
      <c r="AJ100" s="215"/>
      <c r="AK100" s="215"/>
      <c r="AL100" s="215"/>
      <c r="AM100" s="210"/>
      <c r="AN100" s="210"/>
      <c r="AO100" s="210"/>
      <c r="AP100" s="210"/>
      <c r="AQ100" s="210"/>
      <c r="BB100" s="88"/>
    </row>
    <row r="101" spans="1:55" s="101" customFormat="1" ht="11.25" customHeight="1" x14ac:dyDescent="0.2">
      <c r="A101" s="204"/>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154"/>
      <c r="AA101" s="220"/>
      <c r="AB101" s="1086"/>
      <c r="AC101" s="88">
        <f>$AC$83</f>
        <v>23.5</v>
      </c>
      <c r="AD101" s="222">
        <f>AD100</f>
        <v>1.8947645158867272</v>
      </c>
      <c r="AE101" s="223"/>
      <c r="AF101" s="224"/>
      <c r="AG101" s="224"/>
      <c r="AH101" s="88"/>
      <c r="AI101" s="88"/>
      <c r="AJ101" s="88"/>
      <c r="AK101" s="88"/>
      <c r="AL101" s="88"/>
      <c r="AM101" s="210"/>
      <c r="AN101" s="210"/>
      <c r="AO101" s="210"/>
      <c r="AP101" s="210"/>
      <c r="AQ101" s="210"/>
      <c r="BB101" s="80"/>
    </row>
    <row r="102" spans="1:55" ht="11.25" customHeight="1" x14ac:dyDescent="0.2">
      <c r="A102" s="205"/>
      <c r="B102" s="1006" t="s">
        <v>82</v>
      </c>
      <c r="C102" s="199"/>
      <c r="D102" s="15"/>
      <c r="E102" s="15"/>
      <c r="F102" s="15"/>
      <c r="G102" s="15"/>
      <c r="H102" s="15"/>
      <c r="I102" s="15"/>
      <c r="J102" s="15"/>
      <c r="K102" s="15"/>
      <c r="L102" s="9"/>
      <c r="M102" s="9"/>
      <c r="N102" s="9"/>
      <c r="O102" s="13"/>
      <c r="P102" s="9"/>
      <c r="Q102" s="9"/>
      <c r="R102" s="9"/>
      <c r="S102" s="9"/>
      <c r="T102" s="9"/>
      <c r="U102" s="9"/>
      <c r="V102" s="9"/>
      <c r="W102" s="177"/>
      <c r="X102" s="186"/>
      <c r="Y102" s="97"/>
      <c r="Z102" s="154"/>
      <c r="AA102" s="220"/>
      <c r="AC102" s="217"/>
      <c r="AH102" s="215"/>
      <c r="AI102" s="215"/>
      <c r="AJ102" s="215"/>
      <c r="AK102" s="215"/>
      <c r="AL102" s="215"/>
      <c r="AM102" s="210"/>
      <c r="AN102" s="210"/>
      <c r="AO102" s="210"/>
      <c r="AP102" s="210"/>
      <c r="AQ102" s="210"/>
      <c r="AR102" s="101"/>
      <c r="AS102" s="101"/>
      <c r="AT102" s="101"/>
      <c r="AU102" s="101"/>
      <c r="AV102" s="101"/>
      <c r="AW102" s="101"/>
      <c r="AX102" s="101"/>
      <c r="AY102" s="101"/>
      <c r="AZ102" s="101"/>
      <c r="BA102" s="101"/>
      <c r="BC102" s="101"/>
    </row>
    <row r="103" spans="1:55" ht="11.25" customHeight="1" x14ac:dyDescent="0.2">
      <c r="A103" s="205"/>
      <c r="B103" s="1007"/>
      <c r="C103" s="200"/>
      <c r="D103" s="9"/>
      <c r="E103" s="9"/>
      <c r="F103" s="9"/>
      <c r="G103" s="9"/>
      <c r="H103" s="9"/>
      <c r="I103" s="15"/>
      <c r="J103" s="15"/>
      <c r="K103" s="15"/>
      <c r="L103" s="9"/>
      <c r="M103" s="9"/>
      <c r="N103" s="9"/>
      <c r="O103" s="13"/>
      <c r="P103" s="9"/>
      <c r="Q103" s="9"/>
      <c r="R103" s="9"/>
      <c r="S103" s="9"/>
      <c r="T103" s="9"/>
      <c r="U103" s="9"/>
      <c r="V103" s="9"/>
      <c r="W103" s="177"/>
      <c r="X103" s="186"/>
      <c r="Y103" s="97"/>
      <c r="Z103" s="152"/>
      <c r="AA103" s="220"/>
      <c r="AC103" s="223"/>
      <c r="AD103" s="223"/>
      <c r="AE103" s="223"/>
      <c r="AF103" s="224"/>
      <c r="AG103" s="224"/>
      <c r="AM103" s="210"/>
      <c r="AN103" s="210"/>
      <c r="AO103" s="210"/>
      <c r="AP103" s="210"/>
      <c r="AQ103" s="210"/>
      <c r="AR103" s="101"/>
      <c r="AS103" s="101"/>
      <c r="AT103" s="101"/>
      <c r="AU103" s="101"/>
      <c r="AV103" s="101"/>
      <c r="AW103" s="101"/>
      <c r="AX103" s="101"/>
      <c r="AY103" s="101"/>
      <c r="AZ103" s="101"/>
      <c r="BA103" s="101"/>
    </row>
    <row r="104" spans="1:55" ht="11.25" customHeight="1" x14ac:dyDescent="0.2">
      <c r="A104" s="205"/>
      <c r="B104" s="973" t="s">
        <v>81</v>
      </c>
      <c r="C104" s="974"/>
      <c r="D104" s="974"/>
      <c r="E104" s="974"/>
      <c r="F104" s="974"/>
      <c r="G104" s="974"/>
      <c r="H104" s="9"/>
      <c r="I104" s="15"/>
      <c r="J104" s="15"/>
      <c r="K104" s="15"/>
      <c r="L104" s="9"/>
      <c r="M104" s="9"/>
      <c r="N104" s="9"/>
      <c r="O104" s="13"/>
      <c r="P104" s="9"/>
      <c r="Q104" s="9"/>
      <c r="R104" s="9"/>
      <c r="S104" s="9"/>
      <c r="T104" s="9"/>
      <c r="U104" s="9"/>
      <c r="V104" s="9"/>
      <c r="W104" s="177"/>
      <c r="X104" s="186"/>
      <c r="Y104" s="97"/>
      <c r="Z104" s="152"/>
      <c r="AA104" s="209"/>
      <c r="AC104" s="217"/>
      <c r="AH104" s="215"/>
      <c r="AI104" s="215"/>
      <c r="AJ104" s="215"/>
      <c r="AK104" s="215"/>
      <c r="AL104" s="215"/>
      <c r="AM104" s="210"/>
      <c r="AN104" s="210"/>
      <c r="AO104" s="210"/>
      <c r="AP104" s="210"/>
      <c r="AQ104" s="210"/>
      <c r="AR104" s="101"/>
      <c r="AS104" s="101"/>
      <c r="AT104" s="101"/>
      <c r="AU104" s="101"/>
      <c r="AV104" s="101"/>
      <c r="AW104" s="101"/>
      <c r="AX104" s="101"/>
      <c r="AY104" s="101"/>
      <c r="AZ104" s="101"/>
      <c r="BA104" s="101"/>
      <c r="BB104" s="101"/>
    </row>
    <row r="105" spans="1:55" ht="11.25" customHeight="1" x14ac:dyDescent="0.2">
      <c r="A105" s="205"/>
      <c r="B105" s="973"/>
      <c r="C105" s="974"/>
      <c r="D105" s="974"/>
      <c r="E105" s="974"/>
      <c r="F105" s="974"/>
      <c r="G105" s="974"/>
      <c r="H105" s="9"/>
      <c r="I105" s="15"/>
      <c r="J105" s="15"/>
      <c r="K105" s="15"/>
      <c r="L105" s="9"/>
      <c r="M105" s="9"/>
      <c r="N105" s="9"/>
      <c r="O105" s="13"/>
      <c r="P105" s="9"/>
      <c r="Q105" s="9"/>
      <c r="R105" s="9"/>
      <c r="S105" s="9"/>
      <c r="T105" s="9"/>
      <c r="U105" s="9"/>
      <c r="V105" s="9"/>
      <c r="W105" s="177"/>
      <c r="X105" s="186"/>
      <c r="Y105" s="97"/>
      <c r="Z105" s="152"/>
      <c r="AA105" s="209"/>
      <c r="AC105" s="217"/>
      <c r="AE105" s="223"/>
      <c r="AF105" s="224"/>
      <c r="AG105" s="224"/>
      <c r="AM105" s="210"/>
      <c r="AN105" s="210"/>
      <c r="AO105" s="210"/>
      <c r="AP105" s="210"/>
      <c r="AQ105" s="210"/>
      <c r="AR105" s="101"/>
      <c r="AS105" s="101"/>
      <c r="AT105" s="101"/>
      <c r="AU105" s="101"/>
      <c r="AV105" s="101"/>
      <c r="AW105" s="101"/>
      <c r="AX105" s="101"/>
      <c r="AY105" s="101"/>
      <c r="AZ105" s="101"/>
      <c r="BA105" s="101"/>
      <c r="BB105" s="101"/>
    </row>
    <row r="106" spans="1:55" s="82" customFormat="1" ht="11.25" customHeight="1" x14ac:dyDescent="0.2">
      <c r="A106" s="205"/>
      <c r="B106" s="973" t="s">
        <v>78</v>
      </c>
      <c r="C106" s="975"/>
      <c r="D106" s="975"/>
      <c r="E106" s="975"/>
      <c r="F106" s="975"/>
      <c r="G106" s="975"/>
      <c r="H106" s="15"/>
      <c r="I106" s="15"/>
      <c r="J106" s="15"/>
      <c r="K106" s="15"/>
      <c r="L106" s="9"/>
      <c r="M106" s="9"/>
      <c r="N106" s="15"/>
      <c r="O106" s="15"/>
      <c r="P106" s="15"/>
      <c r="Q106" s="15"/>
      <c r="R106" s="15"/>
      <c r="S106" s="15"/>
      <c r="T106" s="15"/>
      <c r="U106" s="15"/>
      <c r="V106" s="15"/>
      <c r="W106" s="177"/>
      <c r="X106" s="186"/>
      <c r="Y106" s="97"/>
      <c r="Z106" s="152"/>
      <c r="AA106" s="209"/>
      <c r="AB106" s="101"/>
      <c r="AC106" s="101"/>
      <c r="AD106" s="101"/>
      <c r="AE106" s="88"/>
      <c r="AF106" s="88"/>
      <c r="AG106" s="88"/>
      <c r="AH106" s="215"/>
      <c r="AI106" s="215"/>
      <c r="AJ106" s="215"/>
      <c r="AK106" s="215"/>
      <c r="AL106" s="215"/>
      <c r="AM106" s="210"/>
      <c r="AN106" s="210"/>
      <c r="AO106" s="210"/>
      <c r="AP106" s="210"/>
      <c r="AQ106" s="210"/>
      <c r="AR106" s="101"/>
      <c r="AS106" s="101"/>
      <c r="AT106" s="101"/>
      <c r="AU106" s="101"/>
      <c r="AV106" s="101"/>
      <c r="AW106" s="101"/>
      <c r="AX106" s="101"/>
      <c r="AY106" s="101"/>
      <c r="AZ106" s="101"/>
      <c r="BA106" s="101"/>
      <c r="BB106" s="101"/>
      <c r="BC106" s="80"/>
    </row>
    <row r="107" spans="1:55" ht="11.25" customHeight="1" x14ac:dyDescent="0.2">
      <c r="A107" s="205"/>
      <c r="B107" s="973"/>
      <c r="C107" s="975"/>
      <c r="D107" s="975"/>
      <c r="E107" s="975"/>
      <c r="F107" s="975"/>
      <c r="G107" s="975"/>
      <c r="H107" s="9"/>
      <c r="I107" s="15"/>
      <c r="J107" s="15"/>
      <c r="K107" s="15"/>
      <c r="L107" s="9"/>
      <c r="M107" s="9"/>
      <c r="N107" s="9"/>
      <c r="O107" s="13"/>
      <c r="P107" s="9"/>
      <c r="Q107" s="9"/>
      <c r="R107" s="9"/>
      <c r="S107" s="9"/>
      <c r="T107" s="9"/>
      <c r="U107" s="9"/>
      <c r="V107" s="9"/>
      <c r="W107" s="177"/>
      <c r="X107" s="186"/>
      <c r="Y107" s="97"/>
      <c r="Z107" s="153"/>
      <c r="AA107" s="209"/>
      <c r="AB107" s="101"/>
      <c r="AC107" s="101"/>
      <c r="AD107" s="101"/>
      <c r="AH107" s="215"/>
      <c r="AI107" s="215"/>
      <c r="AJ107" s="215"/>
      <c r="AK107" s="215"/>
      <c r="AL107" s="215"/>
      <c r="AM107" s="210"/>
      <c r="AN107" s="210"/>
      <c r="AO107" s="210"/>
      <c r="AP107" s="210"/>
      <c r="AQ107" s="210"/>
      <c r="AR107" s="101"/>
      <c r="AS107" s="101"/>
      <c r="AT107" s="101"/>
      <c r="AU107" s="101"/>
      <c r="AV107" s="101"/>
      <c r="AW107" s="101"/>
      <c r="AX107" s="101"/>
      <c r="AY107" s="101"/>
      <c r="AZ107" s="101"/>
      <c r="BA107" s="101"/>
      <c r="BC107" s="82"/>
    </row>
    <row r="108" spans="1:55" s="101" customFormat="1" ht="11.25" customHeight="1" x14ac:dyDescent="0.2">
      <c r="A108" s="205"/>
      <c r="B108" s="976" t="s">
        <v>18</v>
      </c>
      <c r="C108" s="977"/>
      <c r="D108" s="977"/>
      <c r="E108" s="977"/>
      <c r="F108" s="977"/>
      <c r="G108" s="977"/>
      <c r="H108" s="9"/>
      <c r="I108" s="15"/>
      <c r="J108" s="15"/>
      <c r="K108" s="15"/>
      <c r="L108" s="9"/>
      <c r="M108" s="9"/>
      <c r="N108" s="9"/>
      <c r="O108" s="13"/>
      <c r="P108" s="9"/>
      <c r="Q108" s="9"/>
      <c r="R108" s="9"/>
      <c r="S108" s="9"/>
      <c r="T108" s="9"/>
      <c r="U108" s="9"/>
      <c r="V108" s="9"/>
      <c r="W108" s="177"/>
      <c r="X108" s="186"/>
      <c r="Y108" s="97"/>
      <c r="Z108" s="152"/>
      <c r="AA108" s="220"/>
      <c r="AB108" s="225"/>
      <c r="AC108" s="223"/>
      <c r="AD108" s="223"/>
      <c r="AE108" s="223"/>
      <c r="AF108" s="224"/>
      <c r="AG108" s="224"/>
      <c r="AH108" s="88"/>
      <c r="AI108" s="88"/>
      <c r="AJ108" s="88"/>
      <c r="AK108" s="88"/>
      <c r="AL108" s="88"/>
      <c r="AM108" s="210"/>
      <c r="AN108" s="210"/>
      <c r="AO108" s="210"/>
      <c r="AP108" s="210"/>
      <c r="AQ108" s="210"/>
      <c r="BB108" s="80"/>
      <c r="BC108" s="80"/>
    </row>
    <row r="109" spans="1:55" ht="11.25" customHeight="1" x14ac:dyDescent="0.2">
      <c r="A109" s="205"/>
      <c r="B109" s="976"/>
      <c r="C109" s="977"/>
      <c r="D109" s="977"/>
      <c r="E109" s="977"/>
      <c r="F109" s="977"/>
      <c r="G109" s="977"/>
      <c r="H109" s="9"/>
      <c r="I109" s="15"/>
      <c r="J109" s="15"/>
      <c r="K109" s="15"/>
      <c r="L109" s="9"/>
      <c r="M109" s="9"/>
      <c r="N109" s="9"/>
      <c r="O109" s="13"/>
      <c r="P109" s="9"/>
      <c r="Q109" s="9"/>
      <c r="R109" s="9"/>
      <c r="S109" s="9"/>
      <c r="T109" s="9"/>
      <c r="U109" s="9"/>
      <c r="V109" s="58"/>
      <c r="W109" s="177"/>
      <c r="X109" s="186"/>
      <c r="Y109" s="97"/>
      <c r="Z109" s="154"/>
      <c r="AA109" s="220"/>
      <c r="AC109" s="217"/>
      <c r="AH109" s="215"/>
      <c r="AI109" s="215"/>
      <c r="AJ109" s="215"/>
      <c r="AK109" s="215"/>
      <c r="AL109" s="215"/>
      <c r="AM109" s="210"/>
      <c r="AN109" s="210"/>
      <c r="AO109" s="210"/>
      <c r="AP109" s="210"/>
      <c r="AQ109" s="210"/>
      <c r="AR109" s="101"/>
      <c r="AS109" s="101"/>
      <c r="AT109" s="101"/>
      <c r="AU109" s="101"/>
      <c r="AV109" s="101"/>
      <c r="AW109" s="101"/>
      <c r="AX109" s="101"/>
      <c r="AY109" s="101"/>
      <c r="AZ109" s="101"/>
      <c r="BA109" s="101"/>
      <c r="BC109" s="101"/>
    </row>
    <row r="110" spans="1:55" ht="11.25" customHeight="1" x14ac:dyDescent="0.2">
      <c r="A110" s="158"/>
      <c r="B110" s="976" t="s">
        <v>210</v>
      </c>
      <c r="C110" s="976"/>
      <c r="D110" s="978"/>
      <c r="E110" s="978"/>
      <c r="F110" s="978"/>
      <c r="G110" s="924"/>
      <c r="H110" s="9"/>
      <c r="I110" s="15"/>
      <c r="J110" s="15"/>
      <c r="K110" s="15"/>
      <c r="L110" s="9"/>
      <c r="M110" s="9"/>
      <c r="N110" s="9"/>
      <c r="O110" s="9"/>
      <c r="P110" s="9"/>
      <c r="Q110" s="9"/>
      <c r="R110" s="9"/>
      <c r="S110" s="9"/>
      <c r="T110" s="9"/>
      <c r="U110" s="11"/>
      <c r="V110" s="59"/>
      <c r="W110" s="59"/>
      <c r="X110" s="66"/>
      <c r="Y110" s="66"/>
      <c r="Z110" s="281"/>
      <c r="AA110" s="220"/>
      <c r="AB110" s="87"/>
      <c r="AC110" s="210"/>
      <c r="AD110" s="210"/>
      <c r="AE110" s="223"/>
      <c r="AF110" s="224"/>
      <c r="AG110" s="224"/>
      <c r="AM110" s="210"/>
      <c r="AN110" s="210"/>
      <c r="AO110" s="210"/>
      <c r="AP110" s="210"/>
      <c r="AQ110" s="210"/>
      <c r="AR110" s="101"/>
      <c r="AS110" s="101"/>
      <c r="AT110" s="101"/>
      <c r="AU110" s="101"/>
      <c r="AV110" s="101"/>
      <c r="AW110" s="101"/>
      <c r="AX110" s="101"/>
      <c r="AY110" s="101"/>
      <c r="AZ110" s="101"/>
      <c r="BA110" s="101"/>
    </row>
    <row r="111" spans="1:55" ht="11.25" customHeight="1" x14ac:dyDescent="0.2">
      <c r="A111" s="158"/>
      <c r="B111" s="976"/>
      <c r="C111" s="976"/>
      <c r="D111" s="978"/>
      <c r="E111" s="978"/>
      <c r="F111" s="978"/>
      <c r="G111" s="924"/>
      <c r="H111" s="9"/>
      <c r="I111" s="15"/>
      <c r="J111" s="15"/>
      <c r="K111" s="15"/>
      <c r="L111" s="9"/>
      <c r="M111" s="9"/>
      <c r="N111" s="9"/>
      <c r="O111" s="9"/>
      <c r="P111" s="9"/>
      <c r="Q111" s="9"/>
      <c r="R111" s="9"/>
      <c r="S111" s="9"/>
      <c r="T111" s="9"/>
      <c r="U111" s="11"/>
      <c r="V111" s="59"/>
      <c r="W111" s="59"/>
      <c r="X111" s="66"/>
      <c r="Y111" s="66"/>
      <c r="Z111" s="281"/>
      <c r="AA111" s="220"/>
      <c r="AC111" s="217"/>
      <c r="AH111" s="215"/>
      <c r="AI111" s="215"/>
      <c r="AJ111" s="215"/>
      <c r="AK111" s="215"/>
      <c r="AL111" s="215"/>
      <c r="AM111" s="210"/>
      <c r="AN111" s="210"/>
      <c r="AO111" s="210"/>
      <c r="AP111" s="210"/>
      <c r="AQ111" s="210"/>
      <c r="AR111" s="88"/>
      <c r="AS111" s="88"/>
      <c r="AT111" s="88"/>
      <c r="AU111" s="88"/>
      <c r="AV111" s="88"/>
      <c r="AW111" s="88"/>
      <c r="AX111" s="88"/>
      <c r="AY111" s="88"/>
      <c r="AZ111" s="88"/>
      <c r="BA111" s="88"/>
      <c r="BB111" s="82"/>
    </row>
    <row r="112" spans="1:55" ht="11.25" customHeight="1" x14ac:dyDescent="0.2">
      <c r="A112" s="158"/>
      <c r="B112" s="976" t="s">
        <v>211</v>
      </c>
      <c r="C112" s="976"/>
      <c r="D112" s="978"/>
      <c r="E112" s="978"/>
      <c r="F112" s="978"/>
      <c r="G112" s="924"/>
      <c r="H112" s="9"/>
      <c r="I112" s="15"/>
      <c r="J112" s="15"/>
      <c r="K112" s="15"/>
      <c r="L112" s="9"/>
      <c r="M112" s="9"/>
      <c r="N112" s="9"/>
      <c r="O112" s="9"/>
      <c r="P112" s="9"/>
      <c r="Q112" s="9"/>
      <c r="R112" s="9"/>
      <c r="S112" s="9"/>
      <c r="T112" s="9"/>
      <c r="U112" s="11"/>
      <c r="V112" s="59"/>
      <c r="W112" s="59"/>
      <c r="X112" s="66"/>
      <c r="Y112" s="66"/>
      <c r="Z112" s="281"/>
      <c r="AA112" s="220"/>
      <c r="AK112" s="210"/>
      <c r="AM112" s="210"/>
      <c r="AN112" s="210"/>
      <c r="AO112" s="210"/>
      <c r="AP112" s="210"/>
      <c r="AQ112" s="210"/>
      <c r="AV112" s="88"/>
      <c r="AW112" s="88"/>
      <c r="AX112" s="88"/>
      <c r="AY112" s="88"/>
      <c r="AZ112" s="88"/>
      <c r="BA112" s="88"/>
    </row>
    <row r="113" spans="1:55" ht="11.25" customHeight="1" x14ac:dyDescent="0.2">
      <c r="A113" s="158"/>
      <c r="B113" s="976"/>
      <c r="C113" s="976"/>
      <c r="D113" s="978"/>
      <c r="E113" s="978"/>
      <c r="F113" s="978"/>
      <c r="G113" s="924"/>
      <c r="H113" s="9"/>
      <c r="I113" s="15"/>
      <c r="J113" s="15"/>
      <c r="K113" s="15"/>
      <c r="L113" s="9"/>
      <c r="M113" s="9"/>
      <c r="N113" s="9"/>
      <c r="O113" s="9"/>
      <c r="P113" s="9"/>
      <c r="Q113" s="9"/>
      <c r="R113" s="9"/>
      <c r="S113" s="9"/>
      <c r="T113" s="9"/>
      <c r="U113" s="11"/>
      <c r="V113" s="59"/>
      <c r="W113" s="59"/>
      <c r="X113" s="66"/>
      <c r="Y113" s="66"/>
      <c r="Z113" s="281"/>
      <c r="AA113" s="220"/>
      <c r="AI113" s="89"/>
      <c r="AK113" s="80"/>
      <c r="AL113" s="80"/>
    </row>
    <row r="114" spans="1:55" ht="11.25" customHeight="1" x14ac:dyDescent="0.2">
      <c r="A114" s="158"/>
      <c r="B114" s="976" t="s">
        <v>212</v>
      </c>
      <c r="C114" s="976"/>
      <c r="D114" s="978"/>
      <c r="E114" s="978"/>
      <c r="F114" s="978"/>
      <c r="G114" s="924"/>
      <c r="H114" s="9"/>
      <c r="I114" s="15"/>
      <c r="J114" s="15"/>
      <c r="K114" s="15"/>
      <c r="L114" s="9"/>
      <c r="M114" s="9"/>
      <c r="N114" s="9"/>
      <c r="O114" s="9"/>
      <c r="P114" s="9"/>
      <c r="Q114" s="9"/>
      <c r="R114" s="9"/>
      <c r="S114" s="9"/>
      <c r="T114" s="9"/>
      <c r="U114" s="11"/>
      <c r="V114" s="59"/>
      <c r="W114" s="59"/>
      <c r="X114" s="66"/>
      <c r="Y114" s="66"/>
      <c r="Z114" s="281"/>
      <c r="AA114" s="220"/>
      <c r="AI114" s="89"/>
      <c r="AK114" s="80"/>
      <c r="AL114" s="80"/>
    </row>
    <row r="115" spans="1:55" s="101" customFormat="1" ht="11.25" customHeight="1" x14ac:dyDescent="0.2">
      <c r="A115" s="158"/>
      <c r="B115" s="976"/>
      <c r="C115" s="976"/>
      <c r="D115" s="978"/>
      <c r="E115" s="978"/>
      <c r="F115" s="978"/>
      <c r="G115" s="924"/>
      <c r="H115" s="9"/>
      <c r="I115" s="15"/>
      <c r="J115" s="15"/>
      <c r="K115" s="15"/>
      <c r="L115" s="9"/>
      <c r="M115" s="9"/>
      <c r="N115" s="9"/>
      <c r="O115" s="9"/>
      <c r="P115" s="9"/>
      <c r="Q115" s="9"/>
      <c r="R115" s="9"/>
      <c r="S115" s="9"/>
      <c r="T115" s="9"/>
      <c r="U115" s="11"/>
      <c r="V115" s="59"/>
      <c r="W115" s="59"/>
      <c r="X115" s="66"/>
      <c r="Y115" s="66"/>
      <c r="Z115" s="281"/>
      <c r="AA115" s="220"/>
      <c r="AB115" s="88"/>
      <c r="AC115" s="88"/>
      <c r="AD115" s="88"/>
      <c r="AE115" s="88"/>
      <c r="AF115" s="88"/>
      <c r="AG115" s="88"/>
      <c r="AH115" s="88"/>
      <c r="AI115" s="89"/>
      <c r="AJ115" s="88"/>
      <c r="AK115" s="80"/>
      <c r="AL115" s="80"/>
      <c r="AM115" s="80"/>
      <c r="AN115" s="80"/>
      <c r="AO115" s="80"/>
      <c r="AP115" s="80"/>
      <c r="AQ115" s="80"/>
      <c r="AR115" s="80"/>
      <c r="AS115" s="80"/>
      <c r="AT115" s="80"/>
      <c r="AU115" s="80"/>
      <c r="AV115" s="80"/>
      <c r="AW115" s="80"/>
      <c r="AX115" s="80"/>
      <c r="AY115" s="80"/>
      <c r="AZ115" s="80"/>
      <c r="BA115" s="80"/>
      <c r="BB115" s="80"/>
      <c r="BC115" s="80"/>
    </row>
    <row r="116" spans="1:55" s="101" customFormat="1" ht="11.25" customHeight="1" x14ac:dyDescent="0.2">
      <c r="A116" s="205"/>
      <c r="B116" s="973" t="s">
        <v>80</v>
      </c>
      <c r="C116" s="974"/>
      <c r="D116" s="974"/>
      <c r="E116" s="974"/>
      <c r="F116" s="974"/>
      <c r="G116" s="974"/>
      <c r="H116" s="9"/>
      <c r="I116" s="15"/>
      <c r="J116" s="15"/>
      <c r="K116" s="15"/>
      <c r="L116" s="9"/>
      <c r="M116" s="9"/>
      <c r="N116" s="9"/>
      <c r="O116" s="13"/>
      <c r="P116" s="9"/>
      <c r="Q116" s="9"/>
      <c r="R116" s="9"/>
      <c r="S116" s="9"/>
      <c r="T116" s="9"/>
      <c r="U116" s="9"/>
      <c r="V116" s="58"/>
      <c r="W116" s="177"/>
      <c r="X116" s="186"/>
      <c r="Y116" s="97"/>
      <c r="Z116" s="154"/>
      <c r="AA116" s="220"/>
      <c r="AB116" s="88"/>
      <c r="AC116" s="88"/>
      <c r="AD116" s="88"/>
      <c r="AE116" s="88"/>
      <c r="AF116" s="88"/>
      <c r="AG116" s="88"/>
      <c r="AH116" s="88"/>
      <c r="AI116" s="89"/>
      <c r="AJ116" s="88"/>
      <c r="AK116" s="80"/>
      <c r="AL116" s="80"/>
      <c r="AM116" s="80"/>
      <c r="AN116" s="80"/>
      <c r="AO116" s="80"/>
      <c r="AP116" s="80"/>
      <c r="AQ116" s="80"/>
      <c r="AR116" s="80"/>
      <c r="AS116" s="80"/>
      <c r="AT116" s="80"/>
      <c r="AU116" s="80"/>
      <c r="AV116" s="80"/>
      <c r="AW116" s="80"/>
      <c r="AX116" s="80"/>
      <c r="AY116" s="80"/>
      <c r="AZ116" s="80"/>
      <c r="BA116" s="80"/>
      <c r="BB116" s="80"/>
    </row>
    <row r="117" spans="1:55" s="101" customFormat="1" ht="11.25" customHeight="1" x14ac:dyDescent="0.2">
      <c r="A117" s="205"/>
      <c r="B117" s="973"/>
      <c r="C117" s="974"/>
      <c r="D117" s="974"/>
      <c r="E117" s="974"/>
      <c r="F117" s="974"/>
      <c r="G117" s="974"/>
      <c r="H117" s="9"/>
      <c r="I117" s="15"/>
      <c r="J117" s="15"/>
      <c r="K117" s="15"/>
      <c r="L117" s="9"/>
      <c r="M117" s="9"/>
      <c r="N117" s="9"/>
      <c r="O117" s="13"/>
      <c r="P117" s="9"/>
      <c r="Q117" s="9"/>
      <c r="R117" s="9"/>
      <c r="S117" s="9"/>
      <c r="T117" s="9"/>
      <c r="U117" s="9"/>
      <c r="V117" s="58"/>
      <c r="W117" s="177"/>
      <c r="X117" s="186"/>
      <c r="Y117" s="97"/>
      <c r="Z117" s="154"/>
      <c r="AA117" s="220"/>
      <c r="AB117" s="88"/>
      <c r="AC117" s="88"/>
      <c r="AD117" s="88"/>
      <c r="AE117" s="88"/>
      <c r="AF117" s="88"/>
      <c r="AG117" s="88"/>
      <c r="AH117" s="88"/>
      <c r="AI117" s="89"/>
      <c r="AJ117" s="88"/>
      <c r="AK117" s="80"/>
      <c r="AL117" s="80"/>
      <c r="AM117" s="80"/>
      <c r="AN117" s="80"/>
      <c r="AO117" s="80"/>
      <c r="AP117" s="80"/>
      <c r="AQ117" s="80"/>
      <c r="AR117" s="80"/>
      <c r="AS117" s="80"/>
      <c r="AT117" s="80"/>
      <c r="AU117" s="80"/>
      <c r="AV117" s="80"/>
      <c r="AW117" s="80"/>
      <c r="AX117" s="80"/>
      <c r="AY117" s="80"/>
      <c r="AZ117" s="80"/>
      <c r="BA117" s="80"/>
      <c r="BB117" s="80"/>
    </row>
    <row r="118" spans="1:55" s="101" customFormat="1" ht="11.25" customHeight="1" x14ac:dyDescent="0.2">
      <c r="A118" s="205"/>
      <c r="B118" s="973" t="s">
        <v>69</v>
      </c>
      <c r="C118" s="974"/>
      <c r="D118" s="974"/>
      <c r="E118" s="974"/>
      <c r="F118" s="974"/>
      <c r="G118" s="974"/>
      <c r="H118" s="9"/>
      <c r="I118" s="15"/>
      <c r="J118" s="15"/>
      <c r="K118" s="15"/>
      <c r="L118" s="9"/>
      <c r="M118" s="9"/>
      <c r="N118" s="9"/>
      <c r="O118" s="13"/>
      <c r="P118" s="9"/>
      <c r="Q118" s="9"/>
      <c r="R118" s="9"/>
      <c r="S118" s="9"/>
      <c r="T118" s="9"/>
      <c r="U118" s="9"/>
      <c r="V118" s="9"/>
      <c r="W118" s="177"/>
      <c r="X118" s="186"/>
      <c r="Y118" s="97"/>
      <c r="Z118" s="154"/>
      <c r="AA118" s="220"/>
      <c r="AB118" s="88"/>
      <c r="AC118" s="88"/>
      <c r="AD118" s="88"/>
      <c r="AE118" s="88"/>
      <c r="AF118" s="88"/>
      <c r="AG118" s="88"/>
      <c r="AH118" s="88"/>
      <c r="AI118" s="89"/>
      <c r="AJ118" s="88"/>
      <c r="AK118" s="80"/>
      <c r="AL118" s="80"/>
      <c r="AM118" s="80"/>
      <c r="AN118" s="80"/>
      <c r="AO118" s="80"/>
      <c r="AP118" s="80"/>
      <c r="AQ118" s="80"/>
      <c r="AR118" s="80"/>
      <c r="AS118" s="80"/>
      <c r="AT118" s="80"/>
      <c r="AU118" s="80"/>
      <c r="AV118" s="80"/>
      <c r="AW118" s="80"/>
      <c r="AX118" s="80"/>
      <c r="AY118" s="80"/>
      <c r="AZ118" s="80"/>
      <c r="BA118" s="80"/>
      <c r="BB118" s="80"/>
    </row>
    <row r="119" spans="1:55" s="101" customFormat="1" ht="11.25" customHeight="1" x14ac:dyDescent="0.2">
      <c r="A119" s="205"/>
      <c r="B119" s="973"/>
      <c r="C119" s="974"/>
      <c r="D119" s="974"/>
      <c r="E119" s="974"/>
      <c r="F119" s="974"/>
      <c r="G119" s="974"/>
      <c r="H119" s="9"/>
      <c r="I119" s="15"/>
      <c r="J119" s="15"/>
      <c r="K119" s="15"/>
      <c r="L119" s="9"/>
      <c r="M119" s="9"/>
      <c r="N119" s="9"/>
      <c r="O119" s="13"/>
      <c r="P119" s="9"/>
      <c r="Q119" s="9"/>
      <c r="R119" s="9"/>
      <c r="S119" s="9"/>
      <c r="T119" s="9"/>
      <c r="U119" s="9"/>
      <c r="V119" s="9"/>
      <c r="W119" s="177"/>
      <c r="X119" s="186"/>
      <c r="Y119" s="97"/>
      <c r="Z119" s="154"/>
      <c r="AA119" s="220"/>
      <c r="AB119" s="88"/>
      <c r="AC119" s="88"/>
      <c r="AD119" s="88"/>
      <c r="AE119" s="88"/>
      <c r="AF119" s="88"/>
      <c r="AG119" s="88"/>
      <c r="AH119" s="88"/>
      <c r="AI119" s="89"/>
      <c r="AJ119" s="88"/>
      <c r="AK119" s="88"/>
      <c r="AL119" s="88"/>
      <c r="AM119" s="210"/>
      <c r="AN119" s="210"/>
      <c r="AO119" s="210"/>
      <c r="AP119" s="210"/>
      <c r="AQ119" s="210"/>
      <c r="AR119" s="88"/>
      <c r="AS119" s="88"/>
      <c r="AT119" s="88"/>
      <c r="AU119" s="88"/>
      <c r="AV119" s="88"/>
      <c r="AW119" s="80"/>
      <c r="AX119" s="88"/>
      <c r="AY119" s="88"/>
      <c r="AZ119" s="88"/>
      <c r="BA119" s="88"/>
    </row>
    <row r="120" spans="1:55" s="101" customFormat="1" ht="11.25" customHeight="1" x14ac:dyDescent="0.2">
      <c r="A120" s="205"/>
      <c r="B120" s="973" t="s">
        <v>25</v>
      </c>
      <c r="C120" s="974"/>
      <c r="D120" s="974"/>
      <c r="E120" s="974"/>
      <c r="F120" s="974"/>
      <c r="G120" s="974"/>
      <c r="H120" s="9"/>
      <c r="I120" s="15"/>
      <c r="J120" s="15"/>
      <c r="K120" s="15"/>
      <c r="L120" s="9"/>
      <c r="M120" s="9"/>
      <c r="N120" s="9"/>
      <c r="O120" s="13"/>
      <c r="P120" s="9"/>
      <c r="Q120" s="9"/>
      <c r="R120" s="9"/>
      <c r="S120" s="9"/>
      <c r="T120" s="9"/>
      <c r="U120" s="9"/>
      <c r="V120" s="9"/>
      <c r="W120" s="177"/>
      <c r="X120" s="186"/>
      <c r="Y120" s="97"/>
      <c r="Z120" s="154"/>
      <c r="AA120" s="220"/>
      <c r="AB120" s="88"/>
      <c r="AC120" s="88"/>
      <c r="AD120" s="88"/>
      <c r="AE120" s="88"/>
      <c r="AF120" s="88"/>
      <c r="AG120" s="88"/>
      <c r="AH120" s="88"/>
      <c r="AI120" s="89"/>
      <c r="AJ120" s="88"/>
      <c r="AK120" s="88"/>
      <c r="AL120" s="210"/>
      <c r="AM120" s="210"/>
      <c r="AN120" s="210"/>
      <c r="AO120" s="210"/>
      <c r="AP120" s="210"/>
      <c r="AQ120" s="210"/>
      <c r="AR120" s="88"/>
      <c r="AS120" s="88"/>
      <c r="AT120" s="88"/>
      <c r="AU120" s="88"/>
      <c r="AV120" s="80"/>
      <c r="AW120" s="80"/>
      <c r="AX120" s="80"/>
      <c r="AY120" s="80"/>
      <c r="AZ120" s="80"/>
      <c r="BA120" s="80"/>
    </row>
    <row r="121" spans="1:55" s="101" customFormat="1" ht="11.25" customHeight="1" x14ac:dyDescent="0.2">
      <c r="A121" s="205"/>
      <c r="B121" s="973"/>
      <c r="C121" s="974"/>
      <c r="D121" s="974"/>
      <c r="E121" s="974"/>
      <c r="F121" s="974"/>
      <c r="G121" s="974"/>
      <c r="H121" s="9"/>
      <c r="I121" s="15"/>
      <c r="J121" s="15"/>
      <c r="K121" s="15"/>
      <c r="L121" s="9"/>
      <c r="M121" s="9"/>
      <c r="N121" s="9"/>
      <c r="O121" s="13"/>
      <c r="P121" s="9"/>
      <c r="Q121" s="9"/>
      <c r="R121" s="9"/>
      <c r="S121" s="9"/>
      <c r="T121" s="9"/>
      <c r="U121" s="9"/>
      <c r="V121" s="9"/>
      <c r="W121" s="177"/>
      <c r="X121" s="186"/>
      <c r="Y121" s="97"/>
      <c r="Z121" s="154"/>
      <c r="AA121" s="220"/>
      <c r="AB121" s="88"/>
      <c r="AC121" s="88"/>
      <c r="AD121" s="88"/>
      <c r="AE121" s="88"/>
      <c r="AF121" s="88"/>
      <c r="AG121" s="88"/>
      <c r="AH121" s="88"/>
      <c r="AI121" s="89"/>
      <c r="AJ121" s="88"/>
      <c r="AK121" s="88"/>
      <c r="AL121" s="210"/>
      <c r="AM121" s="210"/>
      <c r="AN121" s="210"/>
      <c r="AO121" s="210"/>
      <c r="AP121" s="210"/>
      <c r="AQ121" s="210"/>
      <c r="AR121" s="88"/>
      <c r="AS121" s="88"/>
      <c r="AT121" s="88"/>
      <c r="AU121" s="88"/>
      <c r="AV121" s="80"/>
      <c r="AW121" s="80"/>
      <c r="AX121" s="80"/>
      <c r="AY121" s="80"/>
      <c r="AZ121" s="80"/>
      <c r="BA121" s="80"/>
    </row>
    <row r="122" spans="1:55" s="101" customFormat="1" ht="11.25" customHeight="1" x14ac:dyDescent="0.2">
      <c r="A122" s="205"/>
      <c r="B122" s="973" t="s">
        <v>23</v>
      </c>
      <c r="C122" s="974"/>
      <c r="D122" s="974"/>
      <c r="E122" s="974"/>
      <c r="F122" s="974"/>
      <c r="G122" s="974"/>
      <c r="H122" s="9"/>
      <c r="I122" s="15"/>
      <c r="J122" s="15"/>
      <c r="K122" s="15"/>
      <c r="L122" s="9"/>
      <c r="M122" s="9"/>
      <c r="N122" s="9"/>
      <c r="O122" s="13"/>
      <c r="P122" s="9"/>
      <c r="Q122" s="9"/>
      <c r="R122" s="9"/>
      <c r="S122" s="9"/>
      <c r="T122" s="9"/>
      <c r="U122" s="9"/>
      <c r="V122" s="9"/>
      <c r="W122" s="177"/>
      <c r="X122" s="186"/>
      <c r="Y122" s="97"/>
      <c r="Z122" s="154"/>
      <c r="AA122" s="220"/>
      <c r="AB122" s="88"/>
      <c r="AC122" s="88"/>
      <c r="AD122" s="88"/>
      <c r="AE122" s="88"/>
      <c r="AF122" s="88"/>
      <c r="AG122" s="88"/>
      <c r="AH122" s="88"/>
      <c r="AI122" s="89"/>
      <c r="AJ122" s="88"/>
      <c r="AK122" s="88"/>
      <c r="AL122" s="210"/>
      <c r="AM122" s="210"/>
      <c r="AN122" s="210"/>
      <c r="AO122" s="210"/>
      <c r="AP122" s="210"/>
      <c r="AQ122" s="210"/>
      <c r="AR122" s="88"/>
      <c r="AS122" s="88"/>
      <c r="AT122" s="88"/>
      <c r="AU122" s="88"/>
      <c r="AV122" s="80"/>
      <c r="AW122" s="80"/>
      <c r="AX122" s="80"/>
      <c r="AY122" s="80"/>
      <c r="AZ122" s="80"/>
      <c r="BA122" s="80"/>
    </row>
    <row r="123" spans="1:55" s="101" customFormat="1" ht="11.25" customHeight="1" x14ac:dyDescent="0.2">
      <c r="A123" s="205"/>
      <c r="B123" s="973"/>
      <c r="C123" s="974"/>
      <c r="D123" s="974"/>
      <c r="E123" s="974"/>
      <c r="F123" s="974"/>
      <c r="G123" s="974"/>
      <c r="H123" s="9"/>
      <c r="I123" s="15"/>
      <c r="J123" s="15"/>
      <c r="K123" s="15"/>
      <c r="L123" s="9"/>
      <c r="M123" s="9"/>
      <c r="N123" s="9"/>
      <c r="O123" s="13"/>
      <c r="P123" s="9"/>
      <c r="Q123" s="9"/>
      <c r="R123" s="9"/>
      <c r="S123" s="9"/>
      <c r="T123" s="9"/>
      <c r="U123" s="9"/>
      <c r="V123" s="9"/>
      <c r="W123" s="177"/>
      <c r="X123" s="186"/>
      <c r="Y123" s="97"/>
      <c r="Z123" s="154"/>
      <c r="AA123" s="220"/>
      <c r="AB123" s="88"/>
      <c r="AC123" s="88"/>
      <c r="AD123" s="88"/>
      <c r="AE123" s="88"/>
      <c r="AF123" s="88"/>
      <c r="AG123" s="88"/>
      <c r="AH123" s="88"/>
      <c r="AI123" s="89"/>
      <c r="AJ123" s="88"/>
      <c r="AK123" s="88"/>
      <c r="AL123" s="210"/>
      <c r="AM123" s="210"/>
      <c r="AN123" s="210"/>
      <c r="AO123" s="210"/>
      <c r="AP123" s="210"/>
      <c r="AQ123" s="210"/>
      <c r="AR123" s="80"/>
      <c r="AS123" s="80"/>
      <c r="AT123" s="80"/>
      <c r="AU123" s="80"/>
      <c r="AV123" s="80"/>
      <c r="AW123" s="80"/>
      <c r="AX123" s="80"/>
      <c r="AY123" s="80"/>
      <c r="AZ123" s="80"/>
      <c r="BA123" s="80"/>
    </row>
    <row r="124" spans="1:55" s="101" customFormat="1" ht="11.25" customHeight="1" x14ac:dyDescent="0.2">
      <c r="A124" s="205"/>
      <c r="B124" s="973" t="s">
        <v>26</v>
      </c>
      <c r="C124" s="974"/>
      <c r="D124" s="974"/>
      <c r="E124" s="974"/>
      <c r="F124" s="974"/>
      <c r="G124" s="974"/>
      <c r="H124" s="9"/>
      <c r="I124" s="15"/>
      <c r="J124" s="15"/>
      <c r="K124" s="15"/>
      <c r="L124" s="9"/>
      <c r="M124" s="9"/>
      <c r="N124" s="9"/>
      <c r="O124" s="13"/>
      <c r="P124" s="9"/>
      <c r="Q124" s="9"/>
      <c r="R124" s="9"/>
      <c r="S124" s="9"/>
      <c r="T124" s="9"/>
      <c r="U124" s="9"/>
      <c r="V124" s="9"/>
      <c r="W124" s="177"/>
      <c r="X124" s="186"/>
      <c r="Y124" s="97"/>
      <c r="Z124" s="154"/>
      <c r="AA124" s="220"/>
      <c r="AB124" s="88"/>
      <c r="AC124" s="88"/>
      <c r="AD124" s="88"/>
      <c r="AE124" s="88"/>
      <c r="AF124" s="88"/>
      <c r="AG124" s="88"/>
      <c r="AH124" s="88"/>
      <c r="AI124" s="89"/>
      <c r="AJ124" s="88"/>
      <c r="AK124" s="88"/>
      <c r="AL124" s="210"/>
      <c r="AM124" s="210"/>
      <c r="AN124" s="210"/>
      <c r="AO124" s="210"/>
      <c r="AP124" s="210"/>
      <c r="AQ124" s="210"/>
      <c r="AR124" s="80"/>
      <c r="AS124" s="80"/>
      <c r="AT124" s="80"/>
      <c r="AU124" s="80"/>
      <c r="AV124" s="80"/>
      <c r="AW124" s="80"/>
      <c r="AX124" s="80"/>
      <c r="AY124" s="80"/>
      <c r="AZ124" s="80"/>
      <c r="BA124" s="80"/>
    </row>
    <row r="125" spans="1:55" s="101" customFormat="1" ht="11.25" customHeight="1" x14ac:dyDescent="0.2">
      <c r="A125" s="205"/>
      <c r="B125" s="973"/>
      <c r="C125" s="974"/>
      <c r="D125" s="974"/>
      <c r="E125" s="974"/>
      <c r="F125" s="974"/>
      <c r="G125" s="974"/>
      <c r="H125" s="9"/>
      <c r="I125" s="15"/>
      <c r="J125" s="15"/>
      <c r="K125" s="15"/>
      <c r="L125" s="9"/>
      <c r="M125" s="9"/>
      <c r="N125" s="9"/>
      <c r="O125" s="13"/>
      <c r="P125" s="9"/>
      <c r="Q125" s="9"/>
      <c r="R125" s="9"/>
      <c r="S125" s="9"/>
      <c r="T125" s="9"/>
      <c r="U125" s="9"/>
      <c r="V125" s="9"/>
      <c r="W125" s="177"/>
      <c r="X125" s="186"/>
      <c r="Y125" s="97"/>
      <c r="Z125" s="154"/>
      <c r="AA125" s="220"/>
      <c r="AB125" s="88"/>
      <c r="AC125" s="88"/>
      <c r="AD125" s="88"/>
      <c r="AE125" s="88"/>
      <c r="AF125" s="88"/>
      <c r="AG125" s="88"/>
      <c r="AH125" s="88"/>
      <c r="AI125" s="89"/>
      <c r="AJ125" s="88"/>
      <c r="AK125" s="88"/>
      <c r="AL125" s="215"/>
      <c r="AM125" s="210"/>
      <c r="AN125" s="210"/>
      <c r="AO125" s="210"/>
      <c r="AP125" s="210"/>
      <c r="AQ125" s="210"/>
      <c r="AR125" s="80"/>
      <c r="AS125" s="80"/>
      <c r="AT125" s="80"/>
      <c r="AU125" s="80"/>
      <c r="AV125" s="80"/>
      <c r="AW125" s="80"/>
      <c r="AX125" s="80"/>
      <c r="AY125" s="80"/>
      <c r="AZ125" s="80"/>
      <c r="BA125" s="80"/>
    </row>
    <row r="126" spans="1:55" s="101" customFormat="1" ht="11.25" customHeight="1" x14ac:dyDescent="0.2">
      <c r="A126" s="205"/>
      <c r="B126" s="973" t="s">
        <v>19</v>
      </c>
      <c r="C126" s="974"/>
      <c r="D126" s="974"/>
      <c r="E126" s="974"/>
      <c r="F126" s="974"/>
      <c r="G126" s="974"/>
      <c r="H126" s="9"/>
      <c r="I126" s="15"/>
      <c r="J126" s="15"/>
      <c r="K126" s="15"/>
      <c r="L126" s="9"/>
      <c r="M126" s="9"/>
      <c r="N126" s="9"/>
      <c r="O126" s="13"/>
      <c r="P126" s="9"/>
      <c r="Q126" s="9"/>
      <c r="R126" s="9"/>
      <c r="S126" s="9"/>
      <c r="T126" s="9"/>
      <c r="U126" s="9"/>
      <c r="V126" s="9"/>
      <c r="W126" s="177"/>
      <c r="X126" s="190"/>
      <c r="Y126" s="97"/>
      <c r="Z126" s="154"/>
      <c r="AA126" s="220"/>
      <c r="AB126" s="88"/>
      <c r="AC126" s="88"/>
      <c r="AD126" s="88"/>
      <c r="AE126" s="88"/>
      <c r="AF126" s="88"/>
      <c r="AG126" s="88"/>
      <c r="AH126" s="88"/>
      <c r="AI126" s="89"/>
      <c r="AJ126" s="88"/>
      <c r="AK126" s="88"/>
      <c r="AL126" s="210"/>
      <c r="AM126" s="210"/>
      <c r="AN126" s="210"/>
      <c r="AO126" s="210"/>
      <c r="AP126" s="210"/>
      <c r="AQ126" s="210"/>
      <c r="AR126" s="82"/>
      <c r="AS126" s="82"/>
      <c r="AT126" s="82"/>
      <c r="AU126" s="82"/>
      <c r="AV126" s="82"/>
      <c r="AW126" s="82"/>
      <c r="AX126" s="82"/>
      <c r="AY126" s="82"/>
      <c r="AZ126" s="82"/>
      <c r="BA126" s="82"/>
    </row>
    <row r="127" spans="1:55" s="101" customFormat="1" ht="11.25" customHeight="1" x14ac:dyDescent="0.2">
      <c r="A127" s="158"/>
      <c r="B127" s="973"/>
      <c r="C127" s="974"/>
      <c r="D127" s="974"/>
      <c r="E127" s="974"/>
      <c r="F127" s="974"/>
      <c r="G127" s="974"/>
      <c r="H127" s="9"/>
      <c r="I127" s="15"/>
      <c r="J127" s="15"/>
      <c r="K127" s="15"/>
      <c r="L127" s="9"/>
      <c r="M127" s="9"/>
      <c r="N127" s="9"/>
      <c r="O127" s="13"/>
      <c r="P127" s="9"/>
      <c r="Q127" s="9"/>
      <c r="R127" s="9"/>
      <c r="S127" s="9"/>
      <c r="T127" s="9"/>
      <c r="U127" s="9"/>
      <c r="V127" s="9"/>
      <c r="W127" s="177"/>
      <c r="X127" s="190"/>
      <c r="Y127" s="97"/>
      <c r="Z127" s="154"/>
      <c r="AA127" s="220"/>
      <c r="AB127" s="88"/>
      <c r="AC127" s="88"/>
      <c r="AD127" s="88"/>
      <c r="AE127" s="88"/>
      <c r="AF127" s="88"/>
      <c r="AG127" s="88"/>
      <c r="AH127" s="88"/>
      <c r="AI127" s="89"/>
      <c r="AJ127" s="88"/>
      <c r="AK127" s="88"/>
      <c r="AL127" s="210"/>
      <c r="AM127" s="210"/>
      <c r="AN127" s="210"/>
      <c r="AO127" s="210"/>
      <c r="AP127" s="210"/>
      <c r="AQ127" s="210"/>
      <c r="AR127" s="80"/>
      <c r="AS127" s="80"/>
      <c r="AT127" s="80"/>
      <c r="AU127" s="80"/>
      <c r="AV127" s="80"/>
      <c r="AW127" s="80"/>
      <c r="AX127" s="80"/>
      <c r="AY127" s="80"/>
      <c r="AZ127" s="80"/>
      <c r="BA127" s="80"/>
    </row>
    <row r="128" spans="1:55" s="101" customFormat="1" ht="11.25" customHeight="1" x14ac:dyDescent="0.2">
      <c r="A128" s="158"/>
      <c r="B128" s="973" t="s">
        <v>20</v>
      </c>
      <c r="C128" s="930"/>
      <c r="D128" s="930"/>
      <c r="E128" s="930"/>
      <c r="F128" s="930"/>
      <c r="G128" s="930"/>
      <c r="H128" s="930"/>
      <c r="I128" s="15"/>
      <c r="J128" s="15"/>
      <c r="K128" s="15"/>
      <c r="L128" s="9"/>
      <c r="M128" s="9"/>
      <c r="N128" s="9"/>
      <c r="O128" s="13"/>
      <c r="P128" s="9"/>
      <c r="Q128" s="9"/>
      <c r="R128" s="9"/>
      <c r="S128" s="9"/>
      <c r="T128" s="9"/>
      <c r="U128" s="9"/>
      <c r="V128" s="9"/>
      <c r="W128" s="177"/>
      <c r="X128" s="190"/>
      <c r="Y128" s="97"/>
      <c r="Z128" s="154"/>
      <c r="AA128" s="220"/>
      <c r="AB128" s="88"/>
      <c r="AC128" s="88"/>
      <c r="AD128" s="88"/>
      <c r="AE128" s="88"/>
      <c r="AF128" s="88"/>
      <c r="AG128" s="88"/>
      <c r="AH128" s="88"/>
      <c r="AI128" s="89"/>
      <c r="AJ128" s="88"/>
      <c r="AK128" s="88"/>
      <c r="AL128" s="210"/>
      <c r="AM128" s="210"/>
      <c r="AN128" s="210"/>
      <c r="AO128" s="210"/>
      <c r="AP128" s="210"/>
      <c r="AQ128" s="210"/>
      <c r="AR128" s="80"/>
      <c r="AS128" s="80"/>
      <c r="AT128" s="80"/>
      <c r="AU128" s="80"/>
      <c r="AV128" s="80"/>
      <c r="AW128" s="80"/>
      <c r="AX128" s="80"/>
      <c r="AY128" s="80"/>
      <c r="AZ128" s="80"/>
      <c r="BA128" s="80"/>
    </row>
    <row r="129" spans="1:55" s="101" customFormat="1" ht="11.25" customHeight="1" x14ac:dyDescent="0.2">
      <c r="A129" s="158"/>
      <c r="B129" s="930"/>
      <c r="C129" s="930"/>
      <c r="D129" s="930"/>
      <c r="E129" s="930"/>
      <c r="F129" s="930"/>
      <c r="G129" s="930"/>
      <c r="H129" s="930"/>
      <c r="I129" s="15"/>
      <c r="J129" s="15"/>
      <c r="K129" s="15"/>
      <c r="L129" s="9"/>
      <c r="M129" s="9"/>
      <c r="N129" s="9"/>
      <c r="O129" s="13"/>
      <c r="P129" s="9"/>
      <c r="Q129" s="9"/>
      <c r="R129" s="9"/>
      <c r="S129" s="9"/>
      <c r="T129" s="9"/>
      <c r="U129" s="9"/>
      <c r="V129" s="9"/>
      <c r="W129" s="177"/>
      <c r="X129" s="190"/>
      <c r="Y129" s="97"/>
      <c r="Z129" s="154"/>
      <c r="AA129" s="220"/>
      <c r="AB129" s="88"/>
      <c r="AC129" s="88"/>
      <c r="AD129" s="88"/>
      <c r="AE129" s="88"/>
      <c r="AF129" s="88"/>
      <c r="AG129" s="88"/>
      <c r="AH129" s="88"/>
      <c r="AI129" s="89"/>
      <c r="AJ129" s="88"/>
      <c r="AK129" s="88"/>
      <c r="AL129" s="210"/>
      <c r="AM129" s="210"/>
      <c r="AN129" s="210"/>
      <c r="AO129" s="210"/>
      <c r="AP129" s="210"/>
      <c r="AQ129" s="210"/>
      <c r="AR129" s="80"/>
      <c r="AS129" s="80"/>
      <c r="AT129" s="80"/>
      <c r="AU129" s="80"/>
      <c r="AV129" s="80"/>
      <c r="AW129" s="80"/>
      <c r="AX129" s="80"/>
      <c r="AY129" s="80"/>
      <c r="AZ129" s="80"/>
      <c r="BA129" s="80"/>
    </row>
    <row r="130" spans="1:55" s="101" customFormat="1" ht="11.25" customHeight="1" x14ac:dyDescent="0.2">
      <c r="A130" s="158"/>
      <c r="B130" s="973" t="s">
        <v>21</v>
      </c>
      <c r="C130" s="974"/>
      <c r="D130" s="974"/>
      <c r="E130" s="974"/>
      <c r="F130" s="974"/>
      <c r="G130" s="974"/>
      <c r="H130" s="9"/>
      <c r="I130" s="15"/>
      <c r="J130" s="15"/>
      <c r="K130" s="15"/>
      <c r="L130" s="9"/>
      <c r="M130" s="9"/>
      <c r="N130" s="9"/>
      <c r="O130" s="13"/>
      <c r="P130" s="9"/>
      <c r="Q130" s="9"/>
      <c r="R130" s="9"/>
      <c r="S130" s="9"/>
      <c r="T130" s="9"/>
      <c r="U130" s="9"/>
      <c r="V130" s="9"/>
      <c r="W130" s="177"/>
      <c r="X130" s="190"/>
      <c r="Y130" s="97"/>
      <c r="Z130" s="154"/>
      <c r="AA130" s="220"/>
      <c r="AB130" s="88"/>
      <c r="AC130" s="88"/>
      <c r="AD130" s="88"/>
      <c r="AE130" s="88"/>
      <c r="AF130" s="88"/>
      <c r="AG130" s="88"/>
      <c r="AH130" s="88"/>
      <c r="AI130" s="89"/>
      <c r="AJ130" s="88"/>
      <c r="AK130" s="88"/>
      <c r="AL130" s="210"/>
      <c r="AM130" s="210"/>
      <c r="AN130" s="210"/>
      <c r="AO130" s="210"/>
      <c r="AP130" s="210"/>
      <c r="AQ130" s="210"/>
      <c r="AR130" s="80"/>
      <c r="AS130" s="80"/>
      <c r="AT130" s="80"/>
      <c r="AU130" s="80"/>
      <c r="AV130" s="80"/>
      <c r="AW130" s="80"/>
      <c r="AX130" s="80"/>
      <c r="AY130" s="80"/>
      <c r="AZ130" s="80"/>
      <c r="BA130" s="80"/>
    </row>
    <row r="131" spans="1:55" s="101" customFormat="1" ht="11.25" customHeight="1" x14ac:dyDescent="0.2">
      <c r="A131" s="158"/>
      <c r="B131" s="973"/>
      <c r="C131" s="974"/>
      <c r="D131" s="974"/>
      <c r="E131" s="974"/>
      <c r="F131" s="974"/>
      <c r="G131" s="974"/>
      <c r="H131" s="9"/>
      <c r="I131" s="15"/>
      <c r="J131" s="15"/>
      <c r="K131" s="15"/>
      <c r="L131" s="9"/>
      <c r="M131" s="9"/>
      <c r="N131" s="9"/>
      <c r="O131" s="13"/>
      <c r="P131" s="9"/>
      <c r="Q131" s="9"/>
      <c r="R131" s="9"/>
      <c r="S131" s="9"/>
      <c r="T131" s="9"/>
      <c r="U131" s="9"/>
      <c r="V131" s="9"/>
      <c r="W131" s="177"/>
      <c r="X131" s="190"/>
      <c r="Y131" s="97"/>
      <c r="Z131" s="154"/>
      <c r="AA131" s="87"/>
      <c r="AB131" s="88"/>
      <c r="AC131" s="88"/>
      <c r="AD131" s="88"/>
      <c r="AE131" s="88"/>
      <c r="AF131" s="88"/>
      <c r="AG131" s="88"/>
      <c r="AH131" s="88"/>
      <c r="AI131" s="89"/>
      <c r="AJ131" s="88"/>
      <c r="AK131" s="88"/>
      <c r="AL131" s="210"/>
      <c r="AM131" s="210"/>
      <c r="AN131" s="210"/>
      <c r="AO131" s="210"/>
      <c r="AP131" s="210"/>
      <c r="AQ131" s="210"/>
      <c r="AR131" s="80"/>
      <c r="AS131" s="80"/>
      <c r="AT131" s="80"/>
      <c r="AU131" s="80"/>
      <c r="AV131" s="80"/>
      <c r="AW131" s="80"/>
      <c r="AX131" s="80"/>
      <c r="AY131" s="80"/>
      <c r="AZ131" s="80"/>
      <c r="BA131" s="80"/>
    </row>
    <row r="132" spans="1:55" s="101" customFormat="1" ht="11.25" customHeight="1" x14ac:dyDescent="0.2">
      <c r="A132" s="158"/>
      <c r="B132" s="973" t="s">
        <v>27</v>
      </c>
      <c r="C132" s="974"/>
      <c r="D132" s="974"/>
      <c r="E132" s="974"/>
      <c r="F132" s="974"/>
      <c r="G132" s="974"/>
      <c r="H132" s="9"/>
      <c r="I132" s="15"/>
      <c r="J132" s="15"/>
      <c r="K132" s="15"/>
      <c r="L132" s="9"/>
      <c r="M132" s="9"/>
      <c r="N132" s="9"/>
      <c r="O132" s="13"/>
      <c r="P132" s="9"/>
      <c r="Q132" s="9"/>
      <c r="R132" s="9"/>
      <c r="S132" s="9"/>
      <c r="T132" s="9"/>
      <c r="U132" s="9"/>
      <c r="V132" s="9"/>
      <c r="W132" s="177"/>
      <c r="X132" s="190"/>
      <c r="Y132" s="97"/>
      <c r="Z132" s="154"/>
      <c r="AA132" s="87"/>
      <c r="AB132" s="88"/>
      <c r="AC132" s="88"/>
      <c r="AD132" s="88"/>
      <c r="AE132" s="88"/>
      <c r="AF132" s="88"/>
      <c r="AG132" s="88"/>
      <c r="AH132" s="88"/>
      <c r="AI132" s="89"/>
      <c r="AJ132" s="88"/>
      <c r="AK132" s="88"/>
      <c r="AL132" s="210"/>
      <c r="AM132" s="210"/>
      <c r="AN132" s="210"/>
      <c r="AO132" s="210"/>
      <c r="AP132" s="210"/>
      <c r="AQ132" s="210"/>
      <c r="AR132" s="80"/>
      <c r="AS132" s="80"/>
      <c r="AT132" s="80"/>
      <c r="AU132" s="80"/>
      <c r="AV132" s="80"/>
      <c r="AW132" s="80"/>
      <c r="AX132" s="80"/>
      <c r="AY132" s="80"/>
      <c r="AZ132" s="80"/>
      <c r="BA132" s="80"/>
    </row>
    <row r="133" spans="1:55" s="101" customFormat="1" ht="11.25" customHeight="1" x14ac:dyDescent="0.2">
      <c r="A133" s="158"/>
      <c r="B133" s="973"/>
      <c r="C133" s="974"/>
      <c r="D133" s="974"/>
      <c r="E133" s="974"/>
      <c r="F133" s="974"/>
      <c r="G133" s="974"/>
      <c r="H133" s="9"/>
      <c r="I133" s="15"/>
      <c r="J133" s="15"/>
      <c r="K133" s="15"/>
      <c r="L133" s="9"/>
      <c r="M133" s="9"/>
      <c r="N133" s="9"/>
      <c r="O133" s="13"/>
      <c r="P133" s="9"/>
      <c r="Q133" s="9"/>
      <c r="R133" s="9"/>
      <c r="S133" s="9"/>
      <c r="T133" s="9"/>
      <c r="U133" s="9"/>
      <c r="V133" s="9"/>
      <c r="W133" s="177"/>
      <c r="X133" s="190"/>
      <c r="Y133" s="97"/>
      <c r="Z133" s="154"/>
      <c r="AA133" s="87"/>
      <c r="AB133" s="88"/>
      <c r="AC133" s="88"/>
      <c r="AD133" s="88"/>
      <c r="AE133" s="88"/>
      <c r="AF133" s="88"/>
      <c r="AG133" s="88"/>
      <c r="AH133" s="88"/>
      <c r="AI133" s="89"/>
      <c r="AJ133" s="88"/>
      <c r="AK133" s="88"/>
      <c r="AL133" s="210"/>
      <c r="AM133" s="210"/>
      <c r="AN133" s="210"/>
      <c r="AO133" s="210"/>
      <c r="AP133" s="210"/>
      <c r="AQ133" s="210"/>
      <c r="AR133" s="80"/>
      <c r="AS133" s="80"/>
      <c r="AT133" s="80"/>
      <c r="AU133" s="80"/>
      <c r="AV133" s="80"/>
      <c r="AW133" s="80"/>
      <c r="AX133" s="80"/>
      <c r="AY133" s="80"/>
      <c r="AZ133" s="80"/>
      <c r="BA133" s="80"/>
    </row>
    <row r="134" spans="1:55" s="101" customFormat="1" ht="11.25" customHeight="1" x14ac:dyDescent="0.2">
      <c r="A134" s="158"/>
      <c r="B134" s="973" t="s">
        <v>22</v>
      </c>
      <c r="C134" s="974"/>
      <c r="D134" s="974"/>
      <c r="E134" s="974"/>
      <c r="F134" s="974"/>
      <c r="G134" s="974"/>
      <c r="H134" s="9"/>
      <c r="I134" s="15"/>
      <c r="J134" s="15"/>
      <c r="K134" s="15"/>
      <c r="L134" s="9"/>
      <c r="M134" s="9"/>
      <c r="N134" s="9"/>
      <c r="O134" s="13"/>
      <c r="P134" s="9"/>
      <c r="Q134" s="9"/>
      <c r="R134" s="9"/>
      <c r="S134" s="9"/>
      <c r="T134" s="9"/>
      <c r="U134" s="9"/>
      <c r="V134" s="9"/>
      <c r="W134" s="9"/>
      <c r="X134" s="9"/>
      <c r="Y134" s="9"/>
      <c r="Z134" s="154"/>
      <c r="AA134" s="87"/>
      <c r="AB134" s="88"/>
      <c r="AC134" s="88"/>
      <c r="AD134" s="88"/>
      <c r="AE134" s="88"/>
      <c r="AF134" s="88"/>
      <c r="AG134" s="88"/>
      <c r="AH134" s="88"/>
      <c r="AI134" s="89"/>
      <c r="AJ134" s="88"/>
      <c r="AK134" s="88"/>
      <c r="AL134" s="210"/>
      <c r="AM134" s="210"/>
      <c r="AN134" s="210"/>
      <c r="AO134" s="210"/>
      <c r="AP134" s="210"/>
      <c r="AQ134" s="210"/>
      <c r="AR134" s="80"/>
      <c r="AS134" s="80"/>
      <c r="AT134" s="80"/>
      <c r="AU134" s="80"/>
      <c r="AV134" s="80"/>
      <c r="AW134" s="80"/>
      <c r="AX134" s="80"/>
      <c r="AY134" s="80"/>
      <c r="AZ134" s="80"/>
      <c r="BA134" s="80"/>
    </row>
    <row r="135" spans="1:55" s="101" customFormat="1" ht="11.25" customHeight="1" x14ac:dyDescent="0.2">
      <c r="A135" s="158"/>
      <c r="B135" s="973"/>
      <c r="C135" s="974"/>
      <c r="D135" s="974"/>
      <c r="E135" s="974"/>
      <c r="F135" s="974"/>
      <c r="G135" s="974"/>
      <c r="H135" s="9"/>
      <c r="I135" s="15"/>
      <c r="J135" s="15"/>
      <c r="K135" s="15"/>
      <c r="L135" s="9"/>
      <c r="M135" s="9"/>
      <c r="N135" s="9"/>
      <c r="O135" s="13"/>
      <c r="P135" s="9"/>
      <c r="Q135" s="9"/>
      <c r="R135" s="9"/>
      <c r="S135" s="9"/>
      <c r="T135" s="9"/>
      <c r="U135" s="9"/>
      <c r="V135" s="9"/>
      <c r="W135" s="9"/>
      <c r="X135" s="9"/>
      <c r="Y135" s="9"/>
      <c r="Z135" s="154"/>
      <c r="AA135" s="87"/>
      <c r="AB135" s="88"/>
      <c r="AC135" s="88"/>
      <c r="AD135" s="88"/>
      <c r="AE135" s="88"/>
      <c r="AF135" s="88"/>
      <c r="AG135" s="88"/>
      <c r="AH135" s="88"/>
      <c r="AI135" s="89"/>
      <c r="AJ135" s="88"/>
      <c r="AK135" s="88"/>
      <c r="AL135" s="210"/>
      <c r="AM135" s="210"/>
      <c r="AN135" s="210"/>
      <c r="AO135" s="210"/>
      <c r="AP135" s="210"/>
      <c r="AQ135" s="210"/>
      <c r="AR135" s="80"/>
      <c r="AS135" s="80"/>
      <c r="AT135" s="80"/>
      <c r="AU135" s="80"/>
      <c r="AV135" s="80"/>
      <c r="AW135" s="80"/>
      <c r="AX135" s="80"/>
      <c r="AY135" s="80"/>
      <c r="AZ135" s="80"/>
      <c r="BA135" s="80"/>
    </row>
    <row r="136" spans="1:55" s="88" customFormat="1" ht="11.25" customHeight="1" x14ac:dyDescent="0.2">
      <c r="A136" s="158"/>
      <c r="B136" s="973" t="s">
        <v>874</v>
      </c>
      <c r="C136" s="975"/>
      <c r="D136" s="975"/>
      <c r="E136" s="975"/>
      <c r="F136" s="975"/>
      <c r="G136" s="975"/>
      <c r="H136" s="9"/>
      <c r="I136" s="15"/>
      <c r="J136" s="15"/>
      <c r="K136" s="15"/>
      <c r="L136" s="9"/>
      <c r="M136" s="9"/>
      <c r="N136" s="9"/>
      <c r="O136" s="13"/>
      <c r="P136" s="9"/>
      <c r="Q136" s="9"/>
      <c r="R136" s="9"/>
      <c r="S136" s="9"/>
      <c r="T136" s="9"/>
      <c r="U136" s="9"/>
      <c r="V136" s="9"/>
      <c r="W136" s="9"/>
      <c r="X136" s="9"/>
      <c r="Y136" s="9"/>
      <c r="Z136" s="154"/>
      <c r="AA136" s="87"/>
      <c r="AI136" s="89"/>
      <c r="AL136" s="210"/>
      <c r="AM136" s="210"/>
      <c r="AN136" s="210"/>
      <c r="AO136" s="210"/>
      <c r="AP136" s="210"/>
      <c r="AQ136" s="210"/>
      <c r="AR136" s="80"/>
      <c r="AS136" s="80"/>
      <c r="AT136" s="80"/>
      <c r="AU136" s="80"/>
      <c r="AV136" s="80"/>
      <c r="AW136" s="80"/>
      <c r="AX136" s="80"/>
      <c r="AY136" s="80"/>
      <c r="AZ136" s="80"/>
      <c r="BA136" s="80"/>
      <c r="BB136" s="101"/>
      <c r="BC136" s="101"/>
    </row>
    <row r="137" spans="1:55" s="88" customFormat="1" ht="18.75" customHeight="1" x14ac:dyDescent="0.2">
      <c r="A137" s="158"/>
      <c r="B137" s="973"/>
      <c r="C137" s="975"/>
      <c r="D137" s="975"/>
      <c r="E137" s="975"/>
      <c r="F137" s="975"/>
      <c r="G137" s="975"/>
      <c r="H137" s="9"/>
      <c r="I137" s="15"/>
      <c r="J137" s="15"/>
      <c r="K137" s="15"/>
      <c r="L137" s="9"/>
      <c r="M137" s="9"/>
      <c r="N137" s="9"/>
      <c r="O137" s="13"/>
      <c r="P137" s="9"/>
      <c r="Q137" s="9"/>
      <c r="R137" s="9"/>
      <c r="S137" s="9"/>
      <c r="T137" s="9"/>
      <c r="U137" s="9"/>
      <c r="V137" s="58"/>
      <c r="W137" s="58"/>
      <c r="X137" s="58"/>
      <c r="Y137" s="58"/>
      <c r="Z137" s="154"/>
      <c r="AA137" s="87"/>
      <c r="AI137" s="89"/>
      <c r="AL137" s="210"/>
      <c r="AM137" s="210"/>
      <c r="AN137" s="210"/>
      <c r="AO137" s="210"/>
      <c r="AP137" s="210"/>
      <c r="AQ137" s="210"/>
      <c r="AR137" s="80"/>
      <c r="AS137" s="80"/>
      <c r="AT137" s="80"/>
      <c r="AU137" s="80"/>
      <c r="AV137" s="80"/>
      <c r="AW137" s="80"/>
      <c r="AX137" s="80"/>
      <c r="AY137" s="80"/>
      <c r="AZ137" s="80"/>
      <c r="BA137" s="80"/>
      <c r="BB137" s="101"/>
    </row>
    <row r="138" spans="1:55" s="88" customFormat="1" ht="7.5" customHeight="1" x14ac:dyDescent="0.2">
      <c r="A138" s="158"/>
      <c r="B138" s="973"/>
      <c r="C138" s="973"/>
      <c r="D138" s="973"/>
      <c r="E138" s="973"/>
      <c r="F138" s="975"/>
      <c r="G138" s="975"/>
      <c r="H138" s="975"/>
      <c r="I138" s="15"/>
      <c r="J138" s="15"/>
      <c r="K138" s="15"/>
      <c r="L138" s="9"/>
      <c r="M138" s="9"/>
      <c r="N138" s="9"/>
      <c r="O138" s="13"/>
      <c r="P138" s="9"/>
      <c r="Q138" s="9"/>
      <c r="R138" s="9"/>
      <c r="S138" s="9"/>
      <c r="T138" s="9"/>
      <c r="U138" s="9"/>
      <c r="V138" s="58"/>
      <c r="W138" s="63"/>
      <c r="X138" s="63"/>
      <c r="Y138" s="63"/>
      <c r="Z138" s="154"/>
      <c r="AA138" s="87"/>
      <c r="AI138" s="89"/>
      <c r="AL138" s="210"/>
      <c r="AM138" s="210"/>
      <c r="AN138" s="210"/>
      <c r="AO138" s="210"/>
      <c r="AP138" s="210"/>
      <c r="AQ138" s="210"/>
      <c r="AR138" s="80"/>
      <c r="AS138" s="80"/>
      <c r="AT138" s="80"/>
      <c r="AU138" s="80"/>
      <c r="AV138" s="80"/>
      <c r="AW138" s="80"/>
      <c r="AX138" s="80"/>
      <c r="AY138" s="80"/>
      <c r="AZ138" s="80"/>
      <c r="BA138" s="80"/>
      <c r="BB138" s="101"/>
    </row>
    <row r="139" spans="1:55" s="88" customFormat="1" ht="15" customHeight="1" x14ac:dyDescent="0.2">
      <c r="A139" s="158"/>
      <c r="B139" s="973"/>
      <c r="C139" s="973"/>
      <c r="D139" s="973"/>
      <c r="E139" s="973"/>
      <c r="F139" s="975"/>
      <c r="G139" s="975"/>
      <c r="H139" s="975"/>
      <c r="I139" s="15"/>
      <c r="J139" s="15"/>
      <c r="K139" s="15"/>
      <c r="L139" s="9"/>
      <c r="M139" s="9"/>
      <c r="N139" s="9"/>
      <c r="O139" s="13"/>
      <c r="P139" s="9"/>
      <c r="Q139" s="9"/>
      <c r="R139" s="9"/>
      <c r="S139" s="9"/>
      <c r="T139" s="9"/>
      <c r="U139" s="9"/>
      <c r="V139" s="66"/>
      <c r="W139" s="66"/>
      <c r="X139" s="66"/>
      <c r="Y139" s="66"/>
      <c r="Z139" s="154"/>
      <c r="AA139" s="87"/>
      <c r="AI139" s="89"/>
      <c r="AL139" s="210"/>
      <c r="AM139" s="210"/>
      <c r="AN139" s="210"/>
      <c r="AO139" s="210"/>
      <c r="AP139" s="210"/>
      <c r="AQ139" s="210"/>
      <c r="AR139" s="80"/>
      <c r="AS139" s="80"/>
      <c r="AT139" s="80"/>
      <c r="AU139" s="80"/>
      <c r="AV139" s="80"/>
      <c r="AW139" s="80"/>
      <c r="AX139" s="80"/>
      <c r="AY139" s="80"/>
      <c r="AZ139" s="80"/>
      <c r="BA139" s="80"/>
      <c r="BB139" s="101"/>
    </row>
    <row r="140" spans="1:55" s="88" customFormat="1" ht="11.25" customHeight="1" x14ac:dyDescent="0.2">
      <c r="A140" s="159"/>
      <c r="B140" s="160"/>
      <c r="C140" s="160"/>
      <c r="D140" s="160"/>
      <c r="E140" s="160"/>
      <c r="F140" s="160"/>
      <c r="G140" s="160"/>
      <c r="H140" s="160"/>
      <c r="I140" s="160"/>
      <c r="J140" s="160"/>
      <c r="K140" s="160"/>
      <c r="L140" s="160"/>
      <c r="M140" s="160"/>
      <c r="N140" s="160"/>
      <c r="O140" s="161"/>
      <c r="P140" s="160"/>
      <c r="Q140" s="160"/>
      <c r="R140" s="160"/>
      <c r="S140" s="160"/>
      <c r="T140" s="160"/>
      <c r="U140" s="160"/>
      <c r="V140" s="230"/>
      <c r="W140" s="231"/>
      <c r="X140" s="231"/>
      <c r="Y140" s="231"/>
      <c r="Z140" s="156"/>
      <c r="AA140" s="87"/>
      <c r="AL140" s="210"/>
      <c r="AM140" s="210"/>
      <c r="AN140" s="210"/>
      <c r="AO140" s="210"/>
      <c r="AP140" s="210"/>
      <c r="AQ140" s="210"/>
      <c r="AR140" s="80"/>
      <c r="AS140" s="80"/>
      <c r="AT140" s="80"/>
      <c r="AU140" s="80"/>
      <c r="AV140" s="80"/>
      <c r="AW140" s="80"/>
      <c r="AX140" s="80"/>
      <c r="AY140" s="80"/>
      <c r="AZ140" s="80"/>
      <c r="BA140" s="80"/>
      <c r="BB140" s="101"/>
    </row>
    <row r="141" spans="1:55" ht="11.25" customHeight="1" x14ac:dyDescent="0.2">
      <c r="A141" s="228"/>
      <c r="AL141" s="210"/>
      <c r="AM141" s="210"/>
      <c r="AN141" s="210"/>
      <c r="AO141" s="210"/>
      <c r="AP141" s="210"/>
      <c r="AQ141" s="210"/>
      <c r="BB141" s="88"/>
      <c r="BC141" s="88"/>
    </row>
    <row r="142" spans="1:55" ht="11.25" customHeight="1" x14ac:dyDescent="0.2">
      <c r="A142" s="228"/>
      <c r="W142" s="210"/>
      <c r="X142" s="210"/>
      <c r="Y142" s="210"/>
      <c r="AL142" s="210"/>
      <c r="AM142" s="210"/>
      <c r="AN142" s="210"/>
      <c r="AO142" s="210"/>
      <c r="AP142" s="210"/>
      <c r="AQ142" s="210"/>
      <c r="BB142" s="88"/>
    </row>
    <row r="143" spans="1:55" ht="11.25" customHeight="1" x14ac:dyDescent="0.2">
      <c r="A143" s="228"/>
      <c r="W143" s="210"/>
      <c r="X143" s="210"/>
      <c r="Y143" s="210"/>
      <c r="AL143" s="210"/>
      <c r="AM143" s="210"/>
      <c r="AN143" s="210"/>
      <c r="AO143" s="210"/>
      <c r="AP143" s="210"/>
      <c r="AQ143" s="210"/>
      <c r="BB143" s="88"/>
    </row>
    <row r="144" spans="1:55" ht="11.25" customHeight="1" x14ac:dyDescent="0.2">
      <c r="A144" s="228"/>
      <c r="W144" s="210"/>
      <c r="X144" s="210"/>
      <c r="Y144" s="210"/>
      <c r="AL144" s="210"/>
      <c r="AM144" s="210"/>
      <c r="AN144" s="210"/>
      <c r="AO144" s="210"/>
      <c r="AP144" s="210"/>
      <c r="AQ144" s="210"/>
      <c r="BB144" s="88"/>
    </row>
    <row r="145" spans="1:55" ht="11.25" customHeight="1" x14ac:dyDescent="0.2">
      <c r="A145" s="228"/>
      <c r="W145" s="210"/>
      <c r="X145" s="210"/>
      <c r="Y145" s="210"/>
      <c r="AL145" s="210"/>
      <c r="AM145" s="210"/>
      <c r="AN145" s="210"/>
      <c r="AO145" s="210"/>
      <c r="AP145" s="210"/>
      <c r="AQ145" s="210"/>
      <c r="BB145" s="88"/>
    </row>
    <row r="146" spans="1:55" ht="11.25" customHeight="1" x14ac:dyDescent="0.2">
      <c r="A146" s="228"/>
      <c r="W146" s="210"/>
      <c r="X146" s="210"/>
      <c r="Y146" s="210"/>
      <c r="AL146" s="210"/>
      <c r="AM146" s="210"/>
      <c r="AN146" s="210"/>
      <c r="AO146" s="210"/>
      <c r="AP146" s="210"/>
      <c r="AQ146" s="210"/>
    </row>
    <row r="147" spans="1:55" s="82" customFormat="1" ht="11.25" customHeight="1" x14ac:dyDescent="0.2">
      <c r="A147" s="228"/>
      <c r="B147" s="80"/>
      <c r="C147" s="80"/>
      <c r="D147" s="80"/>
      <c r="E147" s="80"/>
      <c r="F147" s="80"/>
      <c r="G147" s="80"/>
      <c r="H147" s="80"/>
      <c r="I147" s="80"/>
      <c r="J147" s="80"/>
      <c r="K147" s="80"/>
      <c r="L147" s="80"/>
      <c r="M147" s="80"/>
      <c r="N147" s="80"/>
      <c r="O147" s="106"/>
      <c r="P147" s="80"/>
      <c r="Q147" s="80"/>
      <c r="R147" s="80"/>
      <c r="S147" s="80"/>
      <c r="T147" s="80"/>
      <c r="U147" s="80"/>
      <c r="V147" s="80"/>
      <c r="W147" s="210"/>
      <c r="X147" s="210"/>
      <c r="Y147" s="210"/>
      <c r="Z147" s="87"/>
      <c r="AA147" s="87"/>
      <c r="AB147" s="88"/>
      <c r="AC147" s="88"/>
      <c r="AD147" s="88"/>
      <c r="AE147" s="88"/>
      <c r="AF147" s="88"/>
      <c r="AG147" s="88"/>
      <c r="AH147" s="88"/>
      <c r="AI147" s="88"/>
      <c r="AJ147" s="88"/>
      <c r="AK147" s="88"/>
      <c r="AL147" s="88"/>
      <c r="AM147" s="210"/>
      <c r="AN147" s="210"/>
      <c r="AO147" s="210"/>
      <c r="AP147" s="210"/>
      <c r="AQ147" s="210"/>
      <c r="AR147" s="80"/>
      <c r="AS147" s="80"/>
      <c r="AT147" s="80"/>
      <c r="AU147" s="80"/>
      <c r="AV147" s="80"/>
      <c r="AW147" s="80"/>
      <c r="AX147" s="80"/>
      <c r="AY147" s="80"/>
      <c r="AZ147" s="80"/>
      <c r="BA147" s="80"/>
      <c r="BB147" s="80"/>
      <c r="BC147" s="80"/>
    </row>
    <row r="148" spans="1:55" ht="11.25" customHeight="1" x14ac:dyDescent="0.2">
      <c r="A148" s="228"/>
      <c r="W148" s="210"/>
      <c r="X148" s="210"/>
      <c r="Y148" s="210"/>
      <c r="AM148" s="210"/>
      <c r="AN148" s="210"/>
      <c r="AO148" s="210"/>
      <c r="AP148" s="210"/>
      <c r="AQ148" s="210"/>
      <c r="BC148" s="82"/>
    </row>
    <row r="149" spans="1:55" ht="11.25" customHeight="1" x14ac:dyDescent="0.2">
      <c r="A149" s="228"/>
      <c r="W149" s="210"/>
      <c r="X149" s="210"/>
      <c r="Y149" s="210"/>
      <c r="AM149" s="210"/>
      <c r="AN149" s="210"/>
      <c r="AO149" s="210"/>
      <c r="AP149" s="210"/>
      <c r="AQ149" s="210"/>
    </row>
    <row r="150" spans="1:55" ht="11.25" customHeight="1" x14ac:dyDescent="0.2">
      <c r="A150" s="228"/>
      <c r="W150" s="210"/>
      <c r="X150" s="210"/>
      <c r="Y150" s="210"/>
      <c r="AM150" s="210"/>
      <c r="AN150" s="210"/>
      <c r="AO150" s="210"/>
      <c r="AP150" s="210"/>
      <c r="AQ150" s="210"/>
    </row>
    <row r="151" spans="1:55" ht="11.25" customHeight="1" x14ac:dyDescent="0.2">
      <c r="A151" s="228"/>
      <c r="W151" s="210"/>
      <c r="X151" s="210"/>
      <c r="Y151" s="210"/>
      <c r="AM151" s="210"/>
      <c r="AN151" s="210"/>
      <c r="AO151" s="210"/>
      <c r="AP151" s="210"/>
      <c r="AQ151" s="210"/>
    </row>
    <row r="152" spans="1:55" ht="11.25" customHeight="1" x14ac:dyDescent="0.2">
      <c r="A152" s="228"/>
      <c r="W152" s="210"/>
      <c r="X152" s="210"/>
      <c r="Y152" s="210"/>
      <c r="AM152" s="210"/>
      <c r="AN152" s="210"/>
      <c r="AO152" s="210"/>
      <c r="AP152" s="210"/>
      <c r="AQ152" s="210"/>
      <c r="BB152" s="82"/>
    </row>
    <row r="153" spans="1:55" ht="11.25" customHeight="1" x14ac:dyDescent="0.2">
      <c r="A153" s="228"/>
      <c r="W153" s="210"/>
      <c r="X153" s="210"/>
      <c r="Y153" s="210"/>
      <c r="AM153" s="210"/>
      <c r="AN153" s="210"/>
      <c r="AO153" s="210"/>
      <c r="AP153" s="210"/>
      <c r="AQ153" s="210"/>
    </row>
    <row r="154" spans="1:55" ht="11.25" customHeight="1" x14ac:dyDescent="0.2">
      <c r="A154" s="228"/>
      <c r="W154" s="210"/>
      <c r="X154" s="210"/>
      <c r="Y154" s="210"/>
      <c r="AM154" s="210"/>
      <c r="AN154" s="210"/>
      <c r="AO154" s="210"/>
      <c r="AP154" s="210"/>
      <c r="AQ154" s="210"/>
    </row>
    <row r="155" spans="1:55" ht="11.25" customHeight="1" x14ac:dyDescent="0.2">
      <c r="A155" s="228"/>
      <c r="W155" s="210"/>
      <c r="X155" s="210"/>
      <c r="Y155" s="210"/>
      <c r="AM155" s="210"/>
      <c r="AN155" s="210"/>
      <c r="AO155" s="210"/>
      <c r="AP155" s="210"/>
      <c r="AQ155" s="210"/>
    </row>
    <row r="156" spans="1:55" ht="11.25" customHeight="1" x14ac:dyDescent="0.2">
      <c r="A156" s="228"/>
      <c r="W156" s="210"/>
      <c r="X156" s="210"/>
      <c r="Y156" s="210"/>
      <c r="AM156" s="210"/>
      <c r="AN156" s="210"/>
      <c r="AO156" s="210"/>
      <c r="AP156" s="210"/>
      <c r="AQ156" s="210"/>
    </row>
    <row r="157" spans="1:55" ht="11.25" customHeight="1" x14ac:dyDescent="0.2">
      <c r="A157" s="228"/>
      <c r="W157" s="210"/>
      <c r="X157" s="210"/>
      <c r="Y157" s="210"/>
      <c r="AM157" s="210"/>
      <c r="AN157" s="210"/>
      <c r="AO157" s="210"/>
      <c r="AP157" s="210"/>
      <c r="AQ157" s="210"/>
      <c r="AX157" s="87"/>
      <c r="AY157" s="87"/>
      <c r="AZ157" s="87"/>
      <c r="BA157" s="87"/>
    </row>
    <row r="158" spans="1:55" ht="11.25" customHeight="1" x14ac:dyDescent="0.2">
      <c r="A158" s="228"/>
      <c r="W158" s="210"/>
      <c r="X158" s="210"/>
      <c r="Y158" s="210"/>
      <c r="AM158" s="210"/>
      <c r="AN158" s="210"/>
      <c r="AO158" s="210"/>
      <c r="AP158" s="210"/>
      <c r="AQ158" s="210"/>
    </row>
    <row r="159" spans="1:55" ht="11.25" customHeight="1" x14ac:dyDescent="0.2">
      <c r="A159" s="228"/>
      <c r="W159" s="210"/>
      <c r="X159" s="210"/>
      <c r="Y159" s="210"/>
      <c r="AM159" s="210"/>
      <c r="AN159" s="210"/>
      <c r="AO159" s="210"/>
      <c r="AP159" s="210"/>
      <c r="AQ159" s="210"/>
    </row>
    <row r="160" spans="1:55" ht="11.25" customHeight="1" x14ac:dyDescent="0.2">
      <c r="A160" s="228"/>
      <c r="W160" s="210"/>
      <c r="X160" s="210"/>
      <c r="Y160" s="210"/>
      <c r="AM160" s="210"/>
      <c r="AN160" s="210"/>
      <c r="AO160" s="210"/>
      <c r="AP160" s="210"/>
      <c r="AQ160" s="210"/>
    </row>
    <row r="161" spans="1:43" ht="11.25" customHeight="1" x14ac:dyDescent="0.2">
      <c r="A161" s="228"/>
      <c r="W161" s="210"/>
      <c r="X161" s="210"/>
      <c r="Y161" s="210"/>
      <c r="AM161" s="210"/>
      <c r="AN161" s="210"/>
      <c r="AO161" s="210"/>
      <c r="AP161" s="210"/>
      <c r="AQ161" s="210"/>
    </row>
    <row r="162" spans="1:43" ht="11.25" customHeight="1" x14ac:dyDescent="0.2">
      <c r="A162" s="228"/>
      <c r="W162" s="210"/>
      <c r="X162" s="210"/>
      <c r="Y162" s="210"/>
      <c r="AM162" s="210"/>
      <c r="AN162" s="210"/>
      <c r="AO162" s="210"/>
      <c r="AP162" s="210"/>
      <c r="AQ162" s="210"/>
    </row>
    <row r="163" spans="1:43" ht="11.25" customHeight="1" x14ac:dyDescent="0.2">
      <c r="A163" s="228"/>
      <c r="W163" s="210"/>
      <c r="X163" s="210"/>
      <c r="Y163" s="210"/>
      <c r="AM163" s="210"/>
      <c r="AN163" s="210"/>
      <c r="AO163" s="210"/>
      <c r="AP163" s="210"/>
      <c r="AQ163" s="210"/>
    </row>
    <row r="164" spans="1:43" ht="11.25" customHeight="1" x14ac:dyDescent="0.2">
      <c r="A164" s="228"/>
      <c r="W164" s="210"/>
      <c r="X164" s="210"/>
      <c r="Y164" s="210"/>
      <c r="AM164" s="210"/>
      <c r="AN164" s="210"/>
      <c r="AO164" s="210"/>
      <c r="AP164" s="210"/>
      <c r="AQ164" s="210"/>
    </row>
    <row r="165" spans="1:43" ht="11.25" customHeight="1" x14ac:dyDescent="0.2">
      <c r="A165" s="228"/>
      <c r="W165" s="210"/>
      <c r="X165" s="210"/>
      <c r="Y165" s="210"/>
      <c r="AM165" s="210"/>
      <c r="AN165" s="210"/>
      <c r="AO165" s="210"/>
      <c r="AP165" s="210"/>
      <c r="AQ165" s="210"/>
    </row>
    <row r="166" spans="1:43" ht="11.25" customHeight="1" x14ac:dyDescent="0.2">
      <c r="A166" s="228"/>
      <c r="W166" s="210"/>
      <c r="X166" s="210"/>
      <c r="Y166" s="210"/>
      <c r="AM166" s="210"/>
      <c r="AN166" s="210"/>
      <c r="AO166" s="210"/>
      <c r="AP166" s="210"/>
      <c r="AQ166" s="210"/>
    </row>
    <row r="167" spans="1:43" ht="11.25" customHeight="1" x14ac:dyDescent="0.2">
      <c r="A167" s="228"/>
      <c r="W167" s="210"/>
      <c r="X167" s="210"/>
      <c r="Y167" s="210"/>
      <c r="AM167" s="210"/>
      <c r="AN167" s="210"/>
      <c r="AO167" s="210"/>
      <c r="AP167" s="210"/>
      <c r="AQ167" s="210"/>
    </row>
    <row r="168" spans="1:43" ht="11.25" customHeight="1" x14ac:dyDescent="0.2">
      <c r="A168" s="229"/>
      <c r="AM168" s="210"/>
      <c r="AN168" s="210"/>
      <c r="AO168" s="210"/>
      <c r="AP168" s="210"/>
      <c r="AQ168" s="210"/>
    </row>
    <row r="169" spans="1:43" ht="11.25" customHeight="1" x14ac:dyDescent="0.2">
      <c r="AM169" s="210"/>
      <c r="AN169" s="210"/>
      <c r="AO169" s="210"/>
      <c r="AP169" s="210"/>
      <c r="AQ169" s="210"/>
    </row>
    <row r="170" spans="1:43" ht="11.25" customHeight="1" x14ac:dyDescent="0.2">
      <c r="AM170" s="210"/>
      <c r="AN170" s="210"/>
      <c r="AO170" s="210"/>
      <c r="AP170" s="210"/>
      <c r="AQ170" s="210"/>
    </row>
    <row r="171" spans="1:43" ht="11.25" customHeight="1" x14ac:dyDescent="0.2">
      <c r="AM171" s="210"/>
      <c r="AN171" s="210"/>
      <c r="AO171" s="210"/>
      <c r="AP171" s="210"/>
      <c r="AQ171" s="210"/>
    </row>
    <row r="172" spans="1:43" ht="11.25" customHeight="1" x14ac:dyDescent="0.2">
      <c r="AM172" s="210"/>
      <c r="AN172" s="210"/>
      <c r="AO172" s="210"/>
      <c r="AP172" s="210"/>
      <c r="AQ172" s="210"/>
    </row>
    <row r="173" spans="1:43" ht="11.25" customHeight="1" x14ac:dyDescent="0.2">
      <c r="AM173" s="210"/>
      <c r="AN173" s="210"/>
      <c r="AO173" s="210"/>
      <c r="AP173" s="210"/>
      <c r="AQ173" s="210"/>
    </row>
    <row r="174" spans="1:43" ht="11.25" customHeight="1" x14ac:dyDescent="0.2">
      <c r="AM174" s="210"/>
      <c r="AN174" s="210"/>
      <c r="AO174" s="210"/>
      <c r="AP174" s="210"/>
      <c r="AQ174" s="210"/>
    </row>
    <row r="175" spans="1:43" ht="11.25" customHeight="1" x14ac:dyDescent="0.2">
      <c r="AM175" s="210"/>
      <c r="AN175" s="210"/>
      <c r="AO175" s="210"/>
      <c r="AP175" s="210"/>
      <c r="AQ175" s="210"/>
    </row>
    <row r="176" spans="1:43" ht="11.25" customHeight="1" x14ac:dyDescent="0.2">
      <c r="AM176" s="210"/>
      <c r="AN176" s="210"/>
      <c r="AO176" s="210"/>
      <c r="AP176" s="210"/>
      <c r="AQ176" s="210"/>
    </row>
    <row r="177" spans="1:55" ht="18.75" customHeight="1" x14ac:dyDescent="0.2">
      <c r="AM177" s="210"/>
      <c r="AN177" s="210"/>
      <c r="AO177" s="210"/>
      <c r="AP177" s="210"/>
      <c r="AQ177" s="210"/>
    </row>
    <row r="178" spans="1:55" s="87" customFormat="1" ht="11.25" customHeight="1" x14ac:dyDescent="0.2">
      <c r="A178" s="80"/>
      <c r="B178" s="80"/>
      <c r="C178" s="80"/>
      <c r="D178" s="80"/>
      <c r="E178" s="80"/>
      <c r="F178" s="80"/>
      <c r="G178" s="80"/>
      <c r="H178" s="80"/>
      <c r="I178" s="80"/>
      <c r="J178" s="80"/>
      <c r="K178" s="80"/>
      <c r="L178" s="80"/>
      <c r="M178" s="80"/>
      <c r="N178" s="80"/>
      <c r="O178" s="106"/>
      <c r="P178" s="80"/>
      <c r="Q178" s="80"/>
      <c r="R178" s="80"/>
      <c r="S178" s="80"/>
      <c r="T178" s="80"/>
      <c r="U178" s="80"/>
      <c r="V178" s="80"/>
      <c r="W178" s="80"/>
      <c r="X178" s="80"/>
      <c r="Y178" s="80"/>
      <c r="AB178" s="88"/>
      <c r="AC178" s="88"/>
      <c r="AD178" s="88"/>
      <c r="AE178" s="88"/>
      <c r="AF178" s="88"/>
      <c r="AG178" s="88"/>
      <c r="AH178" s="88"/>
      <c r="AI178" s="88"/>
      <c r="AJ178" s="88"/>
      <c r="AK178" s="88"/>
      <c r="AL178" s="88"/>
      <c r="AM178" s="210"/>
      <c r="AN178" s="210"/>
      <c r="AO178" s="210"/>
      <c r="AP178" s="210"/>
      <c r="AQ178" s="210"/>
      <c r="AR178" s="80"/>
      <c r="AS178" s="80"/>
      <c r="AT178" s="80"/>
      <c r="AU178" s="80"/>
      <c r="AV178" s="80"/>
      <c r="AW178" s="80"/>
      <c r="AX178" s="80"/>
      <c r="AY178" s="80"/>
      <c r="AZ178" s="80"/>
      <c r="BA178" s="80"/>
      <c r="BB178" s="80"/>
      <c r="BC178" s="80"/>
    </row>
    <row r="179" spans="1:55" ht="11.25" customHeight="1" x14ac:dyDescent="0.2">
      <c r="AM179" s="210"/>
      <c r="AN179" s="210"/>
      <c r="AO179" s="210"/>
      <c r="AP179" s="210"/>
      <c r="AQ179" s="210"/>
      <c r="BC179" s="87"/>
    </row>
    <row r="180" spans="1:55" ht="11.25" customHeight="1" x14ac:dyDescent="0.2">
      <c r="AM180" s="210"/>
      <c r="AN180" s="210"/>
      <c r="AO180" s="210"/>
      <c r="AP180" s="210"/>
      <c r="AQ180" s="210"/>
    </row>
    <row r="181" spans="1:55" ht="11.25" customHeight="1" x14ac:dyDescent="0.2">
      <c r="AM181" s="210"/>
      <c r="AN181" s="210"/>
      <c r="AO181" s="210"/>
      <c r="AP181" s="210"/>
      <c r="AQ181" s="210"/>
    </row>
    <row r="182" spans="1:55" ht="11.25" customHeight="1" x14ac:dyDescent="0.2">
      <c r="AM182" s="210"/>
      <c r="AN182" s="210"/>
      <c r="AO182" s="210"/>
      <c r="AP182" s="210"/>
      <c r="AQ182" s="210"/>
    </row>
    <row r="183" spans="1:55" ht="11.25" customHeight="1" x14ac:dyDescent="0.2">
      <c r="AM183" s="210"/>
      <c r="AN183" s="210"/>
      <c r="AO183" s="210"/>
      <c r="AP183" s="210"/>
      <c r="AQ183" s="210"/>
      <c r="BB183" s="87"/>
    </row>
    <row r="184" spans="1:55" ht="11.25" customHeight="1" x14ac:dyDescent="0.2">
      <c r="AM184" s="210"/>
      <c r="AN184" s="210"/>
      <c r="AO184" s="210"/>
      <c r="AP184" s="210"/>
      <c r="AQ184" s="210"/>
    </row>
    <row r="185" spans="1:55" ht="11.25" customHeight="1" x14ac:dyDescent="0.2">
      <c r="AM185" s="210"/>
      <c r="AN185" s="210"/>
      <c r="AO185" s="210"/>
      <c r="AP185" s="210"/>
      <c r="AQ185" s="210"/>
    </row>
    <row r="186" spans="1:55" ht="11.25" customHeight="1" x14ac:dyDescent="0.2">
      <c r="AM186" s="210"/>
      <c r="AN186" s="210"/>
      <c r="AO186" s="210"/>
      <c r="AP186" s="210"/>
      <c r="AQ186" s="210"/>
    </row>
    <row r="187" spans="1:55" ht="11.25" customHeight="1" x14ac:dyDescent="0.2">
      <c r="AM187" s="210"/>
      <c r="AN187" s="210"/>
      <c r="AO187" s="210"/>
      <c r="AP187" s="210"/>
      <c r="AQ187" s="210"/>
    </row>
    <row r="188" spans="1:55" ht="11.25" customHeight="1" x14ac:dyDescent="0.2">
      <c r="AM188" s="210"/>
      <c r="AN188" s="210"/>
      <c r="AO188" s="210"/>
      <c r="AP188" s="210"/>
      <c r="AQ188" s="210"/>
    </row>
    <row r="189" spans="1:55" ht="11.25" customHeight="1" x14ac:dyDescent="0.2">
      <c r="AM189" s="210"/>
      <c r="AN189" s="210"/>
      <c r="AO189" s="210"/>
      <c r="AP189" s="210"/>
      <c r="AQ189" s="210"/>
    </row>
    <row r="190" spans="1:55" ht="11.25" customHeight="1" x14ac:dyDescent="0.2">
      <c r="AM190" s="210"/>
      <c r="AN190" s="210"/>
      <c r="AO190" s="210"/>
      <c r="AP190" s="210"/>
      <c r="AQ190" s="210"/>
    </row>
    <row r="191" spans="1:55" ht="11.25" customHeight="1" x14ac:dyDescent="0.2">
      <c r="AM191" s="210"/>
      <c r="AN191" s="210"/>
      <c r="AO191" s="210"/>
      <c r="AP191" s="210"/>
      <c r="AQ191" s="210"/>
    </row>
    <row r="192" spans="1:55" ht="11.25" customHeight="1" x14ac:dyDescent="0.2">
      <c r="AM192" s="210"/>
      <c r="AN192" s="210"/>
      <c r="AO192" s="210"/>
      <c r="AP192" s="210"/>
      <c r="AQ192" s="210"/>
    </row>
    <row r="193" spans="39:43" ht="11.25" customHeight="1" x14ac:dyDescent="0.2">
      <c r="AM193" s="210"/>
      <c r="AN193" s="210"/>
      <c r="AO193" s="210"/>
      <c r="AP193" s="210"/>
      <c r="AQ193" s="210"/>
    </row>
    <row r="194" spans="39:43" ht="11.25" customHeight="1" x14ac:dyDescent="0.2">
      <c r="AM194" s="210"/>
      <c r="AN194" s="210"/>
      <c r="AO194" s="210"/>
      <c r="AP194" s="210"/>
      <c r="AQ194" s="210"/>
    </row>
    <row r="195" spans="39:43" ht="11.25" customHeight="1" x14ac:dyDescent="0.2">
      <c r="AM195" s="210"/>
      <c r="AN195" s="210"/>
      <c r="AO195" s="210"/>
      <c r="AP195" s="210"/>
      <c r="AQ195" s="210"/>
    </row>
    <row r="196" spans="39:43" ht="11.25" customHeight="1" x14ac:dyDescent="0.2">
      <c r="AM196" s="210"/>
      <c r="AN196" s="210"/>
      <c r="AO196" s="210"/>
      <c r="AP196" s="210"/>
      <c r="AQ196" s="210"/>
    </row>
    <row r="197" spans="39:43" ht="11.25" customHeight="1" x14ac:dyDescent="0.2">
      <c r="AM197" s="210"/>
      <c r="AN197" s="210"/>
      <c r="AO197" s="210"/>
      <c r="AP197" s="210"/>
      <c r="AQ197" s="210"/>
    </row>
    <row r="283" spans="41:41" ht="11.25" customHeight="1" x14ac:dyDescent="0.2">
      <c r="AO283" s="80" t="b">
        <v>1</v>
      </c>
    </row>
  </sheetData>
  <mergeCells count="300">
    <mergeCell ref="B128:H129"/>
    <mergeCell ref="B130:G131"/>
    <mergeCell ref="B132:G133"/>
    <mergeCell ref="B134:G135"/>
    <mergeCell ref="B136:G137"/>
    <mergeCell ref="B138:H139"/>
    <mergeCell ref="B104:G105"/>
    <mergeCell ref="B106:G107"/>
    <mergeCell ref="B108:G109"/>
    <mergeCell ref="B116:G117"/>
    <mergeCell ref="B118:G119"/>
    <mergeCell ref="B120:G121"/>
    <mergeCell ref="B122:G123"/>
    <mergeCell ref="B124:G125"/>
    <mergeCell ref="B126:G127"/>
    <mergeCell ref="B110:F111"/>
    <mergeCell ref="B112:F113"/>
    <mergeCell ref="B114:F115"/>
    <mergeCell ref="B7:B8"/>
    <mergeCell ref="AB92:AB93"/>
    <mergeCell ref="AB100:AB101"/>
    <mergeCell ref="B72:L73"/>
    <mergeCell ref="AB82:AB83"/>
    <mergeCell ref="AB84:AB85"/>
    <mergeCell ref="AB86:AB87"/>
    <mergeCell ref="AB88:AB89"/>
    <mergeCell ref="AB90:AB91"/>
    <mergeCell ref="AB94:AB95"/>
    <mergeCell ref="AB96:AB97"/>
    <mergeCell ref="AB98:AB99"/>
    <mergeCell ref="N43:O43"/>
    <mergeCell ref="P43:Q43"/>
    <mergeCell ref="R43:S43"/>
    <mergeCell ref="T43:U43"/>
    <mergeCell ref="V43:W43"/>
    <mergeCell ref="D44:E44"/>
    <mergeCell ref="F44:G44"/>
    <mergeCell ref="J44:K44"/>
    <mergeCell ref="L44:M44"/>
    <mergeCell ref="N44:O44"/>
    <mergeCell ref="H44:I44"/>
    <mergeCell ref="T44:U44"/>
    <mergeCell ref="B102:B103"/>
    <mergeCell ref="A70:Y70"/>
    <mergeCell ref="A99:Y99"/>
    <mergeCell ref="H62:I62"/>
    <mergeCell ref="J62:K62"/>
    <mergeCell ref="L62:M62"/>
    <mergeCell ref="D61:E61"/>
    <mergeCell ref="F61:G61"/>
    <mergeCell ref="H61:I61"/>
    <mergeCell ref="J61:K61"/>
    <mergeCell ref="L61:M61"/>
    <mergeCell ref="V63:W63"/>
    <mergeCell ref="V62:W62"/>
    <mergeCell ref="D63:E63"/>
    <mergeCell ref="F63:G63"/>
    <mergeCell ref="H63:I63"/>
    <mergeCell ref="J63:K63"/>
    <mergeCell ref="L63:M63"/>
    <mergeCell ref="N63:O63"/>
    <mergeCell ref="P63:Q63"/>
    <mergeCell ref="V61:W61"/>
    <mergeCell ref="D62:E62"/>
    <mergeCell ref="N61:O61"/>
    <mergeCell ref="P61:Q61"/>
    <mergeCell ref="V42:W42"/>
    <mergeCell ref="V39:W39"/>
    <mergeCell ref="D43:E43"/>
    <mergeCell ref="F43:G43"/>
    <mergeCell ref="H43:I43"/>
    <mergeCell ref="J43:K43"/>
    <mergeCell ref="B39:B40"/>
    <mergeCell ref="L40:M40"/>
    <mergeCell ref="N40:O40"/>
    <mergeCell ref="P40:Q40"/>
    <mergeCell ref="R40:S40"/>
    <mergeCell ref="T40:U40"/>
    <mergeCell ref="V41:W41"/>
    <mergeCell ref="D42:E42"/>
    <mergeCell ref="F42:G42"/>
    <mergeCell ref="H42:I42"/>
    <mergeCell ref="J42:K42"/>
    <mergeCell ref="L42:M42"/>
    <mergeCell ref="N42:O42"/>
    <mergeCell ref="P42:Q42"/>
    <mergeCell ref="R42:S42"/>
    <mergeCell ref="T42:U42"/>
    <mergeCell ref="D60:E60"/>
    <mergeCell ref="F60:G60"/>
    <mergeCell ref="H60:I60"/>
    <mergeCell ref="J60:K60"/>
    <mergeCell ref="L60:M60"/>
    <mergeCell ref="F62:G62"/>
    <mergeCell ref="BA7:BA8"/>
    <mergeCell ref="R5:U5"/>
    <mergeCell ref="V5:X5"/>
    <mergeCell ref="V40:W40"/>
    <mergeCell ref="D41:E41"/>
    <mergeCell ref="F41:G41"/>
    <mergeCell ref="H41:I41"/>
    <mergeCell ref="J41:K41"/>
    <mergeCell ref="L41:M41"/>
    <mergeCell ref="N41:O41"/>
    <mergeCell ref="P41:Q41"/>
    <mergeCell ref="R41:S41"/>
    <mergeCell ref="T41:U41"/>
    <mergeCell ref="D40:E40"/>
    <mergeCell ref="F40:G40"/>
    <mergeCell ref="H40:I40"/>
    <mergeCell ref="J40:K40"/>
    <mergeCell ref="V44:W44"/>
    <mergeCell ref="A34:Y34"/>
    <mergeCell ref="P45:Q45"/>
    <mergeCell ref="R45:S45"/>
    <mergeCell ref="T45:U45"/>
    <mergeCell ref="V45:W45"/>
    <mergeCell ref="P44:Q44"/>
    <mergeCell ref="R44:S44"/>
    <mergeCell ref="D39:E39"/>
    <mergeCell ref="F39:G39"/>
    <mergeCell ref="H39:I39"/>
    <mergeCell ref="J39:K39"/>
    <mergeCell ref="L39:M39"/>
    <mergeCell ref="N39:O39"/>
    <mergeCell ref="P39:Q39"/>
    <mergeCell ref="R39:S39"/>
    <mergeCell ref="T39:U39"/>
    <mergeCell ref="L43:M43"/>
    <mergeCell ref="D45:E45"/>
    <mergeCell ref="F45:G45"/>
    <mergeCell ref="H45:I45"/>
    <mergeCell ref="J45:K45"/>
    <mergeCell ref="L45:M45"/>
    <mergeCell ref="N45:O45"/>
    <mergeCell ref="A35:Y35"/>
    <mergeCell ref="V46:W46"/>
    <mergeCell ref="D47:E47"/>
    <mergeCell ref="F47:G47"/>
    <mergeCell ref="H47:I47"/>
    <mergeCell ref="J47:K47"/>
    <mergeCell ref="L47:M47"/>
    <mergeCell ref="N47:O47"/>
    <mergeCell ref="P47:Q47"/>
    <mergeCell ref="R47:S47"/>
    <mergeCell ref="T47:U47"/>
    <mergeCell ref="V47:W47"/>
    <mergeCell ref="D46:E46"/>
    <mergeCell ref="F46:G46"/>
    <mergeCell ref="H46:I46"/>
    <mergeCell ref="J46:K46"/>
    <mergeCell ref="L46:M46"/>
    <mergeCell ref="N46:O46"/>
    <mergeCell ref="P46:Q46"/>
    <mergeCell ref="R46:S46"/>
    <mergeCell ref="T46:U46"/>
    <mergeCell ref="V48:W48"/>
    <mergeCell ref="D49:E49"/>
    <mergeCell ref="F49:G49"/>
    <mergeCell ref="H49:I49"/>
    <mergeCell ref="J49:K49"/>
    <mergeCell ref="L49:M49"/>
    <mergeCell ref="N49:O49"/>
    <mergeCell ref="P49:Q49"/>
    <mergeCell ref="R49:S49"/>
    <mergeCell ref="T49:U49"/>
    <mergeCell ref="V49:W49"/>
    <mergeCell ref="D48:E48"/>
    <mergeCell ref="F48:G48"/>
    <mergeCell ref="H48:I48"/>
    <mergeCell ref="J48:K48"/>
    <mergeCell ref="L48:M48"/>
    <mergeCell ref="N48:O48"/>
    <mergeCell ref="P48:Q48"/>
    <mergeCell ref="R48:S48"/>
    <mergeCell ref="T48:U48"/>
    <mergeCell ref="V50:W50"/>
    <mergeCell ref="D51:E51"/>
    <mergeCell ref="F51:G51"/>
    <mergeCell ref="H51:I51"/>
    <mergeCell ref="J51:K51"/>
    <mergeCell ref="L51:M51"/>
    <mergeCell ref="N51:O51"/>
    <mergeCell ref="P51:Q51"/>
    <mergeCell ref="R51:S51"/>
    <mergeCell ref="T51:U51"/>
    <mergeCell ref="V51:W51"/>
    <mergeCell ref="D50:E50"/>
    <mergeCell ref="F50:G50"/>
    <mergeCell ref="H50:I50"/>
    <mergeCell ref="J50:K50"/>
    <mergeCell ref="L50:M50"/>
    <mergeCell ref="N50:O50"/>
    <mergeCell ref="P50:Q50"/>
    <mergeCell ref="R50:S50"/>
    <mergeCell ref="T50:U50"/>
    <mergeCell ref="R54:S54"/>
    <mergeCell ref="T54:U54"/>
    <mergeCell ref="V52:W52"/>
    <mergeCell ref="D53:E53"/>
    <mergeCell ref="F53:G53"/>
    <mergeCell ref="H53:I53"/>
    <mergeCell ref="J53:K53"/>
    <mergeCell ref="L53:M53"/>
    <mergeCell ref="N53:O53"/>
    <mergeCell ref="P53:Q53"/>
    <mergeCell ref="R53:S53"/>
    <mergeCell ref="T53:U53"/>
    <mergeCell ref="V53:W53"/>
    <mergeCell ref="D52:E52"/>
    <mergeCell ref="F52:G52"/>
    <mergeCell ref="H52:I52"/>
    <mergeCell ref="J52:K52"/>
    <mergeCell ref="L52:M52"/>
    <mergeCell ref="N52:O52"/>
    <mergeCell ref="P52:Q52"/>
    <mergeCell ref="R52:S52"/>
    <mergeCell ref="T52:U52"/>
    <mergeCell ref="V56:W56"/>
    <mergeCell ref="D59:E59"/>
    <mergeCell ref="F59:G59"/>
    <mergeCell ref="H59:I59"/>
    <mergeCell ref="J59:K59"/>
    <mergeCell ref="D57:E57"/>
    <mergeCell ref="V54:W54"/>
    <mergeCell ref="D55:E55"/>
    <mergeCell ref="F55:G55"/>
    <mergeCell ref="H55:I55"/>
    <mergeCell ref="J55:K55"/>
    <mergeCell ref="L55:M55"/>
    <mergeCell ref="N55:O55"/>
    <mergeCell ref="P55:Q55"/>
    <mergeCell ref="R55:S55"/>
    <mergeCell ref="T55:U55"/>
    <mergeCell ref="V55:W55"/>
    <mergeCell ref="D54:E54"/>
    <mergeCell ref="F54:G54"/>
    <mergeCell ref="H54:I54"/>
    <mergeCell ref="J54:K54"/>
    <mergeCell ref="L54:M54"/>
    <mergeCell ref="N54:O54"/>
    <mergeCell ref="P54:Q54"/>
    <mergeCell ref="D56:E56"/>
    <mergeCell ref="F56:G56"/>
    <mergeCell ref="H56:I56"/>
    <mergeCell ref="J56:K56"/>
    <mergeCell ref="L56:M56"/>
    <mergeCell ref="N56:O56"/>
    <mergeCell ref="P56:Q56"/>
    <mergeCell ref="R56:S56"/>
    <mergeCell ref="T56:U56"/>
    <mergeCell ref="L57:M57"/>
    <mergeCell ref="N57:O57"/>
    <mergeCell ref="P57:Q57"/>
    <mergeCell ref="R57:S57"/>
    <mergeCell ref="T57:U57"/>
    <mergeCell ref="V58:W58"/>
    <mergeCell ref="D58:E58"/>
    <mergeCell ref="F58:G58"/>
    <mergeCell ref="H58:I58"/>
    <mergeCell ref="J58:K58"/>
    <mergeCell ref="L58:M58"/>
    <mergeCell ref="N58:O58"/>
    <mergeCell ref="P58:Q58"/>
    <mergeCell ref="R58:S58"/>
    <mergeCell ref="T58:U58"/>
    <mergeCell ref="V57:W57"/>
    <mergeCell ref="F57:G57"/>
    <mergeCell ref="H57:I57"/>
    <mergeCell ref="J57:K57"/>
    <mergeCell ref="R61:S61"/>
    <mergeCell ref="T61:U61"/>
    <mergeCell ref="V60:W60"/>
    <mergeCell ref="L59:M59"/>
    <mergeCell ref="N62:O62"/>
    <mergeCell ref="P62:Q62"/>
    <mergeCell ref="R62:S62"/>
    <mergeCell ref="T62:U62"/>
    <mergeCell ref="N60:O60"/>
    <mergeCell ref="P60:Q60"/>
    <mergeCell ref="R60:S60"/>
    <mergeCell ref="T60:U60"/>
    <mergeCell ref="N59:O59"/>
    <mergeCell ref="P59:Q59"/>
    <mergeCell ref="R59:S59"/>
    <mergeCell ref="T59:U59"/>
    <mergeCell ref="V59:W59"/>
    <mergeCell ref="R63:S63"/>
    <mergeCell ref="T63:U63"/>
    <mergeCell ref="V64:W64"/>
    <mergeCell ref="B66:X67"/>
    <mergeCell ref="D64:E64"/>
    <mergeCell ref="F64:G64"/>
    <mergeCell ref="H64:I64"/>
    <mergeCell ref="J64:K64"/>
    <mergeCell ref="L64:M64"/>
    <mergeCell ref="N64:O64"/>
    <mergeCell ref="P64:Q64"/>
    <mergeCell ref="R64:S64"/>
    <mergeCell ref="T64:U64"/>
  </mergeCells>
  <conditionalFormatting sqref="B9:B30 D9:X31 D41:W63 A1:A34 A65:A69 A71:A1048576 A36:A63">
    <cfRule type="containsErrors" dxfId="240" priority="76">
      <formula>ISERROR(A1)</formula>
    </cfRule>
  </conditionalFormatting>
  <conditionalFormatting sqref="D9:X9">
    <cfRule type="colorScale" priority="72">
      <colorScale>
        <cfvo type="min"/>
        <cfvo type="max"/>
        <color rgb="FFFCFCFF"/>
        <color rgb="FFF8696B"/>
      </colorScale>
    </cfRule>
  </conditionalFormatting>
  <conditionalFormatting sqref="D10:X10">
    <cfRule type="colorScale" priority="71">
      <colorScale>
        <cfvo type="min"/>
        <cfvo type="max"/>
        <color rgb="FFFCFCFF"/>
        <color rgb="FFF8696B"/>
      </colorScale>
    </cfRule>
  </conditionalFormatting>
  <conditionalFormatting sqref="D11:X11">
    <cfRule type="colorScale" priority="70">
      <colorScale>
        <cfvo type="min"/>
        <cfvo type="max"/>
        <color rgb="FFFCFCFF"/>
        <color rgb="FFF8696B"/>
      </colorScale>
    </cfRule>
  </conditionalFormatting>
  <conditionalFormatting sqref="D12:X12">
    <cfRule type="colorScale" priority="69">
      <colorScale>
        <cfvo type="min"/>
        <cfvo type="max"/>
        <color rgb="FFFCFCFF"/>
        <color rgb="FFF8696B"/>
      </colorScale>
    </cfRule>
  </conditionalFormatting>
  <conditionalFormatting sqref="D13:X13">
    <cfRule type="colorScale" priority="68">
      <colorScale>
        <cfvo type="min"/>
        <cfvo type="max"/>
        <color rgb="FFFCFCFF"/>
        <color rgb="FFF8696B"/>
      </colorScale>
    </cfRule>
  </conditionalFormatting>
  <conditionalFormatting sqref="D14:X14">
    <cfRule type="colorScale" priority="67">
      <colorScale>
        <cfvo type="min"/>
        <cfvo type="max"/>
        <color rgb="FFFCFCFF"/>
        <color rgb="FFF8696B"/>
      </colorScale>
    </cfRule>
  </conditionalFormatting>
  <conditionalFormatting sqref="D15:X15">
    <cfRule type="colorScale" priority="66">
      <colorScale>
        <cfvo type="min"/>
        <cfvo type="max"/>
        <color rgb="FFFCFCFF"/>
        <color rgb="FFF8696B"/>
      </colorScale>
    </cfRule>
  </conditionalFormatting>
  <conditionalFormatting sqref="D16:X16">
    <cfRule type="colorScale" priority="65">
      <colorScale>
        <cfvo type="min"/>
        <cfvo type="max"/>
        <color rgb="FFFCFCFF"/>
        <color rgb="FFF8696B"/>
      </colorScale>
    </cfRule>
  </conditionalFormatting>
  <conditionalFormatting sqref="D17:X17">
    <cfRule type="colorScale" priority="64">
      <colorScale>
        <cfvo type="min"/>
        <cfvo type="max"/>
        <color rgb="FFFCFCFF"/>
        <color rgb="FFF8696B"/>
      </colorScale>
    </cfRule>
  </conditionalFormatting>
  <conditionalFormatting sqref="D18:X20">
    <cfRule type="colorScale" priority="63">
      <colorScale>
        <cfvo type="min"/>
        <cfvo type="max"/>
        <color rgb="FFFCFCFF"/>
        <color rgb="FFF8696B"/>
      </colorScale>
    </cfRule>
  </conditionalFormatting>
  <conditionalFormatting sqref="D19:X19">
    <cfRule type="colorScale" priority="62">
      <colorScale>
        <cfvo type="min"/>
        <cfvo type="max"/>
        <color rgb="FFFCFCFF"/>
        <color rgb="FFF8696B"/>
      </colorScale>
    </cfRule>
  </conditionalFormatting>
  <conditionalFormatting sqref="D20:X21">
    <cfRule type="colorScale" priority="61">
      <colorScale>
        <cfvo type="min"/>
        <cfvo type="max"/>
        <color rgb="FFFCFCFF"/>
        <color rgb="FFF8696B"/>
      </colorScale>
    </cfRule>
  </conditionalFormatting>
  <conditionalFormatting sqref="D21:X21">
    <cfRule type="colorScale" priority="60">
      <colorScale>
        <cfvo type="min"/>
        <cfvo type="max"/>
        <color rgb="FFFCFCFF"/>
        <color rgb="FFF8696B"/>
      </colorScale>
    </cfRule>
  </conditionalFormatting>
  <conditionalFormatting sqref="D21:X22">
    <cfRule type="colorScale" priority="59">
      <colorScale>
        <cfvo type="min"/>
        <cfvo type="max"/>
        <color rgb="FFFCFCFF"/>
        <color rgb="FFF8696B"/>
      </colorScale>
    </cfRule>
  </conditionalFormatting>
  <conditionalFormatting sqref="D23:X23">
    <cfRule type="colorScale" priority="58">
      <colorScale>
        <cfvo type="min"/>
        <cfvo type="max"/>
        <color rgb="FFFCFCFF"/>
        <color rgb="FFF8696B"/>
      </colorScale>
    </cfRule>
  </conditionalFormatting>
  <conditionalFormatting sqref="D24:X27">
    <cfRule type="colorScale" priority="57">
      <colorScale>
        <cfvo type="min"/>
        <cfvo type="max"/>
        <color rgb="FFFCFCFF"/>
        <color rgb="FFF8696B"/>
      </colorScale>
    </cfRule>
  </conditionalFormatting>
  <conditionalFormatting sqref="D27:X27">
    <cfRule type="colorScale" priority="56">
      <colorScale>
        <cfvo type="min"/>
        <cfvo type="max"/>
        <color rgb="FFFCFCFF"/>
        <color rgb="FFF8696B"/>
      </colorScale>
    </cfRule>
  </conditionalFormatting>
  <conditionalFormatting sqref="D28:X30">
    <cfRule type="colorScale" priority="55">
      <colorScale>
        <cfvo type="min"/>
        <cfvo type="max"/>
        <color rgb="FFFCFCFF"/>
        <color rgb="FFF8696B"/>
      </colorScale>
    </cfRule>
  </conditionalFormatting>
  <conditionalFormatting sqref="D29:X30">
    <cfRule type="colorScale" priority="54">
      <colorScale>
        <cfvo type="min"/>
        <cfvo type="max"/>
        <color rgb="FFFCFCFF"/>
        <color rgb="FFF8696B"/>
      </colorScale>
    </cfRule>
  </conditionalFormatting>
  <conditionalFormatting sqref="D30:X30">
    <cfRule type="colorScale" priority="53">
      <colorScale>
        <cfvo type="min"/>
        <cfvo type="max"/>
        <color rgb="FFFCFCFF"/>
        <color rgb="FFF8696B"/>
      </colorScale>
    </cfRule>
  </conditionalFormatting>
  <conditionalFormatting sqref="D9:X31 D41:W63">
    <cfRule type="expression" dxfId="239" priority="51">
      <formula>$B9=$AC$4</formula>
    </cfRule>
  </conditionalFormatting>
  <conditionalFormatting sqref="D41:W41">
    <cfRule type="colorScale" priority="50">
      <colorScale>
        <cfvo type="min"/>
        <cfvo type="max"/>
        <color rgb="FFFCFCFF"/>
        <color rgb="FFF8696B"/>
      </colorScale>
    </cfRule>
  </conditionalFormatting>
  <conditionalFormatting sqref="D42:W42">
    <cfRule type="colorScale" priority="49">
      <colorScale>
        <cfvo type="min"/>
        <cfvo type="max"/>
        <color rgb="FFFCFCFF"/>
        <color rgb="FFF8696B"/>
      </colorScale>
    </cfRule>
  </conditionalFormatting>
  <conditionalFormatting sqref="D42:W43">
    <cfRule type="colorScale" priority="48">
      <colorScale>
        <cfvo type="min"/>
        <cfvo type="max"/>
        <color rgb="FFFCFCFF"/>
        <color rgb="FFF8696B"/>
      </colorScale>
    </cfRule>
  </conditionalFormatting>
  <conditionalFormatting sqref="D44:W44">
    <cfRule type="colorScale" priority="47">
      <colorScale>
        <cfvo type="min"/>
        <cfvo type="max"/>
        <color rgb="FFFCFCFF"/>
        <color rgb="FFF8696B"/>
      </colorScale>
    </cfRule>
  </conditionalFormatting>
  <conditionalFormatting sqref="D45:W45">
    <cfRule type="colorScale" priority="46">
      <colorScale>
        <cfvo type="min"/>
        <cfvo type="max"/>
        <color rgb="FFFCFCFF"/>
        <color rgb="FFF8696B"/>
      </colorScale>
    </cfRule>
  </conditionalFormatting>
  <conditionalFormatting sqref="D46:W46">
    <cfRule type="colorScale" priority="45">
      <colorScale>
        <cfvo type="min"/>
        <cfvo type="max"/>
        <color rgb="FFFCFCFF"/>
        <color rgb="FFF8696B"/>
      </colorScale>
    </cfRule>
  </conditionalFormatting>
  <conditionalFormatting sqref="D47:W47">
    <cfRule type="colorScale" priority="44">
      <colorScale>
        <cfvo type="min"/>
        <cfvo type="max"/>
        <color rgb="FFFCFCFF"/>
        <color rgb="FFF8696B"/>
      </colorScale>
    </cfRule>
  </conditionalFormatting>
  <conditionalFormatting sqref="D48:W48">
    <cfRule type="colorScale" priority="43">
      <colorScale>
        <cfvo type="min"/>
        <cfvo type="max"/>
        <color rgb="FFFCFCFF"/>
        <color rgb="FFF8696B"/>
      </colorScale>
    </cfRule>
  </conditionalFormatting>
  <conditionalFormatting sqref="D49:W49">
    <cfRule type="colorScale" priority="42">
      <colorScale>
        <cfvo type="min"/>
        <cfvo type="max"/>
        <color rgb="FFFCFCFF"/>
        <color rgb="FFF8696B"/>
      </colorScale>
    </cfRule>
  </conditionalFormatting>
  <conditionalFormatting sqref="D50:W50">
    <cfRule type="colorScale" priority="41">
      <colorScale>
        <cfvo type="min"/>
        <cfvo type="max"/>
        <color rgb="FFFCFCFF"/>
        <color rgb="FFF8696B"/>
      </colorScale>
    </cfRule>
  </conditionalFormatting>
  <conditionalFormatting sqref="D51:W51">
    <cfRule type="colorScale" priority="40">
      <colorScale>
        <cfvo type="min"/>
        <cfvo type="max"/>
        <color rgb="FFFCFCFF"/>
        <color rgb="FFF8696B"/>
      </colorScale>
    </cfRule>
  </conditionalFormatting>
  <conditionalFormatting sqref="D52:W52">
    <cfRule type="colorScale" priority="39">
      <colorScale>
        <cfvo type="min"/>
        <cfvo type="max"/>
        <color rgb="FFFCFCFF"/>
        <color rgb="FFF8696B"/>
      </colorScale>
    </cfRule>
  </conditionalFormatting>
  <conditionalFormatting sqref="D53:W53">
    <cfRule type="colorScale" priority="38">
      <colorScale>
        <cfvo type="min"/>
        <cfvo type="max"/>
        <color rgb="FFFCFCFF"/>
        <color rgb="FFF8696B"/>
      </colorScale>
    </cfRule>
  </conditionalFormatting>
  <conditionalFormatting sqref="D53:W54">
    <cfRule type="colorScale" priority="37">
      <colorScale>
        <cfvo type="min"/>
        <cfvo type="max"/>
        <color rgb="FFFCFCFF"/>
        <color rgb="FFF8696B"/>
      </colorScale>
    </cfRule>
  </conditionalFormatting>
  <conditionalFormatting sqref="D55:W56">
    <cfRule type="colorScale" priority="36">
      <colorScale>
        <cfvo type="min"/>
        <cfvo type="max"/>
        <color rgb="FFFCFCFF"/>
        <color rgb="FFF8696B"/>
      </colorScale>
    </cfRule>
  </conditionalFormatting>
  <conditionalFormatting sqref="D59:W59">
    <cfRule type="colorScale" priority="34">
      <colorScale>
        <cfvo type="min"/>
        <cfvo type="max"/>
        <color rgb="FFFCFCFF"/>
        <color rgb="FFF8696B"/>
      </colorScale>
    </cfRule>
  </conditionalFormatting>
  <conditionalFormatting sqref="D60:W61">
    <cfRule type="colorScale" priority="33">
      <colorScale>
        <cfvo type="min"/>
        <cfvo type="max"/>
        <color rgb="FFFCFCFF"/>
        <color rgb="FFF8696B"/>
      </colorScale>
    </cfRule>
  </conditionalFormatting>
  <conditionalFormatting sqref="D61:W61">
    <cfRule type="colorScale" priority="32">
      <colorScale>
        <cfvo type="min"/>
        <cfvo type="max"/>
        <color rgb="FFFCFCFF"/>
        <color rgb="FFF8696B"/>
      </colorScale>
    </cfRule>
  </conditionalFormatting>
  <conditionalFormatting sqref="D62:W62">
    <cfRule type="colorScale" priority="31">
      <colorScale>
        <cfvo type="min"/>
        <cfvo type="max"/>
        <color rgb="FFFCFCFF"/>
        <color rgb="FFF8696B"/>
      </colorScale>
    </cfRule>
  </conditionalFormatting>
  <conditionalFormatting sqref="D63:W63">
    <cfRule type="colorScale" priority="30">
      <colorScale>
        <cfvo type="min"/>
        <cfvo type="max"/>
        <color rgb="FFFCFCFF"/>
        <color rgb="FFF8696B"/>
      </colorScale>
    </cfRule>
  </conditionalFormatting>
  <conditionalFormatting sqref="B9:B31 B41:B63">
    <cfRule type="expression" dxfId="238" priority="75">
      <formula>$B9=$AC$4</formula>
    </cfRule>
  </conditionalFormatting>
  <conditionalFormatting sqref="D56:W58">
    <cfRule type="colorScale" priority="930">
      <colorScale>
        <cfvo type="min"/>
        <cfvo type="max"/>
        <color rgb="FFFCFCFF"/>
        <color rgb="FFF8696B"/>
      </colorScale>
    </cfRule>
  </conditionalFormatting>
  <conditionalFormatting sqref="D31:X31">
    <cfRule type="colorScale" priority="932">
      <colorScale>
        <cfvo type="min"/>
        <cfvo type="max"/>
        <color rgb="FFFCFCFF"/>
        <color rgb="FFF8696B"/>
      </colorScale>
    </cfRule>
  </conditionalFormatting>
  <conditionalFormatting sqref="D50:W50">
    <cfRule type="colorScale" priority="28">
      <colorScale>
        <cfvo type="min"/>
        <cfvo type="max"/>
        <color rgb="FFFCFCFF"/>
        <color rgb="FFF8696B"/>
      </colorScale>
    </cfRule>
  </conditionalFormatting>
  <conditionalFormatting sqref="D53:W53">
    <cfRule type="colorScale" priority="27">
      <colorScale>
        <cfvo type="min"/>
        <cfvo type="max"/>
        <color rgb="FFFCFCFF"/>
        <color rgb="FFF8696B"/>
      </colorScale>
    </cfRule>
  </conditionalFormatting>
  <conditionalFormatting sqref="D56:W56">
    <cfRule type="colorScale" priority="26">
      <colorScale>
        <cfvo type="min"/>
        <cfvo type="max"/>
        <color rgb="FFFCFCFF"/>
        <color rgb="FFF8696B"/>
      </colorScale>
    </cfRule>
  </conditionalFormatting>
  <conditionalFormatting sqref="D57:W57">
    <cfRule type="colorScale" priority="25">
      <colorScale>
        <cfvo type="min"/>
        <cfvo type="max"/>
        <color rgb="FFFCFCFF"/>
        <color rgb="FFF8696B"/>
      </colorScale>
    </cfRule>
  </conditionalFormatting>
  <conditionalFormatting sqref="D58:W58">
    <cfRule type="colorScale" priority="24">
      <colorScale>
        <cfvo type="min"/>
        <cfvo type="max"/>
        <color rgb="FFFCFCFF"/>
        <color rgb="FFF8696B"/>
      </colorScale>
    </cfRule>
  </conditionalFormatting>
  <conditionalFormatting sqref="D59:W59">
    <cfRule type="colorScale" priority="23">
      <colorScale>
        <cfvo type="min"/>
        <cfvo type="max"/>
        <color rgb="FFFCFCFF"/>
        <color rgb="FFF8696B"/>
      </colorScale>
    </cfRule>
  </conditionalFormatting>
  <conditionalFormatting sqref="D59:W59">
    <cfRule type="colorScale" priority="22">
      <colorScale>
        <cfvo type="min"/>
        <cfvo type="max"/>
        <color rgb="FFFCFCFF"/>
        <color rgb="FFF8696B"/>
      </colorScale>
    </cfRule>
  </conditionalFormatting>
  <conditionalFormatting sqref="D61:W61">
    <cfRule type="colorScale" priority="21">
      <colorScale>
        <cfvo type="min"/>
        <cfvo type="max"/>
        <color rgb="FFFCFCFF"/>
        <color rgb="FFF8696B"/>
      </colorScale>
    </cfRule>
  </conditionalFormatting>
  <conditionalFormatting sqref="D61:W61">
    <cfRule type="colorScale" priority="20">
      <colorScale>
        <cfvo type="min"/>
        <cfvo type="max"/>
        <color rgb="FFFCFCFF"/>
        <color rgb="FFF8696B"/>
      </colorScale>
    </cfRule>
  </conditionalFormatting>
  <conditionalFormatting sqref="D62:W62">
    <cfRule type="colorScale" priority="19">
      <colorScale>
        <cfvo type="min"/>
        <cfvo type="max"/>
        <color rgb="FFFCFCFF"/>
        <color rgb="FFF8696B"/>
      </colorScale>
    </cfRule>
  </conditionalFormatting>
  <conditionalFormatting sqref="D62:W62">
    <cfRule type="colorScale" priority="18">
      <colorScale>
        <cfvo type="min"/>
        <cfvo type="max"/>
        <color rgb="FFFCFCFF"/>
        <color rgb="FFF8696B"/>
      </colorScale>
    </cfRule>
  </conditionalFormatting>
  <conditionalFormatting sqref="D29:X30">
    <cfRule type="colorScale" priority="17">
      <colorScale>
        <cfvo type="min"/>
        <cfvo type="max"/>
        <color rgb="FFFCFCFF"/>
        <color rgb="FFF8696B"/>
      </colorScale>
    </cfRule>
  </conditionalFormatting>
  <conditionalFormatting sqref="A9:A30">
    <cfRule type="cellIs" dxfId="237" priority="16" operator="equal">
      <formula>0</formula>
    </cfRule>
  </conditionalFormatting>
  <conditionalFormatting sqref="A41:A62">
    <cfRule type="cellIs" dxfId="236" priority="15" operator="equal">
      <formula>0</formula>
    </cfRule>
  </conditionalFormatting>
  <conditionalFormatting sqref="D18:X18">
    <cfRule type="colorScale" priority="13">
      <colorScale>
        <cfvo type="min"/>
        <cfvo type="max"/>
        <color rgb="FFFCFCFF"/>
        <color rgb="FFF8696B"/>
      </colorScale>
    </cfRule>
  </conditionalFormatting>
  <conditionalFormatting sqref="D19:X19">
    <cfRule type="colorScale" priority="12">
      <colorScale>
        <cfvo type="min"/>
        <cfvo type="max"/>
        <color rgb="FFFCFCFF"/>
        <color rgb="FFF8696B"/>
      </colorScale>
    </cfRule>
  </conditionalFormatting>
  <conditionalFormatting sqref="D32:X32">
    <cfRule type="containsErrors" dxfId="235" priority="10">
      <formula>ISERROR(D32)</formula>
    </cfRule>
  </conditionalFormatting>
  <conditionalFormatting sqref="D32:X32">
    <cfRule type="expression" dxfId="234" priority="8">
      <formula>$B32=$AC$4</formula>
    </cfRule>
  </conditionalFormatting>
  <conditionalFormatting sqref="B32">
    <cfRule type="expression" dxfId="233" priority="9">
      <formula>$B32=$AC$4</formula>
    </cfRule>
  </conditionalFormatting>
  <conditionalFormatting sqref="D32:X32">
    <cfRule type="colorScale" priority="11">
      <colorScale>
        <cfvo type="min"/>
        <cfvo type="max"/>
        <color rgb="FFFCFCFF"/>
        <color rgb="FFF8696B"/>
      </colorScale>
    </cfRule>
  </conditionalFormatting>
  <conditionalFormatting sqref="A64">
    <cfRule type="containsErrors" dxfId="232" priority="7">
      <formula>ISERROR(A64)</formula>
    </cfRule>
  </conditionalFormatting>
  <conditionalFormatting sqref="D64:W64">
    <cfRule type="containsErrors" dxfId="231" priority="6">
      <formula>ISERROR(D64)</formula>
    </cfRule>
  </conditionalFormatting>
  <conditionalFormatting sqref="D64:W64">
    <cfRule type="expression" dxfId="230" priority="4">
      <formula>$B64=$AC$4</formula>
    </cfRule>
  </conditionalFormatting>
  <conditionalFormatting sqref="D64:W64">
    <cfRule type="colorScale" priority="3">
      <colorScale>
        <cfvo type="min"/>
        <cfvo type="max"/>
        <color rgb="FFFCFCFF"/>
        <color rgb="FFF8696B"/>
      </colorScale>
    </cfRule>
  </conditionalFormatting>
  <conditionalFormatting sqref="B64">
    <cfRule type="expression" dxfId="229" priority="5">
      <formula>$B64=$AC$4</formula>
    </cfRule>
  </conditionalFormatting>
  <conditionalFormatting sqref="A70">
    <cfRule type="containsErrors" dxfId="228" priority="2">
      <formula>ISERROR(A70)</formula>
    </cfRule>
  </conditionalFormatting>
  <conditionalFormatting sqref="A35">
    <cfRule type="containsErrors" dxfId="227" priority="1">
      <formula>ISERROR(A35)</formula>
    </cfRule>
  </conditionalFormatting>
  <dataValidations count="1">
    <dataValidation type="list" allowBlank="1" showInputMessage="1" showErrorMessage="1" sqref="V5">
      <formula1>$AB$5:$AB$7</formula1>
    </dataValidation>
  </dataValidations>
  <hyperlinks>
    <hyperlink ref="B104:B105" location="Coverage!A1" display="Participating LA's"/>
    <hyperlink ref="B106:B107" location="IDACI!A1" display="IDACI"/>
    <hyperlink ref="B136:B137" location="Adoption!A1" display="Adoption"/>
    <hyperlink ref="B134:B135" location="'Looked After Children'!A1" display="Looked After Children"/>
    <hyperlink ref="B132:B133" location="'Court Applications'!A1" display="Court Applications"/>
    <hyperlink ref="B130:B131" location="'Child Protection Plans'!A1" display="Child Protection Plans"/>
    <hyperlink ref="B128:B129" location="'Initial CP Conferences'!A1" display="Initial Child Protection Conferences"/>
    <hyperlink ref="B126:B127" location="'Section 47 Enquiries'!A1" display="Section 47 Enquiries"/>
    <hyperlink ref="B124:B125" location="'Children in Need'!A1" display="Children in Need"/>
    <hyperlink ref="B122:B123" location="Assessments!A1" display="Assessments"/>
    <hyperlink ref="B120:B121" location="'Re-referrals'!A1" display="Re-referrals"/>
    <hyperlink ref="B118:B119" location="Referral_Source!A1" display="Referral Source"/>
    <hyperlink ref="B116:B117" location="Referrals!A1" display="Referrals"/>
    <hyperlink ref="B108:B109" location="Population!A1" display="Population"/>
    <hyperlink ref="B106:G107" location="IDACI!A1" display="IDACI"/>
    <hyperlink ref="B110:B111" location="CAF_EHA!A1" display="CAF (EHA's)"/>
    <hyperlink ref="B114:B115" location="CAF_EHA!A1" display="CAF (EHA's)"/>
    <hyperlink ref="B112:B113" location="CAF_EHA!A1" display="CAF (EHA's)"/>
    <hyperlink ref="B110:F111" location="EH_Referrals!A1" display="Early Help Referrals"/>
    <hyperlink ref="B112:F113" location="EH_Assessments!A1" display="Early Help Assessments"/>
    <hyperlink ref="B114:F115" location="EH_Clients!A1" display="Early Help Clients"/>
    <hyperlink ref="B136:G137" location="Adoption!A1" display="Permanenc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1" manualBreakCount="1">
    <brk id="70" max="24" man="1"/>
  </rowBreaks>
  <ignoredErrors>
    <ignoredError sqref="A41:A62 A9:A30" evalError="1"/>
  </ignoredError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dimension ref="A1:AW308"/>
  <sheetViews>
    <sheetView showRowColHeaders="0" zoomScaleNormal="100" workbookViewId="0"/>
  </sheetViews>
  <sheetFormatPr defaultColWidth="9.140625" defaultRowHeight="11.25" customHeight="1" x14ac:dyDescent="0.2"/>
  <cols>
    <col min="1" max="1" width="2.140625" style="80" customWidth="1"/>
    <col min="2" max="2" width="17.140625" style="80" customWidth="1"/>
    <col min="3" max="3" width="1.42578125" style="80" customWidth="1"/>
    <col min="4" max="8" width="7.42578125" style="80" customWidth="1"/>
    <col min="9" max="9" width="7.7109375" style="80" customWidth="1"/>
    <col min="10" max="10" width="1.42578125" style="106" customWidth="1"/>
    <col min="11" max="15" width="7.42578125" style="80" customWidth="1"/>
    <col min="16" max="16" width="7.140625" style="80" customWidth="1"/>
    <col min="17" max="17" width="1.42578125" style="80" customWidth="1"/>
    <col min="18" max="18" width="7.140625" style="80" customWidth="1"/>
    <col min="19" max="19" width="8.140625" style="80" bestFit="1" customWidth="1"/>
    <col min="20" max="20" width="7.5703125" style="80" customWidth="1"/>
    <col min="21" max="21" width="2.140625" style="80" customWidth="1"/>
    <col min="22" max="22" width="6.42578125" style="87" customWidth="1"/>
    <col min="23" max="23" width="4.85546875" style="87" customWidth="1"/>
    <col min="24" max="24" width="17.85546875" style="88" hidden="1" customWidth="1"/>
    <col min="25" max="25" width="19.42578125" style="88" hidden="1" customWidth="1"/>
    <col min="26" max="26" width="19.85546875" style="88" hidden="1" customWidth="1"/>
    <col min="27" max="28" width="16.7109375" style="88" hidden="1" customWidth="1"/>
    <col min="29" max="30" width="8.5703125" style="88" hidden="1" customWidth="1"/>
    <col min="31" max="31" width="3.5703125" style="88" hidden="1" customWidth="1"/>
    <col min="32" max="32" width="17" style="88" hidden="1" customWidth="1"/>
    <col min="33" max="33" width="5.7109375" style="88" hidden="1" customWidth="1"/>
    <col min="34" max="34" width="4.85546875" style="88" hidden="1" customWidth="1"/>
    <col min="35" max="35" width="5.7109375" style="80" hidden="1" customWidth="1"/>
    <col min="36" max="36" width="31.5703125" style="80" customWidth="1"/>
    <col min="37" max="37" width="17" style="80" hidden="1" customWidth="1"/>
    <col min="38" max="42" width="13.7109375" style="80" hidden="1" customWidth="1"/>
    <col min="43" max="49" width="9.140625" style="80" hidden="1" customWidth="1"/>
    <col min="50" max="52" width="9.140625" style="80" customWidth="1"/>
    <col min="53" max="16384" width="9.140625" style="80"/>
  </cols>
  <sheetData>
    <row r="1" spans="1:44" ht="18.75" customHeight="1" x14ac:dyDescent="0.2">
      <c r="A1" s="129"/>
      <c r="B1" s="130"/>
      <c r="C1" s="130"/>
      <c r="D1" s="130"/>
      <c r="E1" s="130"/>
      <c r="F1" s="130"/>
      <c r="G1" s="130"/>
      <c r="H1" s="130"/>
      <c r="I1" s="130"/>
      <c r="J1" s="131"/>
      <c r="K1" s="130"/>
      <c r="L1" s="130"/>
      <c r="M1" s="130"/>
      <c r="N1" s="130"/>
      <c r="O1" s="130"/>
      <c r="P1" s="130"/>
      <c r="Q1" s="130"/>
      <c r="R1" s="130"/>
      <c r="S1" s="130"/>
      <c r="T1" s="130"/>
      <c r="U1" s="132"/>
      <c r="V1" s="306"/>
      <c r="W1" s="173"/>
      <c r="X1" s="206"/>
      <c r="Y1" s="206"/>
      <c r="Z1" s="206"/>
      <c r="AA1" s="206"/>
      <c r="AB1" s="206"/>
      <c r="AC1" s="206"/>
      <c r="AD1" s="206"/>
      <c r="AE1" s="206"/>
      <c r="AF1" s="206"/>
      <c r="AG1" s="206"/>
      <c r="AH1" s="206"/>
      <c r="AI1" s="207"/>
      <c r="AJ1" s="174"/>
    </row>
    <row r="2" spans="1:44" ht="18.75" customHeight="1" x14ac:dyDescent="0.2">
      <c r="A2" s="135"/>
      <c r="B2" s="145" t="s">
        <v>25</v>
      </c>
      <c r="C2" s="9"/>
      <c r="D2" s="9"/>
      <c r="E2" s="9"/>
      <c r="F2" s="9"/>
      <c r="G2" s="9"/>
      <c r="H2" s="9"/>
      <c r="I2" s="9"/>
      <c r="J2" s="13"/>
      <c r="K2" s="9"/>
      <c r="L2" s="9"/>
      <c r="M2" s="9"/>
      <c r="N2" s="9"/>
      <c r="O2" s="9"/>
      <c r="P2" s="9"/>
      <c r="Q2" s="9"/>
      <c r="R2" s="9"/>
      <c r="S2" s="9"/>
      <c r="T2" s="9"/>
      <c r="U2" s="134"/>
      <c r="V2" s="179"/>
      <c r="W2" s="168"/>
      <c r="AI2" s="210"/>
      <c r="AJ2" s="175"/>
    </row>
    <row r="3" spans="1:44" ht="18.75" customHeight="1" x14ac:dyDescent="0.2">
      <c r="A3" s="141"/>
      <c r="B3" s="142"/>
      <c r="C3" s="142"/>
      <c r="D3" s="142"/>
      <c r="E3" s="142"/>
      <c r="F3" s="142"/>
      <c r="G3" s="142"/>
      <c r="H3" s="142"/>
      <c r="I3" s="298"/>
      <c r="J3" s="143"/>
      <c r="K3" s="142"/>
      <c r="L3" s="142"/>
      <c r="M3" s="142"/>
      <c r="N3" s="142"/>
      <c r="O3" s="142"/>
      <c r="P3" s="142"/>
      <c r="Q3" s="142"/>
      <c r="R3" s="142"/>
      <c r="S3" s="298"/>
      <c r="T3" s="142"/>
      <c r="U3" s="144"/>
      <c r="V3" s="179"/>
      <c r="W3" s="168"/>
      <c r="AI3" s="210"/>
      <c r="AJ3" s="175"/>
    </row>
    <row r="4" spans="1:44" ht="11.25" customHeight="1" x14ac:dyDescent="0.2">
      <c r="A4" s="129"/>
      <c r="B4" s="130"/>
      <c r="C4" s="130"/>
      <c r="D4" s="130"/>
      <c r="E4" s="130"/>
      <c r="F4" s="130"/>
      <c r="G4" s="130"/>
      <c r="H4" s="130"/>
      <c r="I4" s="130"/>
      <c r="J4" s="131"/>
      <c r="K4" s="130"/>
      <c r="L4" s="130"/>
      <c r="M4" s="130"/>
      <c r="N4" s="130"/>
      <c r="O4" s="130"/>
      <c r="P4" s="130"/>
      <c r="Q4" s="130"/>
      <c r="R4" s="130"/>
      <c r="S4" s="130"/>
      <c r="T4" s="130"/>
      <c r="U4" s="132"/>
      <c r="V4" s="152"/>
      <c r="W4" s="168"/>
      <c r="X4" s="212" t="e">
        <f>VLOOKUP(Y4,$X$9:$Y$30,2,FALSE)</f>
        <v>#N/A</v>
      </c>
      <c r="Y4" s="212" t="str">
        <f>Home!$D$10</f>
        <v>(none)</v>
      </c>
      <c r="Z4" s="43" t="str">
        <f>"Selected LA- "&amp;Y4</f>
        <v>Selected LA- (none)</v>
      </c>
      <c r="AI4" s="210"/>
      <c r="AJ4" s="175"/>
    </row>
    <row r="5" spans="1:44" s="82" customFormat="1" ht="15" customHeight="1" x14ac:dyDescent="0.2">
      <c r="A5" s="136"/>
      <c r="B5" s="1013" t="s">
        <v>136</v>
      </c>
      <c r="C5" s="930"/>
      <c r="D5" s="930"/>
      <c r="E5" s="930"/>
      <c r="F5" s="930"/>
      <c r="G5" s="930"/>
      <c r="H5" s="930"/>
      <c r="I5" s="930"/>
      <c r="J5" s="930"/>
      <c r="K5" s="930"/>
      <c r="L5" s="930"/>
      <c r="M5" s="930"/>
      <c r="N5" s="930"/>
      <c r="O5" s="70"/>
      <c r="P5" s="70"/>
      <c r="Q5" s="70"/>
      <c r="R5" s="70"/>
      <c r="S5" s="70"/>
      <c r="T5" s="70"/>
      <c r="U5" s="137"/>
      <c r="V5" s="153"/>
      <c r="W5" s="169"/>
      <c r="X5" s="215"/>
      <c r="Y5" s="215"/>
      <c r="Z5" s="215"/>
      <c r="AA5" s="215"/>
      <c r="AB5" s="215"/>
      <c r="AC5" s="215"/>
      <c r="AD5" s="215"/>
      <c r="AE5" s="215"/>
      <c r="AF5" s="215"/>
      <c r="AG5" s="215"/>
      <c r="AH5" s="215"/>
      <c r="AI5" s="215"/>
      <c r="AJ5" s="176"/>
    </row>
    <row r="6" spans="1:44" ht="13.5" customHeight="1" x14ac:dyDescent="0.2">
      <c r="A6" s="135"/>
      <c r="B6" s="930"/>
      <c r="C6" s="930"/>
      <c r="D6" s="930"/>
      <c r="E6" s="930"/>
      <c r="F6" s="930"/>
      <c r="G6" s="930"/>
      <c r="H6" s="930"/>
      <c r="I6" s="930"/>
      <c r="J6" s="930"/>
      <c r="K6" s="930"/>
      <c r="L6" s="930"/>
      <c r="M6" s="930"/>
      <c r="N6" s="930"/>
      <c r="O6" s="70"/>
      <c r="P6" s="70"/>
      <c r="Q6" s="70"/>
      <c r="R6" s="70"/>
      <c r="S6" s="70"/>
      <c r="T6" s="70"/>
      <c r="U6" s="134"/>
      <c r="V6" s="152"/>
      <c r="W6" s="168"/>
      <c r="Y6" s="217"/>
      <c r="AI6" s="210"/>
      <c r="AJ6" s="175"/>
    </row>
    <row r="7" spans="1:44" s="101" customFormat="1" ht="21" customHeight="1" x14ac:dyDescent="0.2">
      <c r="A7" s="138"/>
      <c r="B7" s="1050" t="s">
        <v>215</v>
      </c>
      <c r="C7" s="97"/>
      <c r="D7" s="982" t="s">
        <v>88</v>
      </c>
      <c r="E7" s="1042"/>
      <c r="F7" s="1042"/>
      <c r="G7" s="1042"/>
      <c r="H7" s="1043"/>
      <c r="I7" s="1044" t="str">
        <f>"% Change "&amp;E8&amp;"-"&amp;RIGHT(H8,2)</f>
        <v>% Change 2015-18</v>
      </c>
      <c r="J7" s="115"/>
      <c r="K7" s="1046" t="s">
        <v>89</v>
      </c>
      <c r="L7" s="1047"/>
      <c r="M7" s="1047"/>
      <c r="N7" s="1047"/>
      <c r="O7" s="1047"/>
      <c r="P7" s="1048" t="str">
        <f>"SE Rank "&amp;O8</f>
        <v>SE Rank 2018</v>
      </c>
      <c r="Q7" s="70"/>
      <c r="R7" s="1039" t="str">
        <f>"Distance from Expected "&amp;H8</f>
        <v>Distance from Expected 2018</v>
      </c>
      <c r="S7" s="1040"/>
      <c r="T7" s="1041"/>
      <c r="U7" s="139"/>
      <c r="V7" s="154"/>
      <c r="W7" s="170"/>
      <c r="X7" s="232"/>
      <c r="Y7" s="232"/>
      <c r="Z7" s="233" t="s">
        <v>79</v>
      </c>
      <c r="AA7" s="217"/>
      <c r="AB7" s="217"/>
      <c r="AC7" s="226"/>
      <c r="AD7" s="226"/>
      <c r="AE7" s="217"/>
      <c r="AF7" s="234" t="s">
        <v>92</v>
      </c>
      <c r="AG7" s="217"/>
      <c r="AH7" s="217"/>
      <c r="AI7" s="232"/>
      <c r="AJ7" s="178"/>
    </row>
    <row r="8" spans="1:44" s="101" customFormat="1" ht="13.5" customHeight="1" x14ac:dyDescent="0.2">
      <c r="A8" s="138"/>
      <c r="B8" s="1051"/>
      <c r="C8" s="97"/>
      <c r="D8" s="393">
        <v>2014</v>
      </c>
      <c r="E8" s="393">
        <v>2015</v>
      </c>
      <c r="F8" s="393">
        <v>2016</v>
      </c>
      <c r="G8" s="393">
        <v>2017</v>
      </c>
      <c r="H8" s="394">
        <v>2018</v>
      </c>
      <c r="I8" s="1045"/>
      <c r="J8" s="115"/>
      <c r="K8" s="395">
        <f>D8</f>
        <v>2014</v>
      </c>
      <c r="L8" s="395">
        <f t="shared" ref="L8:O8" si="0">E8</f>
        <v>2015</v>
      </c>
      <c r="M8" s="395">
        <f t="shared" si="0"/>
        <v>2016</v>
      </c>
      <c r="N8" s="395">
        <f t="shared" si="0"/>
        <v>2017</v>
      </c>
      <c r="O8" s="395">
        <f t="shared" si="0"/>
        <v>2018</v>
      </c>
      <c r="P8" s="1049"/>
      <c r="Q8" s="70"/>
      <c r="R8" s="328" t="s">
        <v>78</v>
      </c>
      <c r="S8" s="375" t="s">
        <v>131</v>
      </c>
      <c r="T8" s="376" t="s">
        <v>132</v>
      </c>
      <c r="U8" s="139"/>
      <c r="V8" s="154"/>
      <c r="W8" s="170"/>
      <c r="X8" s="232"/>
      <c r="Y8" s="232"/>
      <c r="Z8" s="44">
        <f>K8</f>
        <v>2014</v>
      </c>
      <c r="AA8" s="44">
        <f>L8</f>
        <v>2015</v>
      </c>
      <c r="AB8" s="44">
        <f>M8</f>
        <v>2016</v>
      </c>
      <c r="AC8" s="44">
        <f>N8</f>
        <v>2017</v>
      </c>
      <c r="AD8" s="44">
        <f>O8</f>
        <v>2018</v>
      </c>
      <c r="AE8" s="217"/>
      <c r="AF8" s="217"/>
      <c r="AG8" s="217"/>
      <c r="AH8" s="217"/>
      <c r="AI8" s="232"/>
      <c r="AJ8" s="178"/>
    </row>
    <row r="9" spans="1:44" s="101" customFormat="1" ht="13.5" customHeight="1" x14ac:dyDescent="0.2">
      <c r="A9" s="533">
        <f>VLOOKUP(B9,Sheet1!$B$4:$C$25,2,FALSE)</f>
        <v>0</v>
      </c>
      <c r="B9" s="112" t="s">
        <v>0</v>
      </c>
      <c r="C9" s="97"/>
      <c r="D9" s="113">
        <f>IF(Year1_Bracknell_Forest Year1_ReReferrals="","",Year1_Bracknell_Forest Year1_ReReferrals)</f>
        <v>240</v>
      </c>
      <c r="E9" s="113">
        <f>IF(Year2_Bracknell_Forest Year2_ReReferrals="","",Year2_Bracknell_Forest Year2_ReReferrals)</f>
        <v>217.00000000000003</v>
      </c>
      <c r="F9" s="113">
        <f>IF(Year3_Bracknell_Forest Year3_ReReferrals="","",Year3_Bracknell_Forest Year3_ReReferrals)</f>
        <v>224.99999999999991</v>
      </c>
      <c r="G9" s="113">
        <f>IF(Year4_Bracknell_Forest Year4_ReReferrals="","",Year4_Bracknell_Forest Year4_ReReferrals)</f>
        <v>387</v>
      </c>
      <c r="H9" s="114">
        <f>IF(Year5_Bracknell_Forest Year5_ReReferrals="","",Year5_Bracknell_Forest Year5_ReReferrals)</f>
        <v>428</v>
      </c>
      <c r="I9" s="392">
        <f>IF(ISNUMBER(H9),(H9-E9)/E9,"")</f>
        <v>0.97235023041474633</v>
      </c>
      <c r="J9" s="115"/>
      <c r="K9" s="116">
        <f>IF(ISNUMBER(D9),D9/Population!C8*10000,NA())</f>
        <v>88.560885608856083</v>
      </c>
      <c r="L9" s="116">
        <f>IF(ISNUMBER(E9),E9/Population!D8*10000,NA())</f>
        <v>78.057553956834539</v>
      </c>
      <c r="M9" s="116">
        <f>IF(ISNUMBER(F9),F9/Population!E8*10000,NA())</f>
        <v>79.787234042553166</v>
      </c>
      <c r="N9" s="116">
        <f>IF(ISNUMBER(G9),G9/Population!F8*10000,NA())</f>
        <v>137.36068715837297</v>
      </c>
      <c r="O9" s="117">
        <f>IF(ISNUMBER(H9),H9/Population!G8*10000,NA())</f>
        <v>152.47052117844038</v>
      </c>
      <c r="P9" s="397">
        <f>IF(ISNA(VLOOKUP(B9,$AF$9:$AH$27,3,FALSE)),"--",IF(ISNUMBER(H9),VLOOKUP(B9,$AF$9:$AH$27,3,FALSE),NA()))</f>
        <v>13</v>
      </c>
      <c r="Q9" s="70"/>
      <c r="R9" s="387">
        <f>IDACI!C9</f>
        <v>11</v>
      </c>
      <c r="S9" s="388">
        <f>(R9*$Y$68)+$Z$68</f>
        <v>98.574791999999988</v>
      </c>
      <c r="T9" s="389">
        <f>O9-S9</f>
        <v>53.895729178440391</v>
      </c>
      <c r="U9" s="139"/>
      <c r="V9" s="154"/>
      <c r="W9" s="170"/>
      <c r="X9" s="72" t="str">
        <f t="shared" ref="X9:X32" si="1">B9</f>
        <v>Bracknell Forest</v>
      </c>
      <c r="Y9" s="235">
        <v>1</v>
      </c>
      <c r="Z9" s="236">
        <f>IF(D9&gt;0,Population!C8,"")</f>
        <v>27100</v>
      </c>
      <c r="AA9" s="236">
        <f>IF(E9&gt;0,Population!D8,"")</f>
        <v>27800</v>
      </c>
      <c r="AB9" s="236">
        <f>IF(F9&gt;0,Population!E8,"")</f>
        <v>28200</v>
      </c>
      <c r="AC9" s="236">
        <f>IF(G9&gt;0,Population!F8,"")</f>
        <v>28174</v>
      </c>
      <c r="AD9" s="236">
        <f>IF(H9&gt;0,Population!G8,"")</f>
        <v>28071</v>
      </c>
      <c r="AE9" s="217"/>
      <c r="AF9" s="112" t="str">
        <f>B9</f>
        <v>Bracknell Forest</v>
      </c>
      <c r="AG9" s="262">
        <f>IFERROR(VLOOKUP(AF9,$B$9:$O$30,14,FALSE),"")</f>
        <v>152.47052117844038</v>
      </c>
      <c r="AH9" s="237">
        <f>RANK(AG9,$AG$9:$AG$27,1)</f>
        <v>13</v>
      </c>
      <c r="AI9" s="232"/>
      <c r="AJ9" s="178"/>
    </row>
    <row r="10" spans="1:44" s="101" customFormat="1" ht="13.5" customHeight="1" x14ac:dyDescent="0.2">
      <c r="A10" s="533">
        <f>VLOOKUP(B10,Sheet1!$B$4:$C$25,2,FALSE)</f>
        <v>0</v>
      </c>
      <c r="B10" s="112" t="s">
        <v>32</v>
      </c>
      <c r="C10" s="97"/>
      <c r="D10" s="113">
        <f>IF(Year1_Brighton_Hove Year1_ReReferrals="","",Year1_Brighton_Hove Year1_ReReferrals)</f>
        <v>1396</v>
      </c>
      <c r="E10" s="113">
        <f>IF(Year2_Brighton_Hove Year2_ReReferrals="","",Year2_Brighton_Hove Year2_ReReferrals)</f>
        <v>2648.9999999999991</v>
      </c>
      <c r="F10" s="113">
        <f>IF(Year3_Brighton_Hove Year3_ReReferrals="","",Year3_Brighton_Hove Year3_ReReferrals)</f>
        <v>1101.0000000000007</v>
      </c>
      <c r="G10" s="113">
        <f>IF(Year4_Brighton_Hove Year4_ReReferrals="","",Year4_Brighton_Hove Year4_ReReferrals)</f>
        <v>841</v>
      </c>
      <c r="H10" s="114">
        <f>IF(Year5_Brighton_Hove Year5_ReReferrals="","",Year5_Brighton_Hove Year5_ReReferrals)</f>
        <v>947</v>
      </c>
      <c r="I10" s="392">
        <f>IF(ISNUMBER(H10),(H10-E10)/E10,"")</f>
        <v>-0.64250660626651557</v>
      </c>
      <c r="J10" s="115"/>
      <c r="K10" s="116">
        <f>IF(ISNUMBER(D10),D10/Population!C9*10000,NA())</f>
        <v>276.43564356435644</v>
      </c>
      <c r="L10" s="116">
        <f>IF(ISNUMBER(E10),E10/Population!D9*10000,NA())</f>
        <v>519.41176470588221</v>
      </c>
      <c r="M10" s="116">
        <f>IF(ISNUMBER(F10),F10/Population!E9*10000,NA())</f>
        <v>215.03906250000014</v>
      </c>
      <c r="N10" s="116">
        <f>IF(ISNUMBER(G10),G10/Population!F9*10000,NA())</f>
        <v>163.9983619664203</v>
      </c>
      <c r="O10" s="117">
        <f>IF(ISNUMBER(H10),H10/Population!G9*10000,NA())</f>
        <v>185.75547753084481</v>
      </c>
      <c r="P10" s="397">
        <f t="shared" ref="P10:P32" si="2">IF(ISNA(VLOOKUP(B10,$AF$9:$AH$27,3,FALSE)),"--",IF(ISNUMBER(H10),VLOOKUP(B10,$AF$9:$AH$27,3,FALSE),NA()))</f>
        <v>17</v>
      </c>
      <c r="Q10" s="70"/>
      <c r="R10" s="387">
        <f>IDACI!C10</f>
        <v>18.3</v>
      </c>
      <c r="S10" s="388">
        <f t="shared" ref="S10:S32" si="3">(R10*$Y$68)+$Z$68</f>
        <v>112.69388259999999</v>
      </c>
      <c r="T10" s="389">
        <f t="shared" ref="T10:T32" si="4">O10-S10</f>
        <v>73.061594930844819</v>
      </c>
      <c r="U10" s="139"/>
      <c r="V10" s="154"/>
      <c r="W10" s="170"/>
      <c r="X10" s="72" t="str">
        <f t="shared" si="1"/>
        <v>Brighton &amp; Hove</v>
      </c>
      <c r="Y10" s="235">
        <v>2</v>
      </c>
      <c r="Z10" s="236">
        <f>IF(D10&gt;0,Population!C9,"")</f>
        <v>50500</v>
      </c>
      <c r="AA10" s="236">
        <f>IF(E10&gt;0,Population!D9,"")</f>
        <v>51000</v>
      </c>
      <c r="AB10" s="236">
        <f>IF(F10&gt;0,Population!E9,"")</f>
        <v>51200</v>
      </c>
      <c r="AC10" s="236">
        <f>IF(G10&gt;0,Population!F9,"")</f>
        <v>51281</v>
      </c>
      <c r="AD10" s="236">
        <f>IF(H10&gt;0,Population!G9,"")</f>
        <v>50981</v>
      </c>
      <c r="AE10" s="217"/>
      <c r="AF10" s="112" t="s">
        <v>32</v>
      </c>
      <c r="AG10" s="262">
        <f t="shared" ref="AG10:AG27" si="5">IFERROR(VLOOKUP(AF10,$B$9:$O$30,14,FALSE),"")</f>
        <v>185.75547753084481</v>
      </c>
      <c r="AH10" s="237">
        <f t="shared" ref="AH10:AH27" si="6">RANK(AG10,$AG$9:$AG$27,1)</f>
        <v>17</v>
      </c>
      <c r="AI10" s="232"/>
      <c r="AJ10" s="178"/>
    </row>
    <row r="11" spans="1:44" s="101" customFormat="1" ht="13.5" customHeight="1" x14ac:dyDescent="0.2">
      <c r="A11" s="533">
        <f>VLOOKUP(B11,Sheet1!$B$4:$C$25,2,FALSE)</f>
        <v>0</v>
      </c>
      <c r="B11" s="112" t="s">
        <v>9</v>
      </c>
      <c r="C11" s="97"/>
      <c r="D11" s="113">
        <f>IF(Year1_Buckinghamshire Year1_ReReferrals="","",Year1_Buckinghamshire Year1_ReReferrals)</f>
        <v>2534</v>
      </c>
      <c r="E11" s="113">
        <f>IF(Year2_Buckinghamshire Year2_ReReferrals="","",Year2_Buckinghamshire Year2_ReReferrals)</f>
        <v>1397.9999999999991</v>
      </c>
      <c r="F11" s="113">
        <f>IF(Year3_Buckinghamshire Year3_ReReferrals="","",Year3_Buckinghamshire Year3_ReReferrals)</f>
        <v>1840.9999999999973</v>
      </c>
      <c r="G11" s="113">
        <f>IF(Year4_Buckinghamshire Year4_ReReferrals="","",Year4_Buckinghamshire Year4_ReReferrals)</f>
        <v>3029</v>
      </c>
      <c r="H11" s="114">
        <f>IF(Year5_Buckinghamshire Year5_ReReferrals="","",Year5_Buckinghamshire Year5_ReReferrals)</f>
        <v>3217</v>
      </c>
      <c r="I11" s="392">
        <f t="shared" ref="I11:I32" si="7">IF(ISNUMBER(H11),(H11-E11)/E11,"")</f>
        <v>1.3011444921316182</v>
      </c>
      <c r="J11" s="115"/>
      <c r="K11" s="116">
        <f>IF(ISNUMBER(D11),D11/Population!C10*10000,NA())</f>
        <v>215.47619047619048</v>
      </c>
      <c r="L11" s="116">
        <f>IF(ISNUMBER(E11),E11/Population!D10*10000,NA())</f>
        <v>117.57779646761976</v>
      </c>
      <c r="M11" s="116">
        <f>IF(ISNUMBER(F11),F11/Population!E10*10000,NA())</f>
        <v>152.65339966832482</v>
      </c>
      <c r="N11" s="116">
        <f>IF(ISNUMBER(G11),G11/Population!F10*10000,NA())</f>
        <v>247.86219876437133</v>
      </c>
      <c r="O11" s="117">
        <f>IF(ISNUMBER(H11),H11/Population!G10*10000,NA())</f>
        <v>261.385334145846</v>
      </c>
      <c r="P11" s="397">
        <f t="shared" si="2"/>
        <v>18</v>
      </c>
      <c r="Q11" s="70"/>
      <c r="R11" s="387">
        <f>IDACI!C11</f>
        <v>9.8000000000000007</v>
      </c>
      <c r="S11" s="388">
        <f t="shared" si="3"/>
        <v>96.253845599999991</v>
      </c>
      <c r="T11" s="389">
        <f t="shared" si="4"/>
        <v>165.13148854584603</v>
      </c>
      <c r="U11" s="139"/>
      <c r="V11" s="154"/>
      <c r="W11" s="170"/>
      <c r="X11" s="72" t="str">
        <f t="shared" si="1"/>
        <v>Buckinghamshire</v>
      </c>
      <c r="Y11" s="235">
        <v>3</v>
      </c>
      <c r="Z11" s="236">
        <f>IF(D11&gt;0,Population!C10,"")</f>
        <v>117600</v>
      </c>
      <c r="AA11" s="236">
        <f>IF(E11&gt;0,Population!D10,"")</f>
        <v>118900</v>
      </c>
      <c r="AB11" s="236">
        <f>IF(F11&gt;0,Population!E10,"")</f>
        <v>120600</v>
      </c>
      <c r="AC11" s="236">
        <f>IF(G11&gt;0,Population!F10,"")</f>
        <v>122205</v>
      </c>
      <c r="AD11" s="236">
        <f>IF(H11&gt;0,Population!G10,"")</f>
        <v>123075</v>
      </c>
      <c r="AE11" s="217"/>
      <c r="AF11" s="112" t="s">
        <v>9</v>
      </c>
      <c r="AG11" s="262">
        <f t="shared" si="5"/>
        <v>261.385334145846</v>
      </c>
      <c r="AH11" s="237">
        <f t="shared" si="6"/>
        <v>18</v>
      </c>
      <c r="AI11" s="232"/>
      <c r="AJ11" s="178"/>
    </row>
    <row r="12" spans="1:44" s="101" customFormat="1" ht="13.5" customHeight="1" x14ac:dyDescent="0.2">
      <c r="A12" s="533">
        <f>VLOOKUP(B12,Sheet1!$B$4:$C$25,2,FALSE)</f>
        <v>0</v>
      </c>
      <c r="B12" s="112" t="s">
        <v>4</v>
      </c>
      <c r="C12" s="97"/>
      <c r="D12" s="113">
        <f>IF(Year1_East_Sussex Year1_ReReferrals="","",Year1_East_Sussex Year1_ReReferrals)</f>
        <v>2280</v>
      </c>
      <c r="E12" s="118">
        <f>IF(Year2_East_Sussex Year2_ReReferrals="","",Year2_East_Sussex Year2_ReReferrals)</f>
        <v>939.99999999999989</v>
      </c>
      <c r="F12" s="113">
        <f>IF(Year3_East_Sussex Year3_ReReferrals="","",Year3_East_Sussex Year3_ReReferrals)</f>
        <v>465.00000000000011</v>
      </c>
      <c r="G12" s="113">
        <f>IF(Year4_East_Sussex Year4_ReReferrals="","",Year4_East_Sussex Year4_ReReferrals)</f>
        <v>547</v>
      </c>
      <c r="H12" s="114">
        <f>IF(Year5_East_Sussex Year5_ReReferrals="","",Year5_East_Sussex Year5_ReReferrals)</f>
        <v>772</v>
      </c>
      <c r="I12" s="392">
        <f t="shared" si="7"/>
        <v>-0.17872340425531905</v>
      </c>
      <c r="J12" s="115"/>
      <c r="K12" s="116">
        <f>IF(ISNUMBER(D12),D12/Population!C11*10000,NA())</f>
        <v>217.55725190839695</v>
      </c>
      <c r="L12" s="116">
        <f>IF(ISNUMBER(E12),E12/Population!D11*10000,NA())</f>
        <v>89.184060721062608</v>
      </c>
      <c r="M12" s="116">
        <f>IF(ISNUMBER(F12),F12/Population!E11*10000,NA())</f>
        <v>43.909348441926362</v>
      </c>
      <c r="N12" s="116">
        <f>IF(ISNUMBER(G12),G12/Population!F11*10000,NA())</f>
        <v>51.64128659497937</v>
      </c>
      <c r="O12" s="117">
        <f>IF(ISNUMBER(H12),H12/Population!G11*10000,NA())</f>
        <v>72.79928332311755</v>
      </c>
      <c r="P12" s="397">
        <f t="shared" si="2"/>
        <v>5</v>
      </c>
      <c r="Q12" s="70"/>
      <c r="R12" s="387">
        <f>IDACI!C12</f>
        <v>17.399999999999999</v>
      </c>
      <c r="S12" s="388">
        <f t="shared" si="3"/>
        <v>110.95317279999999</v>
      </c>
      <c r="T12" s="389">
        <f t="shared" si="4"/>
        <v>-38.153889476882441</v>
      </c>
      <c r="U12" s="139"/>
      <c r="V12" s="154"/>
      <c r="W12" s="170"/>
      <c r="X12" s="72" t="str">
        <f t="shared" si="1"/>
        <v>East Sussex</v>
      </c>
      <c r="Y12" s="235">
        <v>4</v>
      </c>
      <c r="Z12" s="236">
        <f>IF(D12&gt;0,Population!C11,"")</f>
        <v>104800</v>
      </c>
      <c r="AA12" s="236">
        <f>IF(E12&gt;0,Population!D11,"")</f>
        <v>105400</v>
      </c>
      <c r="AB12" s="236">
        <f>IF(F12&gt;0,Population!E11,"")</f>
        <v>105900</v>
      </c>
      <c r="AC12" s="236">
        <f>IF(G12&gt;0,Population!F11,"")</f>
        <v>105923</v>
      </c>
      <c r="AD12" s="236">
        <f>IF(H12&gt;0,Population!G11,"")</f>
        <v>106045</v>
      </c>
      <c r="AE12" s="217"/>
      <c r="AF12" s="112" t="s">
        <v>4</v>
      </c>
      <c r="AG12" s="262">
        <f t="shared" si="5"/>
        <v>72.79928332311755</v>
      </c>
      <c r="AH12" s="237">
        <f t="shared" si="6"/>
        <v>5</v>
      </c>
      <c r="AI12" s="232"/>
      <c r="AJ12" s="178"/>
    </row>
    <row r="13" spans="1:44" s="101" customFormat="1" ht="13.5" customHeight="1" x14ac:dyDescent="0.2">
      <c r="A13" s="533">
        <f>VLOOKUP(B13,Sheet1!$B$4:$C$25,2,FALSE)</f>
        <v>0</v>
      </c>
      <c r="B13" s="112" t="s">
        <v>6</v>
      </c>
      <c r="C13" s="97"/>
      <c r="D13" s="113">
        <f>IF(Year1_Hampshire Year1_ReReferrals="","",Year1_Hampshire Year1_ReReferrals)</f>
        <v>4517</v>
      </c>
      <c r="E13" s="113">
        <f>IF(Year2_Hampshire Year2_ReReferrals="","",Year2_Hampshire Year2_ReReferrals)</f>
        <v>5324.9999999999991</v>
      </c>
      <c r="F13" s="119">
        <f>IF(Year3_Hampshire Year3_ReReferrals="","",Year3_Hampshire Year3_ReReferrals)</f>
        <v>4695</v>
      </c>
      <c r="G13" s="119">
        <f>IF(Year4_Hampshire Year4_ReReferrals="","",Year4_Hampshire Year4_ReReferrals)</f>
        <v>5966</v>
      </c>
      <c r="H13" s="114">
        <f>IF(Year5_Hampshire Year5_ReReferrals="","",Year5_Hampshire Year5_ReReferrals)</f>
        <v>4772</v>
      </c>
      <c r="I13" s="392">
        <f t="shared" si="7"/>
        <v>-0.10384976525821581</v>
      </c>
      <c r="J13" s="115"/>
      <c r="K13" s="116">
        <f>IF(ISNUMBER(D13),D13/Population!C12*10000,NA())</f>
        <v>160.23412557644556</v>
      </c>
      <c r="L13" s="116">
        <f>IF(ISNUMBER(E13),E13/Population!D12*10000,NA())</f>
        <v>189.16518650088807</v>
      </c>
      <c r="M13" s="116">
        <f>IF(ISNUMBER(F13),F13/Population!E12*10000,NA())</f>
        <v>166.54842142603761</v>
      </c>
      <c r="N13" s="116">
        <f>IF(ISNUMBER(G13),G13/Population!F12*10000,NA())</f>
        <v>210.96852445799195</v>
      </c>
      <c r="O13" s="117">
        <f>IF(ISNUMBER(H13),H13/Population!G12*10000,NA())</f>
        <v>168.43502262507326</v>
      </c>
      <c r="P13" s="397">
        <f t="shared" si="2"/>
        <v>16</v>
      </c>
      <c r="Q13" s="70"/>
      <c r="R13" s="387">
        <f>IDACI!C13</f>
        <v>11.799999999999999</v>
      </c>
      <c r="S13" s="388">
        <f t="shared" si="3"/>
        <v>100.12208959999998</v>
      </c>
      <c r="T13" s="389">
        <f t="shared" si="4"/>
        <v>68.312933025073278</v>
      </c>
      <c r="U13" s="139"/>
      <c r="V13" s="154"/>
      <c r="W13" s="170"/>
      <c r="X13" s="72" t="str">
        <f t="shared" si="1"/>
        <v>Hampshire</v>
      </c>
      <c r="Y13" s="235">
        <v>5</v>
      </c>
      <c r="Z13" s="236">
        <f>IF(D13&gt;0,Population!C12,"")</f>
        <v>281900</v>
      </c>
      <c r="AA13" s="236">
        <f>IF(E13&gt;0,Population!D12,"")</f>
        <v>281500</v>
      </c>
      <c r="AB13" s="236">
        <f>IF(F13&gt;0,Population!E12,"")</f>
        <v>281900</v>
      </c>
      <c r="AC13" s="236">
        <f>IF(G13&gt;0,Population!F12,"")</f>
        <v>282791</v>
      </c>
      <c r="AD13" s="236">
        <f>IF(H13&gt;0,Population!G12,"")</f>
        <v>283314</v>
      </c>
      <c r="AE13" s="217"/>
      <c r="AF13" s="112" t="s">
        <v>6</v>
      </c>
      <c r="AG13" s="262">
        <f t="shared" si="5"/>
        <v>168.43502262507326</v>
      </c>
      <c r="AH13" s="237">
        <f t="shared" si="6"/>
        <v>16</v>
      </c>
      <c r="AI13" s="232"/>
      <c r="AJ13" s="178"/>
    </row>
    <row r="14" spans="1:44" s="101" customFormat="1" ht="13.5" customHeight="1" x14ac:dyDescent="0.2">
      <c r="A14" s="533">
        <f>VLOOKUP(B14,Sheet1!$B$4:$C$25,2,FALSE)</f>
        <v>0</v>
      </c>
      <c r="B14" s="112" t="s">
        <v>1</v>
      </c>
      <c r="C14" s="97"/>
      <c r="D14" s="113">
        <f>IF(Year1_Isle_of_Wight Year1_ReReferrals="","",Year1_Isle_of_Wight Year1_ReReferrals)</f>
        <v>675</v>
      </c>
      <c r="E14" s="113">
        <f>IF(Year2_Isle_of_Wight Year2_ReReferrals="","",Year2_Isle_of_Wight Year2_ReReferrals)</f>
        <v>820.99999999999977</v>
      </c>
      <c r="F14" s="113">
        <f>IF(Year3_Isle_of_Wight Year3_ReReferrals="","",Year3_Isle_of_Wight Year3_ReReferrals)</f>
        <v>786</v>
      </c>
      <c r="G14" s="113">
        <f>IF(Year4_Isle_of_Wight Year4_ReReferrals="","",Year4_Isle_of_Wight Year4_ReReferrals)</f>
        <v>792</v>
      </c>
      <c r="H14" s="114">
        <f>IF(Year5_Isle_of_Wight Year5_ReReferrals="","",Year5_Isle_of_Wight Year5_ReReferrals)</f>
        <v>679</v>
      </c>
      <c r="I14" s="392">
        <f t="shared" si="7"/>
        <v>-0.17295980511571232</v>
      </c>
      <c r="J14" s="115"/>
      <c r="K14" s="116">
        <f>IF(ISNUMBER(D14),D14/Population!C13*10000,NA())</f>
        <v>261.62790697674421</v>
      </c>
      <c r="L14" s="116">
        <f>IF(ISNUMBER(E14),E14/Population!D13*10000,NA())</f>
        <v>321.96078431372536</v>
      </c>
      <c r="M14" s="116">
        <f>IF(ISNUMBER(F14),F14/Population!E13*10000,NA())</f>
        <v>310.67193675889325</v>
      </c>
      <c r="N14" s="116">
        <f>IF(ISNUMBER(G14),G14/Population!F13*10000,NA())</f>
        <v>314.28571428571433</v>
      </c>
      <c r="O14" s="117">
        <f>IF(ISNUMBER(H14),H14/Population!G13*10000,NA())</f>
        <v>271.00379165835164</v>
      </c>
      <c r="P14" s="397">
        <f t="shared" si="2"/>
        <v>19</v>
      </c>
      <c r="Q14" s="70"/>
      <c r="R14" s="387">
        <f>IDACI!C14</f>
        <v>20.399999999999999</v>
      </c>
      <c r="S14" s="388">
        <f t="shared" si="3"/>
        <v>116.75553879999998</v>
      </c>
      <c r="T14" s="389">
        <f t="shared" si="4"/>
        <v>154.24825285835166</v>
      </c>
      <c r="U14" s="139"/>
      <c r="V14" s="154"/>
      <c r="W14" s="170"/>
      <c r="X14" s="72" t="str">
        <f t="shared" si="1"/>
        <v>Isle of Wight</v>
      </c>
      <c r="Y14" s="235">
        <v>6</v>
      </c>
      <c r="Z14" s="236">
        <f>IF(D14&gt;0,Population!C13,"")</f>
        <v>25800</v>
      </c>
      <c r="AA14" s="236">
        <f>IF(E14&gt;0,Population!D13,"")</f>
        <v>25500</v>
      </c>
      <c r="AB14" s="236">
        <f>IF(F14&gt;0,Population!E13,"")</f>
        <v>25300</v>
      </c>
      <c r="AC14" s="236">
        <f>IF(G14&gt;0,Population!F13,"")</f>
        <v>25200</v>
      </c>
      <c r="AD14" s="236">
        <f>IF(H14&gt;0,Population!G13,"")</f>
        <v>25055</v>
      </c>
      <c r="AE14" s="217"/>
      <c r="AF14" s="112" t="s">
        <v>1</v>
      </c>
      <c r="AG14" s="262">
        <f t="shared" si="5"/>
        <v>271.00379165835164</v>
      </c>
      <c r="AH14" s="237">
        <f t="shared" si="6"/>
        <v>19</v>
      </c>
      <c r="AI14" s="232"/>
      <c r="AJ14" s="178"/>
      <c r="AR14" s="101" t="s">
        <v>104</v>
      </c>
    </row>
    <row r="15" spans="1:44" s="101" customFormat="1" ht="13.5" customHeight="1" x14ac:dyDescent="0.2">
      <c r="A15" s="533">
        <f>VLOOKUP(B15,Sheet1!$B$4:$C$25,2,FALSE)</f>
        <v>0</v>
      </c>
      <c r="B15" s="112" t="s">
        <v>10</v>
      </c>
      <c r="C15" s="97"/>
      <c r="D15" s="113">
        <f>IF(Year1_Kent Year1_ReReferrals="","",Year1_Kent Year1_ReReferrals)</f>
        <v>5072</v>
      </c>
      <c r="E15" s="113">
        <f>IF(Year2_Kent Year2_ReReferrals="","",Year2_Kent Year2_ReReferrals)</f>
        <v>4683</v>
      </c>
      <c r="F15" s="113">
        <f>IF(Year3_Kent Year3_ReReferrals="","",Year3_Kent Year3_ReReferrals)</f>
        <v>3197.0000000000027</v>
      </c>
      <c r="G15" s="113">
        <f>IF(Year4_Kent Year4_ReReferrals="","",Year4_Kent Year4_ReReferrals)</f>
        <v>3636</v>
      </c>
      <c r="H15" s="114">
        <f>IF(Year5_Kent Year5_ReReferrals="","",Year5_Kent Year5_ReReferrals)</f>
        <v>4472</v>
      </c>
      <c r="I15" s="392">
        <f t="shared" si="7"/>
        <v>-4.505658765748452E-2</v>
      </c>
      <c r="J15" s="115"/>
      <c r="K15" s="116">
        <f>IF(ISNUMBER(D15),D15/Population!C14*10000,NA())</f>
        <v>155.77395577395578</v>
      </c>
      <c r="L15" s="116">
        <f>IF(ISNUMBER(E15),E15/Population!D14*10000,NA())</f>
        <v>142.64392324093816</v>
      </c>
      <c r="M15" s="116">
        <f>IF(ISNUMBER(F15),F15/Population!E14*10000,NA())</f>
        <v>96.761501210653833</v>
      </c>
      <c r="N15" s="116">
        <f>IF(ISNUMBER(G15),G15/Population!F14*10000,NA())</f>
        <v>109.17443588704228</v>
      </c>
      <c r="O15" s="117">
        <f>IF(ISNUMBER(H15),H15/Population!G14*10000,NA())</f>
        <v>133.05959713172066</v>
      </c>
      <c r="P15" s="397">
        <f t="shared" si="2"/>
        <v>10</v>
      </c>
      <c r="Q15" s="70"/>
      <c r="R15" s="387">
        <f>IDACI!C15</f>
        <v>17.8</v>
      </c>
      <c r="S15" s="388">
        <f t="shared" si="3"/>
        <v>111.72682159999999</v>
      </c>
      <c r="T15" s="389">
        <f t="shared" si="4"/>
        <v>21.332775531720671</v>
      </c>
      <c r="U15" s="139"/>
      <c r="V15" s="154"/>
      <c r="W15" s="170"/>
      <c r="X15" s="72" t="str">
        <f t="shared" si="1"/>
        <v>Kent</v>
      </c>
      <c r="Y15" s="235">
        <v>7</v>
      </c>
      <c r="Z15" s="236">
        <f>IF(D15&gt;0,Population!C14,"")</f>
        <v>325600</v>
      </c>
      <c r="AA15" s="236">
        <f>IF(E15&gt;0,Population!D14,"")</f>
        <v>328300</v>
      </c>
      <c r="AB15" s="236">
        <f>IF(F15&gt;0,Population!E14,"")</f>
        <v>330400</v>
      </c>
      <c r="AC15" s="236">
        <f>IF(G15&gt;0,Population!F14,"")</f>
        <v>333045</v>
      </c>
      <c r="AD15" s="236">
        <f>IF(H15&gt;0,Population!G14,"")</f>
        <v>336090</v>
      </c>
      <c r="AE15" s="217"/>
      <c r="AF15" s="112" t="s">
        <v>10</v>
      </c>
      <c r="AG15" s="262">
        <f t="shared" si="5"/>
        <v>133.05959713172066</v>
      </c>
      <c r="AH15" s="237">
        <f t="shared" si="6"/>
        <v>10</v>
      </c>
      <c r="AI15" s="232"/>
      <c r="AJ15" s="178"/>
    </row>
    <row r="16" spans="1:44" s="101" customFormat="1" ht="13.5" customHeight="1" x14ac:dyDescent="0.2">
      <c r="A16" s="533">
        <f>VLOOKUP(B16,Sheet1!$B$4:$C$25,2,FALSE)</f>
        <v>0</v>
      </c>
      <c r="B16" s="112" t="s">
        <v>2</v>
      </c>
      <c r="C16" s="97"/>
      <c r="D16" s="113">
        <f>IF(Year1_Medway Year1_ReReferrals="","",Year1_Medway Year1_ReReferrals)</f>
        <v>1277</v>
      </c>
      <c r="E16" s="113">
        <f>IF(Year2_Medway Year2_ReReferrals="","",Year2_Medway Year2_ReReferrals)</f>
        <v>614.99999999999966</v>
      </c>
      <c r="F16" s="113">
        <f>IF(Year3_Medway Year3_ReReferrals="","",Year3_Medway Year3_ReReferrals)</f>
        <v>556</v>
      </c>
      <c r="G16" s="113">
        <f>IF(Year4_Medway Year4_ReReferrals="","",Year4_Medway Year4_ReReferrals)</f>
        <v>481</v>
      </c>
      <c r="H16" s="114">
        <f>IF(Year5_Medway Year5_ReReferrals="","",Year5_Medway Year5_ReReferrals)</f>
        <v>444</v>
      </c>
      <c r="I16" s="392">
        <f t="shared" si="7"/>
        <v>-0.27804878048780446</v>
      </c>
      <c r="J16" s="115"/>
      <c r="K16" s="116">
        <f>IF(ISNUMBER(D16),D16/Population!C15*10000,NA())</f>
        <v>207.30519480519482</v>
      </c>
      <c r="L16" s="116">
        <f>IF(ISNUMBER(E16),E16/Population!D15*10000,NA())</f>
        <v>98.399999999999949</v>
      </c>
      <c r="M16" s="116">
        <f>IF(ISNUMBER(F16),F16/Population!E15*10000,NA())</f>
        <v>87.974683544303801</v>
      </c>
      <c r="N16" s="116">
        <f>IF(ISNUMBER(G16),G16/Population!F15*10000,NA())</f>
        <v>75.513760459676277</v>
      </c>
      <c r="O16" s="117">
        <f>IF(ISNUMBER(H16),H16/Population!G15*10000,NA())</f>
        <v>69.436842187573305</v>
      </c>
      <c r="P16" s="397">
        <f t="shared" si="2"/>
        <v>3</v>
      </c>
      <c r="Q16" s="70"/>
      <c r="R16" s="387">
        <f>IDACI!C16</f>
        <v>22</v>
      </c>
      <c r="S16" s="388">
        <f t="shared" si="3"/>
        <v>119.850134</v>
      </c>
      <c r="T16" s="389">
        <f t="shared" si="4"/>
        <v>-50.413291812426692</v>
      </c>
      <c r="U16" s="139"/>
      <c r="V16" s="154"/>
      <c r="W16" s="170"/>
      <c r="X16" s="72" t="str">
        <f t="shared" si="1"/>
        <v>Medway</v>
      </c>
      <c r="Y16" s="235">
        <v>8</v>
      </c>
      <c r="Z16" s="236">
        <f>IF(D16&gt;0,Population!C15,"")</f>
        <v>61600</v>
      </c>
      <c r="AA16" s="236">
        <f>IF(E16&gt;0,Population!D15,"")</f>
        <v>62500</v>
      </c>
      <c r="AB16" s="236">
        <f>IF(F16&gt;0,Population!E15,"")</f>
        <v>63200</v>
      </c>
      <c r="AC16" s="236">
        <f>IF(G16&gt;0,Population!F15,"")</f>
        <v>63697</v>
      </c>
      <c r="AD16" s="236">
        <f>IF(H16&gt;0,Population!G15,"")</f>
        <v>63943</v>
      </c>
      <c r="AE16" s="217"/>
      <c r="AF16" s="112" t="s">
        <v>2</v>
      </c>
      <c r="AG16" s="262">
        <f t="shared" si="5"/>
        <v>69.436842187573305</v>
      </c>
      <c r="AH16" s="237">
        <f t="shared" si="6"/>
        <v>3</v>
      </c>
      <c r="AI16" s="232"/>
      <c r="AJ16" s="178"/>
    </row>
    <row r="17" spans="1:36" s="101" customFormat="1" ht="13.5" customHeight="1" x14ac:dyDescent="0.2">
      <c r="A17" s="533">
        <f>VLOOKUP(B17,Sheet1!$B$4:$C$25,2,FALSE)</f>
        <v>0</v>
      </c>
      <c r="B17" s="112" t="s">
        <v>11</v>
      </c>
      <c r="C17" s="97"/>
      <c r="D17" s="113">
        <f>IF(Year1_Milton_Keynes Year1_ReReferrals="","",Year1_Milton_Keynes Year1_ReReferrals)</f>
        <v>816</v>
      </c>
      <c r="E17" s="113">
        <f>IF(Year2_Milton_Keynes Year2_ReReferrals="","",Year2_Milton_Keynes Year2_ReReferrals)</f>
        <v>595.00000000000011</v>
      </c>
      <c r="F17" s="113">
        <f>IF(Year3_Milton_Keynes Year3_ReReferrals="","",Year3_Milton_Keynes Year3_ReReferrals)</f>
        <v>580</v>
      </c>
      <c r="G17" s="113">
        <f>IF(Year4_Milton_Keynes Year4_ReReferrals="","",Year4_Milton_Keynes Year4_ReReferrals)</f>
        <v>588</v>
      </c>
      <c r="H17" s="114">
        <f>IF(Year5_Milton_Keynes Year5_ReReferrals="","",Year5_Milton_Keynes Year5_ReReferrals)</f>
        <v>485</v>
      </c>
      <c r="I17" s="392">
        <f t="shared" si="7"/>
        <v>-0.18487394957983208</v>
      </c>
      <c r="J17" s="115"/>
      <c r="K17" s="116">
        <f>IF(ISNUMBER(D17),D17/Population!C16*10000,NA())</f>
        <v>127.49999999999999</v>
      </c>
      <c r="L17" s="116">
        <f>IF(ISNUMBER(E17),E17/Population!D16*10000,NA())</f>
        <v>91.25766871165645</v>
      </c>
      <c r="M17" s="116">
        <f>IF(ISNUMBER(F17),F17/Population!E16*10000,NA())</f>
        <v>87.745839636913772</v>
      </c>
      <c r="N17" s="116">
        <f>IF(ISNUMBER(G17),G17/Population!F16*10000,NA())</f>
        <v>87.570369046555271</v>
      </c>
      <c r="O17" s="117">
        <f>IF(ISNUMBER(H17),H17/Population!G16*10000,NA())</f>
        <v>71.695714518012622</v>
      </c>
      <c r="P17" s="397">
        <f t="shared" si="2"/>
        <v>4</v>
      </c>
      <c r="Q17" s="70"/>
      <c r="R17" s="387">
        <f>IDACI!C17</f>
        <v>19.7</v>
      </c>
      <c r="S17" s="388">
        <f t="shared" si="3"/>
        <v>115.40165339999999</v>
      </c>
      <c r="T17" s="389">
        <f t="shared" si="4"/>
        <v>-43.705938881987365</v>
      </c>
      <c r="U17" s="139"/>
      <c r="V17" s="154"/>
      <c r="W17" s="170"/>
      <c r="X17" s="72" t="str">
        <f t="shared" si="1"/>
        <v>Milton Keynes</v>
      </c>
      <c r="Y17" s="235">
        <v>9</v>
      </c>
      <c r="Z17" s="236">
        <f>IF(D17&gt;0,Population!C16,"")</f>
        <v>64000</v>
      </c>
      <c r="AA17" s="236">
        <f>IF(E17&gt;0,Population!D16,"")</f>
        <v>65200</v>
      </c>
      <c r="AB17" s="236">
        <f>IF(F17&gt;0,Population!E16,"")</f>
        <v>66100</v>
      </c>
      <c r="AC17" s="236">
        <f>IF(G17&gt;0,Population!F16,"")</f>
        <v>67146</v>
      </c>
      <c r="AD17" s="236">
        <f>IF(H17&gt;0,Population!G16,"")</f>
        <v>67647</v>
      </c>
      <c r="AE17" s="217"/>
      <c r="AF17" s="112" t="s">
        <v>11</v>
      </c>
      <c r="AG17" s="262">
        <f t="shared" si="5"/>
        <v>71.695714518012622</v>
      </c>
      <c r="AH17" s="237">
        <f t="shared" si="6"/>
        <v>4</v>
      </c>
      <c r="AI17" s="232"/>
      <c r="AJ17" s="178"/>
    </row>
    <row r="18" spans="1:36" s="101" customFormat="1" ht="13.5" customHeight="1" x14ac:dyDescent="0.2">
      <c r="A18" s="533">
        <f>VLOOKUP(B18,Sheet1!$B$4:$C$25,2,FALSE)</f>
        <v>0</v>
      </c>
      <c r="B18" s="112" t="s">
        <v>12</v>
      </c>
      <c r="C18" s="97"/>
      <c r="D18" s="113">
        <f>IF(Year1_Oxfordshire Year1_ReReferrals="","",Year1_Oxfordshire Year1_ReReferrals)</f>
        <v>1345</v>
      </c>
      <c r="E18" s="113">
        <f>IF(Year2_Oxfordshire Year2_ReReferrals="","",Year2_Oxfordshire Year2_ReReferrals)</f>
        <v>1377.0000000000002</v>
      </c>
      <c r="F18" s="113">
        <f>IF(Year3_Oxfordshire Year3_ReReferrals="","",Year3_Oxfordshire Year3_ReReferrals)</f>
        <v>1712</v>
      </c>
      <c r="G18" s="113">
        <f>IF(Year4_Oxfordshire Year4_ReReferrals="","",Year4_Oxfordshire Year4_ReReferrals)</f>
        <v>1405</v>
      </c>
      <c r="H18" s="114">
        <f>IF(Year5_Oxfordshire Year5_ReReferrals="","",Year5_Oxfordshire Year5_ReReferrals)</f>
        <v>1268</v>
      </c>
      <c r="I18" s="392">
        <f t="shared" si="7"/>
        <v>-7.9157588961510678E-2</v>
      </c>
      <c r="J18" s="115"/>
      <c r="K18" s="116">
        <f>IF(ISNUMBER(D18),D18/Population!C17*10000,NA())</f>
        <v>95.866001425516743</v>
      </c>
      <c r="L18" s="116">
        <f>IF(ISNUMBER(E18),E18/Population!D17*10000,NA())</f>
        <v>97.521246458923528</v>
      </c>
      <c r="M18" s="116">
        <f>IF(ISNUMBER(F18),F18/Population!E17*10000,NA())</f>
        <v>120.73342736248237</v>
      </c>
      <c r="N18" s="116">
        <f>IF(ISNUMBER(G18),G18/Population!F17*10000,NA())</f>
        <v>98.322568003527024</v>
      </c>
      <c r="O18" s="117">
        <f>IF(ISNUMBER(H18),H18/Population!G17*10000,NA())</f>
        <v>88.396865675803795</v>
      </c>
      <c r="P18" s="397">
        <f t="shared" si="2"/>
        <v>6</v>
      </c>
      <c r="Q18" s="70"/>
      <c r="R18" s="387">
        <f>IDACI!C18</f>
        <v>11.799999999999999</v>
      </c>
      <c r="S18" s="388">
        <f t="shared" si="3"/>
        <v>100.12208959999998</v>
      </c>
      <c r="T18" s="389">
        <f t="shared" si="4"/>
        <v>-11.725223924196186</v>
      </c>
      <c r="U18" s="139"/>
      <c r="V18" s="154"/>
      <c r="W18" s="170"/>
      <c r="X18" s="72" t="str">
        <f t="shared" si="1"/>
        <v>Oxfordshire</v>
      </c>
      <c r="Y18" s="235">
        <v>10</v>
      </c>
      <c r="Z18" s="236">
        <f>IF(D18&gt;0,Population!C17,"")</f>
        <v>140300</v>
      </c>
      <c r="AA18" s="236">
        <f>IF(E18&gt;0,Population!D17,"")</f>
        <v>141200</v>
      </c>
      <c r="AB18" s="236">
        <f>IF(F18&gt;0,Population!E17,"")</f>
        <v>141800</v>
      </c>
      <c r="AC18" s="236">
        <f>IF(G18&gt;0,Population!F17,"")</f>
        <v>142897</v>
      </c>
      <c r="AD18" s="236">
        <f>IF(H18&gt;0,Population!G17,"")</f>
        <v>143444</v>
      </c>
      <c r="AE18" s="217"/>
      <c r="AF18" s="112" t="s">
        <v>12</v>
      </c>
      <c r="AG18" s="262">
        <f t="shared" si="5"/>
        <v>88.396865675803795</v>
      </c>
      <c r="AH18" s="237">
        <f t="shared" si="6"/>
        <v>6</v>
      </c>
      <c r="AI18" s="232"/>
      <c r="AJ18" s="178"/>
    </row>
    <row r="19" spans="1:36" s="101" customFormat="1" ht="13.5" customHeight="1" x14ac:dyDescent="0.2">
      <c r="A19" s="533">
        <f>VLOOKUP(B19,Sheet1!$B$4:$C$25,2,FALSE)</f>
        <v>0</v>
      </c>
      <c r="B19" s="112" t="s">
        <v>13</v>
      </c>
      <c r="C19" s="97"/>
      <c r="D19" s="113">
        <f>IF(Year1_Portsmouth Year1_ReReferrals="","",Year1_Portsmouth Year1_ReReferrals)</f>
        <v>437</v>
      </c>
      <c r="E19" s="113">
        <f>IF(Year2_Portsmouth Year2_ReReferrals="","",Year2_Portsmouth Year2_ReReferrals)</f>
        <v>379.9999999999996</v>
      </c>
      <c r="F19" s="113">
        <f>IF(Year3_Portsmouth Year3_ReReferrals="","",Year3_Portsmouth Year3_ReReferrals)</f>
        <v>406.99999999999989</v>
      </c>
      <c r="G19" s="113">
        <f>IF(Year4_Portsmouth Year4_ReReferrals="","",Year4_Portsmouth Year4_ReReferrals)</f>
        <v>645</v>
      </c>
      <c r="H19" s="114">
        <f>IF(Year5_Portsmouth Year5_ReReferrals="","",Year5_Portsmouth Year5_ReReferrals)</f>
        <v>647</v>
      </c>
      <c r="I19" s="392">
        <f t="shared" si="7"/>
        <v>0.70263157894737016</v>
      </c>
      <c r="J19" s="115"/>
      <c r="K19" s="116">
        <f>IF(ISNUMBER(D19),D19/Population!C18*10000,NA())</f>
        <v>102.58215962441315</v>
      </c>
      <c r="L19" s="116">
        <f>IF(ISNUMBER(E19),E19/Population!D18*10000,NA())</f>
        <v>87.557603686635858</v>
      </c>
      <c r="M19" s="116">
        <f>IF(ISNUMBER(F19),F19/Population!E18*10000,NA())</f>
        <v>92.922374429223723</v>
      </c>
      <c r="N19" s="116">
        <f>IF(ISNUMBER(G19),G19/Population!F18*10000,NA())</f>
        <v>146.59090909090909</v>
      </c>
      <c r="O19" s="117">
        <f>IF(ISNUMBER(H19),H19/Population!G18*10000,NA())</f>
        <v>146.40658942795076</v>
      </c>
      <c r="P19" s="397">
        <f t="shared" si="2"/>
        <v>12</v>
      </c>
      <c r="Q19" s="70"/>
      <c r="R19" s="387">
        <f>IDACI!C19</f>
        <v>23.799999999999997</v>
      </c>
      <c r="S19" s="388">
        <f t="shared" si="3"/>
        <v>123.33155359999998</v>
      </c>
      <c r="T19" s="389">
        <f t="shared" si="4"/>
        <v>23.075035827950785</v>
      </c>
      <c r="U19" s="139"/>
      <c r="V19" s="154"/>
      <c r="W19" s="170"/>
      <c r="X19" s="72" t="str">
        <f t="shared" si="1"/>
        <v>Portsmouth</v>
      </c>
      <c r="Y19" s="235">
        <v>11</v>
      </c>
      <c r="Z19" s="236">
        <f>IF(D19&gt;0,Population!C18,"")</f>
        <v>42600</v>
      </c>
      <c r="AA19" s="236">
        <f>IF(E19&gt;0,Population!D18,"")</f>
        <v>43400</v>
      </c>
      <c r="AB19" s="236">
        <f>IF(F19&gt;0,Population!E18,"")</f>
        <v>43800</v>
      </c>
      <c r="AC19" s="236">
        <f>IF(G19&gt;0,Population!F18,"")</f>
        <v>44000</v>
      </c>
      <c r="AD19" s="236">
        <f>IF(H19&gt;0,Population!G18,"")</f>
        <v>44192</v>
      </c>
      <c r="AE19" s="217"/>
      <c r="AF19" s="112" t="s">
        <v>13</v>
      </c>
      <c r="AG19" s="262">
        <f t="shared" si="5"/>
        <v>146.40658942795076</v>
      </c>
      <c r="AH19" s="237">
        <f t="shared" si="6"/>
        <v>12</v>
      </c>
      <c r="AI19" s="232"/>
      <c r="AJ19" s="178"/>
    </row>
    <row r="20" spans="1:36" s="101" customFormat="1" ht="13.5" customHeight="1" x14ac:dyDescent="0.2">
      <c r="A20" s="533">
        <f>VLOOKUP(B20,Sheet1!$B$4:$C$25,2,FALSE)</f>
        <v>0</v>
      </c>
      <c r="B20" s="112" t="s">
        <v>3</v>
      </c>
      <c r="C20" s="97"/>
      <c r="D20" s="113">
        <f>IF(Year1_Reading Year1_ReReferrals="","",Year1_Reading Year1_ReReferrals)</f>
        <v>314</v>
      </c>
      <c r="E20" s="113">
        <f>IF(Year2_Reading Year2_ReReferrals="","",Year2_Reading Year2_ReReferrals)</f>
        <v>352.99999999999983</v>
      </c>
      <c r="F20" s="113">
        <f>IF(Year3_Reading Year3_ReReferrals="","",Year3_Reading Year3_ReReferrals)</f>
        <v>646</v>
      </c>
      <c r="G20" s="113">
        <f>IF(Year4_Reading Year4_ReReferrals="","",Year4_Reading Year4_ReReferrals)</f>
        <v>930</v>
      </c>
      <c r="H20" s="114">
        <f>IF(Year5_Reading Year5_ReReferrals="","",Year5_Reading Year5_ReReferrals)</f>
        <v>588</v>
      </c>
      <c r="I20" s="392">
        <f t="shared" si="7"/>
        <v>0.66572237960340019</v>
      </c>
      <c r="J20" s="115"/>
      <c r="K20" s="116">
        <f>IF(ISNUMBER(D20),D20/Population!C19*10000,NA())</f>
        <v>90.489913544668582</v>
      </c>
      <c r="L20" s="116">
        <f>IF(ISNUMBER(E20),E20/Population!D19*10000,NA())</f>
        <v>98.32869080779939</v>
      </c>
      <c r="M20" s="116">
        <f>IF(ISNUMBER(F20),F20/Population!E19*10000,NA())</f>
        <v>177.47252747252747</v>
      </c>
      <c r="N20" s="116">
        <f>IF(ISNUMBER(G20),G20/Population!F19*10000,NA())</f>
        <v>253.81403345978549</v>
      </c>
      <c r="O20" s="117">
        <f>IF(ISNUMBER(H20),H20/Population!G19*10000,NA())</f>
        <v>158.52047556142668</v>
      </c>
      <c r="P20" s="397">
        <f t="shared" si="2"/>
        <v>15</v>
      </c>
      <c r="Q20" s="70"/>
      <c r="R20" s="387">
        <f>IDACI!C20</f>
        <v>19.8</v>
      </c>
      <c r="S20" s="388">
        <f t="shared" si="3"/>
        <v>115.5950656</v>
      </c>
      <c r="T20" s="389">
        <f t="shared" si="4"/>
        <v>42.925409961426681</v>
      </c>
      <c r="U20" s="139"/>
      <c r="V20" s="154"/>
      <c r="W20" s="170"/>
      <c r="X20" s="72" t="str">
        <f t="shared" si="1"/>
        <v>Reading</v>
      </c>
      <c r="Y20" s="235">
        <v>12</v>
      </c>
      <c r="Z20" s="236">
        <f>IF(D20&gt;0,Population!C19,"")</f>
        <v>34700</v>
      </c>
      <c r="AA20" s="236">
        <f>IF(E20&gt;0,Population!D19,"")</f>
        <v>35900</v>
      </c>
      <c r="AB20" s="236">
        <f>IF(F20&gt;0,Population!E19,"")</f>
        <v>36400</v>
      </c>
      <c r="AC20" s="236">
        <f>IF(G20&gt;0,Population!F19,"")</f>
        <v>36641</v>
      </c>
      <c r="AD20" s="236">
        <f>IF(H20&gt;0,Population!G19,"")</f>
        <v>37093</v>
      </c>
      <c r="AE20" s="217"/>
      <c r="AF20" s="112" t="s">
        <v>3</v>
      </c>
      <c r="AG20" s="262">
        <f t="shared" si="5"/>
        <v>158.52047556142668</v>
      </c>
      <c r="AH20" s="237">
        <f t="shared" si="6"/>
        <v>15</v>
      </c>
      <c r="AI20" s="232"/>
      <c r="AJ20" s="178"/>
    </row>
    <row r="21" spans="1:36" s="101" customFormat="1" ht="13.5" customHeight="1" x14ac:dyDescent="0.2">
      <c r="A21" s="533">
        <f>VLOOKUP(B21,Sheet1!$B$4:$C$25,2,FALSE)</f>
        <v>0</v>
      </c>
      <c r="B21" s="112" t="s">
        <v>14</v>
      </c>
      <c r="C21" s="97"/>
      <c r="D21" s="113">
        <f>IF(Year1_Slough Year1_ReReferrals="","",Year1_Slough Year1_ReReferrals)</f>
        <v>474</v>
      </c>
      <c r="E21" s="113">
        <f>IF(Year2_Slough Year2_ReReferrals="","",Year2_Slough Year2_ReReferrals)</f>
        <v>480.00000000000017</v>
      </c>
      <c r="F21" s="113">
        <f>IF(Year3_Slough Year3_ReReferrals="","",Year3_Slough Year3_ReReferrals)</f>
        <v>522.00000000000011</v>
      </c>
      <c r="G21" s="113">
        <f>IF(Year4_Slough Year4_ReReferrals="","",Year4_Slough Year4_ReReferrals)</f>
        <v>1652</v>
      </c>
      <c r="H21" s="114">
        <f>IF(Year5_Slough Year5_ReReferrals="","",Year5_Slough Year5_ReReferrals)</f>
        <v>390</v>
      </c>
      <c r="I21" s="392">
        <f t="shared" si="7"/>
        <v>-0.18750000000000028</v>
      </c>
      <c r="J21" s="115"/>
      <c r="K21" s="116">
        <f>IF(ISNUMBER(D21),D21/Population!C20*10000,NA())</f>
        <v>121.85089974293059</v>
      </c>
      <c r="L21" s="116">
        <f>IF(ISNUMBER(E21),E21/Population!D20*10000,NA())</f>
        <v>120.30075187969929</v>
      </c>
      <c r="M21" s="116">
        <f>IF(ISNUMBER(F21),F21/Population!E20*10000,NA())</f>
        <v>128.57142857142861</v>
      </c>
      <c r="N21" s="116">
        <f>IF(ISNUMBER(G21),G21/Population!F20*10000,NA())</f>
        <v>398.97599381732118</v>
      </c>
      <c r="O21" s="117">
        <f>IF(ISNUMBER(H21),H21/Population!G20*10000,NA())</f>
        <v>92.460881934566146</v>
      </c>
      <c r="P21" s="397">
        <f t="shared" si="2"/>
        <v>7</v>
      </c>
      <c r="Q21" s="70"/>
      <c r="R21" s="387">
        <f>IDACI!C21</f>
        <v>19.5</v>
      </c>
      <c r="S21" s="388">
        <f t="shared" si="3"/>
        <v>115.01482899999999</v>
      </c>
      <c r="T21" s="389">
        <f t="shared" si="4"/>
        <v>-22.553947065433846</v>
      </c>
      <c r="U21" s="139"/>
      <c r="V21" s="154"/>
      <c r="W21" s="170"/>
      <c r="X21" s="72" t="str">
        <f t="shared" si="1"/>
        <v>Slough</v>
      </c>
      <c r="Y21" s="235">
        <v>13</v>
      </c>
      <c r="Z21" s="236">
        <f>IF(D21&gt;0,Population!C20,"")</f>
        <v>38900</v>
      </c>
      <c r="AA21" s="236">
        <f>IF(E21&gt;0,Population!D20,"")</f>
        <v>39900</v>
      </c>
      <c r="AB21" s="236">
        <f>IF(F21&gt;0,Population!E20,"")</f>
        <v>40600</v>
      </c>
      <c r="AC21" s="236">
        <f>IF(G21&gt;0,Population!F20,"")</f>
        <v>41406</v>
      </c>
      <c r="AD21" s="236">
        <f>IF(H21&gt;0,Population!G20,"")</f>
        <v>42180</v>
      </c>
      <c r="AE21" s="217"/>
      <c r="AF21" s="112" t="s">
        <v>14</v>
      </c>
      <c r="AG21" s="262">
        <f t="shared" si="5"/>
        <v>92.460881934566146</v>
      </c>
      <c r="AH21" s="237">
        <f t="shared" si="6"/>
        <v>7</v>
      </c>
      <c r="AI21" s="232"/>
      <c r="AJ21" s="178"/>
    </row>
    <row r="22" spans="1:36" s="101" customFormat="1" ht="13.5" customHeight="1" x14ac:dyDescent="0.2">
      <c r="A22" s="533">
        <f>VLOOKUP(B22,Sheet1!$B$4:$C$25,2,FALSE)</f>
        <v>0</v>
      </c>
      <c r="B22" s="112" t="s">
        <v>93</v>
      </c>
      <c r="C22" s="97"/>
      <c r="D22" s="113">
        <f>IF(Year1_Somerset Year1_ReReferrals="","",Year1_Somerset Year1_ReReferrals)</f>
        <v>2100</v>
      </c>
      <c r="E22" s="113">
        <f>IF(Year2_Somerset Year2_ReReferrals="","",Year2_Somerset Year2_ReReferrals)</f>
        <v>1507.9999999999977</v>
      </c>
      <c r="F22" s="113">
        <f>IF(Year3_Somerset Year3_ReReferrals="","",Year3_Somerset Year3_ReReferrals)</f>
        <v>985</v>
      </c>
      <c r="G22" s="113">
        <f>IF(Year4_Somerset Year4_ReReferrals="","",Year4_Somerset Year4_ReReferrals)</f>
        <v>950</v>
      </c>
      <c r="H22" s="114">
        <f>IF(Year5_Somerset Year5_ReReferrals="","",Year5_Somerset Year5_ReReferrals)</f>
        <v>1104</v>
      </c>
      <c r="I22" s="392">
        <f t="shared" si="7"/>
        <v>-0.26790450928381854</v>
      </c>
      <c r="J22" s="115"/>
      <c r="K22" s="116">
        <f>IF(ISNUMBER(D22),D22/Population!C21*10000,NA())</f>
        <v>193.01470588235296</v>
      </c>
      <c r="L22" s="116">
        <f>IF(ISNUMBER(E22),E22/Population!D21*10000,NA())</f>
        <v>138.4756657483928</v>
      </c>
      <c r="M22" s="116">
        <f>IF(ISNUMBER(F22),F22/Population!E21*10000,NA())</f>
        <v>90.201465201465197</v>
      </c>
      <c r="N22" s="116">
        <f>IF(ISNUMBER(G22),G22/Population!F21*10000,NA())</f>
        <v>86.633776229515675</v>
      </c>
      <c r="O22" s="117">
        <f>IF(ISNUMBER(H22),H22/Population!G21*10000,NA())</f>
        <v>100.28705352276442</v>
      </c>
      <c r="P22" s="422" t="str">
        <f t="shared" si="2"/>
        <v>--</v>
      </c>
      <c r="Q22" s="70"/>
      <c r="R22" s="387">
        <f>IDACI!C22</f>
        <v>14.8</v>
      </c>
      <c r="S22" s="388">
        <f t="shared" si="3"/>
        <v>105.92445559999999</v>
      </c>
      <c r="T22" s="389">
        <f t="shared" si="4"/>
        <v>-5.6374020772355635</v>
      </c>
      <c r="U22" s="139"/>
      <c r="V22" s="154"/>
      <c r="W22" s="170"/>
      <c r="X22" s="72" t="str">
        <f t="shared" si="1"/>
        <v>Somerset</v>
      </c>
      <c r="Y22" s="235">
        <v>14</v>
      </c>
      <c r="Z22" s="236">
        <f>IF(D22&gt;0,Population!C21,"")</f>
        <v>108800</v>
      </c>
      <c r="AA22" s="236">
        <f>IF(E22&gt;0,Population!D21,"")</f>
        <v>108900</v>
      </c>
      <c r="AB22" s="236">
        <f>IF(F22&gt;0,Population!E21,"")</f>
        <v>109200</v>
      </c>
      <c r="AC22" s="236">
        <f>IF(G22&gt;0,Population!F21,"")</f>
        <v>109657</v>
      </c>
      <c r="AD22" s="236">
        <f>IF(H22&gt;0,Population!G21,"")</f>
        <v>110084</v>
      </c>
      <c r="AE22" s="217"/>
      <c r="AF22" s="112" t="s">
        <v>15</v>
      </c>
      <c r="AG22" s="262">
        <f t="shared" si="5"/>
        <v>105.35732034589007</v>
      </c>
      <c r="AH22" s="237">
        <f t="shared" si="6"/>
        <v>8</v>
      </c>
      <c r="AI22" s="232"/>
      <c r="AJ22" s="178"/>
    </row>
    <row r="23" spans="1:36" s="101" customFormat="1" ht="13.5" customHeight="1" x14ac:dyDescent="0.2">
      <c r="A23" s="533">
        <f>VLOOKUP(B23,Sheet1!$B$4:$C$25,2,FALSE)</f>
        <v>0</v>
      </c>
      <c r="B23" s="112" t="s">
        <v>15</v>
      </c>
      <c r="C23" s="97"/>
      <c r="D23" s="113">
        <f>IF(Year1_Southampton Year1_ReReferrals="","",Year1_Southampton Year1_ReReferrals)</f>
        <v>1114</v>
      </c>
      <c r="E23" s="113">
        <f>IF(Year2_Southampton Year2_ReReferrals="","",Year2_Southampton Year2_ReReferrals)</f>
        <v>2214</v>
      </c>
      <c r="F23" s="113">
        <f>IF(Year3_Southampton Year3_ReReferrals="","",Year3_Southampton Year3_ReReferrals)</f>
        <v>790</v>
      </c>
      <c r="G23" s="113">
        <f>IF(Year4_Southampton Year4_ReReferrals="","",Year4_Southampton Year4_ReReferrals)</f>
        <v>810</v>
      </c>
      <c r="H23" s="114">
        <f>IF(Year5_Southampton Year5_ReReferrals="","",Year5_Southampton Year5_ReReferrals)</f>
        <v>530</v>
      </c>
      <c r="I23" s="392">
        <f t="shared" si="7"/>
        <v>-0.76061427280939475</v>
      </c>
      <c r="J23" s="115"/>
      <c r="K23" s="116">
        <f>IF(ISNUMBER(D23),D23/Population!C22*10000,NA())</f>
        <v>235.0210970464135</v>
      </c>
      <c r="L23" s="116">
        <f>IF(ISNUMBER(E23),E23/Population!D22*10000,NA())</f>
        <v>455.5555555555556</v>
      </c>
      <c r="M23" s="116">
        <f>IF(ISNUMBER(F23),F23/Population!E22*10000,NA())</f>
        <v>160.5691056910569</v>
      </c>
      <c r="N23" s="116">
        <f>IF(ISNUMBER(G23),G23/Population!F22*10000,NA())</f>
        <v>162.3213963648023</v>
      </c>
      <c r="O23" s="117">
        <f>IF(ISNUMBER(H23),H23/Population!G22*10000,NA())</f>
        <v>105.35732034589007</v>
      </c>
      <c r="P23" s="397">
        <f t="shared" si="2"/>
        <v>8</v>
      </c>
      <c r="Q23" s="70"/>
      <c r="R23" s="387">
        <f>IDACI!C23</f>
        <v>25</v>
      </c>
      <c r="S23" s="388">
        <f t="shared" si="3"/>
        <v>125.65249999999999</v>
      </c>
      <c r="T23" s="389">
        <f t="shared" si="4"/>
        <v>-20.295179654109916</v>
      </c>
      <c r="U23" s="139"/>
      <c r="V23" s="154"/>
      <c r="W23" s="170"/>
      <c r="X23" s="72" t="str">
        <f t="shared" si="1"/>
        <v>Southampton</v>
      </c>
      <c r="Y23" s="235">
        <v>15</v>
      </c>
      <c r="Z23" s="236">
        <f>IF(D23&gt;0,Population!C22,"")</f>
        <v>47400</v>
      </c>
      <c r="AA23" s="236">
        <f>IF(E23&gt;0,Population!D22,"")</f>
        <v>48600</v>
      </c>
      <c r="AB23" s="236">
        <f>IF(F23&gt;0,Population!E22,"")</f>
        <v>49200</v>
      </c>
      <c r="AC23" s="236">
        <f>IF(G23&gt;0,Population!F22,"")</f>
        <v>49901</v>
      </c>
      <c r="AD23" s="236">
        <f>IF(H23&gt;0,Population!G22,"")</f>
        <v>50305</v>
      </c>
      <c r="AE23" s="217"/>
      <c r="AF23" s="112" t="s">
        <v>7</v>
      </c>
      <c r="AG23" s="262">
        <f t="shared" si="5"/>
        <v>143.06294539098366</v>
      </c>
      <c r="AH23" s="237">
        <f t="shared" si="6"/>
        <v>11</v>
      </c>
      <c r="AI23" s="232"/>
      <c r="AJ23" s="178"/>
    </row>
    <row r="24" spans="1:36" s="101" customFormat="1" ht="13.5" customHeight="1" x14ac:dyDescent="0.2">
      <c r="A24" s="533">
        <f>VLOOKUP(B24,Sheet1!$B$4:$C$25,2,FALSE)</f>
        <v>0</v>
      </c>
      <c r="B24" s="112" t="s">
        <v>7</v>
      </c>
      <c r="C24" s="97"/>
      <c r="D24" s="113">
        <f>IF(Year1_Surrey Year1_ReReferrals="","",Year1_Surrey Year1_ReReferrals)</f>
        <v>3871</v>
      </c>
      <c r="E24" s="113">
        <f>IF(Year2_Surrey Year2_ReReferrals="","",Year2_Surrey Year2_ReReferrals)</f>
        <v>2530.9999999999973</v>
      </c>
      <c r="F24" s="113">
        <f>IF(Year3_Surrey Year3_ReReferrals="","",Year3_Surrey Year3_ReReferrals)</f>
        <v>2840</v>
      </c>
      <c r="G24" s="113">
        <f>IF(Year4_Surrey Year4_ReReferrals="","",Year4_Surrey Year4_ReReferrals)</f>
        <v>2896</v>
      </c>
      <c r="H24" s="114">
        <f>IF(Year5_Surrey Year5_ReReferrals="","",Year5_Surrey Year5_ReReferrals)</f>
        <v>3724</v>
      </c>
      <c r="I24" s="392">
        <f t="shared" si="7"/>
        <v>0.47135519557487315</v>
      </c>
      <c r="J24" s="115"/>
      <c r="K24" s="116">
        <f>IF(ISNUMBER(D24),D24/Population!C23*10000,NA())</f>
        <v>153.61111111111111</v>
      </c>
      <c r="L24" s="116">
        <f>IF(ISNUMBER(E24),E24/Population!D23*10000,NA())</f>
        <v>99.410840534171143</v>
      </c>
      <c r="M24" s="116">
        <f>IF(ISNUMBER(F24),F24/Population!E23*10000,NA())</f>
        <v>110.7644305772231</v>
      </c>
      <c r="N24" s="116">
        <f>IF(ISNUMBER(G24),G24/Population!F23*10000,NA())</f>
        <v>111.81510353321828</v>
      </c>
      <c r="O24" s="117">
        <f>IF(ISNUMBER(H24),H24/Population!G23*10000,NA())</f>
        <v>143.06294539098366</v>
      </c>
      <c r="P24" s="397">
        <f t="shared" si="2"/>
        <v>11</v>
      </c>
      <c r="Q24" s="70"/>
      <c r="R24" s="387">
        <f>IDACI!C24</f>
        <v>9.7000000000000011</v>
      </c>
      <c r="S24" s="388">
        <f t="shared" si="3"/>
        <v>96.060433399999994</v>
      </c>
      <c r="T24" s="389">
        <f t="shared" si="4"/>
        <v>47.002511990983663</v>
      </c>
      <c r="U24" s="139"/>
      <c r="V24" s="154"/>
      <c r="W24" s="170"/>
      <c r="X24" s="72" t="str">
        <f t="shared" si="1"/>
        <v>Surrey</v>
      </c>
      <c r="Y24" s="235">
        <v>16</v>
      </c>
      <c r="Z24" s="236">
        <f>IF(D24&gt;0,Population!C23,"")</f>
        <v>252000</v>
      </c>
      <c r="AA24" s="236">
        <f>IF(E24&gt;0,Population!D23,"")</f>
        <v>254600</v>
      </c>
      <c r="AB24" s="236">
        <f>IF(F24&gt;0,Population!E23,"")</f>
        <v>256400</v>
      </c>
      <c r="AC24" s="236">
        <f>IF(G24&gt;0,Population!F23,"")</f>
        <v>258999</v>
      </c>
      <c r="AD24" s="236">
        <f>IF(H24&gt;0,Population!G23,"")</f>
        <v>260305</v>
      </c>
      <c r="AE24" s="217"/>
      <c r="AF24" s="112" t="s">
        <v>16</v>
      </c>
      <c r="AG24" s="262">
        <f t="shared" si="5"/>
        <v>113.71891589829561</v>
      </c>
      <c r="AH24" s="237">
        <f t="shared" si="6"/>
        <v>9</v>
      </c>
      <c r="AI24" s="232"/>
      <c r="AJ24" s="178"/>
    </row>
    <row r="25" spans="1:36" s="101" customFormat="1" ht="13.5" customHeight="1" x14ac:dyDescent="0.2">
      <c r="A25" s="533">
        <f>VLOOKUP(B25,Sheet1!$B$4:$C$25,2,FALSE)</f>
        <v>0</v>
      </c>
      <c r="B25" s="112" t="s">
        <v>116</v>
      </c>
      <c r="C25" s="97"/>
      <c r="D25" s="113">
        <f>IF(Year1_Swindon Year1_ReReferrals="","",Year1_Swindon Year1_ReReferrals)</f>
        <v>542</v>
      </c>
      <c r="E25" s="113">
        <f>IF(Year2_Swindon Year2_ReReferrals="","",Year2_Swindon Year2_ReReferrals)</f>
        <v>531.00000000000011</v>
      </c>
      <c r="F25" s="113">
        <f>IF(Year3_Swindon Year3_ReReferrals="","",Year3_Swindon Year3_ReReferrals)</f>
        <v>948.99999999999989</v>
      </c>
      <c r="G25" s="113">
        <f>IF(Year4_Swindon Year4_ReReferrals="","",Year4_Swindon Year4_ReReferrals)</f>
        <v>804</v>
      </c>
      <c r="H25" s="114">
        <f>IF(Year5_Swindon Year5_ReReferrals="","",Year5_Swindon Year5_ReReferrals)</f>
        <v>877</v>
      </c>
      <c r="I25" s="392">
        <f t="shared" si="7"/>
        <v>0.65160075329566824</v>
      </c>
      <c r="J25" s="115"/>
      <c r="K25" s="116">
        <f>IF(ISNUMBER(D25),D25/Population!C24*10000,NA())</f>
        <v>113.15240083507308</v>
      </c>
      <c r="L25" s="116">
        <f>IF(ISNUMBER(E25),E25/Population!D24*10000,NA())</f>
        <v>109.25925925925928</v>
      </c>
      <c r="M25" s="116">
        <f>IF(ISNUMBER(F25),F25/Population!E24*10000,NA())</f>
        <v>193.67346938775509</v>
      </c>
      <c r="N25" s="116">
        <f>IF(ISNUMBER(G25),G25/Population!F24*10000,NA())</f>
        <v>162.54902753629051</v>
      </c>
      <c r="O25" s="117">
        <f>IF(ISNUMBER(H25),H25/Population!G24*10000,NA())</f>
        <v>175.66701386106882</v>
      </c>
      <c r="P25" s="422" t="str">
        <f t="shared" si="2"/>
        <v>--</v>
      </c>
      <c r="Q25" s="70"/>
      <c r="R25" s="387">
        <f>IDACI!C25</f>
        <v>17.2</v>
      </c>
      <c r="S25" s="388">
        <f t="shared" si="3"/>
        <v>110.56634839999998</v>
      </c>
      <c r="T25" s="389">
        <f t="shared" si="4"/>
        <v>65.100665461068843</v>
      </c>
      <c r="U25" s="139"/>
      <c r="V25" s="154"/>
      <c r="W25" s="170"/>
      <c r="X25" s="72" t="str">
        <f t="shared" si="1"/>
        <v>Swindon</v>
      </c>
      <c r="Y25" s="235">
        <v>17</v>
      </c>
      <c r="Z25" s="236">
        <f>IF(D25&gt;0,Population!C24,"")</f>
        <v>47900</v>
      </c>
      <c r="AA25" s="236">
        <f>IF(E25&gt;0,Population!D24,"")</f>
        <v>48600</v>
      </c>
      <c r="AB25" s="236">
        <f>IF(F25&gt;0,Population!E24,"")</f>
        <v>49000</v>
      </c>
      <c r="AC25" s="236">
        <f>IF(G25&gt;0,Population!F24,"")</f>
        <v>49462</v>
      </c>
      <c r="AD25" s="236">
        <f>IF(H25&gt;0,Population!G24,"")</f>
        <v>49924</v>
      </c>
      <c r="AE25" s="217"/>
      <c r="AF25" s="112" t="s">
        <v>5</v>
      </c>
      <c r="AG25" s="262">
        <f t="shared" si="5"/>
        <v>154.60437093507076</v>
      </c>
      <c r="AH25" s="237">
        <f t="shared" si="6"/>
        <v>14</v>
      </c>
      <c r="AI25" s="232"/>
      <c r="AJ25" s="178"/>
    </row>
    <row r="26" spans="1:36" s="101" customFormat="1" ht="13.5" customHeight="1" x14ac:dyDescent="0.2">
      <c r="A26" s="533">
        <f>VLOOKUP(B26,Sheet1!$B$4:$C$25,2,FALSE)</f>
        <v>0</v>
      </c>
      <c r="B26" s="112" t="s">
        <v>117</v>
      </c>
      <c r="C26" s="97"/>
      <c r="D26" s="113">
        <f>IF(Year1_Torbay Year1_ReReferrals="","",Year1_Torbay Year1_ReReferrals)</f>
        <v>502</v>
      </c>
      <c r="E26" s="113">
        <f>IF(Year2_Torbay Year2_ReReferrals="","",Year2_Torbay Year2_ReReferrals)</f>
        <v>532</v>
      </c>
      <c r="F26" s="113">
        <f>IF(Year3_Torbay Year3_ReReferrals="","",Year3_Torbay Year3_ReReferrals)</f>
        <v>574.00000000000011</v>
      </c>
      <c r="G26" s="113">
        <f>IF(Year4_Torbay Year4_ReReferrals="","",Year4_Torbay Year4_ReReferrals)</f>
        <v>437</v>
      </c>
      <c r="H26" s="114">
        <f>IF(Year5_Torbay Year5_ReReferrals="","",Year5_Torbay Year5_ReReferrals)</f>
        <v>444</v>
      </c>
      <c r="I26" s="392">
        <f t="shared" si="7"/>
        <v>-0.16541353383458646</v>
      </c>
      <c r="J26" s="115"/>
      <c r="K26" s="116">
        <f>IF(ISNUMBER(D26),D26/Population!C25*10000,NA())</f>
        <v>202.41935483870967</v>
      </c>
      <c r="L26" s="116">
        <f>IF(ISNUMBER(E26),E26/Population!D25*10000,NA())</f>
        <v>211.95219123505979</v>
      </c>
      <c r="M26" s="116">
        <f>IF(ISNUMBER(F26),F26/Population!E25*10000,NA())</f>
        <v>227.77777777777783</v>
      </c>
      <c r="N26" s="116">
        <f>IF(ISNUMBER(G26),G26/Population!F25*10000,NA())</f>
        <v>172.23032357230127</v>
      </c>
      <c r="O26" s="117">
        <f>IF(ISNUMBER(H26),H26/Population!G25*10000,NA())</f>
        <v>174.68623362316561</v>
      </c>
      <c r="P26" s="422" t="str">
        <f t="shared" si="2"/>
        <v>--</v>
      </c>
      <c r="Q26" s="70"/>
      <c r="R26" s="387">
        <f>IDACI!C26</f>
        <v>24.1</v>
      </c>
      <c r="S26" s="388">
        <f t="shared" si="3"/>
        <v>123.91179019999998</v>
      </c>
      <c r="T26" s="389">
        <f t="shared" si="4"/>
        <v>50.774443423165621</v>
      </c>
      <c r="U26" s="139"/>
      <c r="V26" s="154"/>
      <c r="W26" s="170"/>
      <c r="X26" s="72" t="str">
        <f t="shared" si="1"/>
        <v>Torbay</v>
      </c>
      <c r="Y26" s="235">
        <v>18</v>
      </c>
      <c r="Z26" s="236">
        <f>IF(D26&gt;0,Population!C25,"")</f>
        <v>24800</v>
      </c>
      <c r="AA26" s="236">
        <f>IF(E26&gt;0,Population!D25,"")</f>
        <v>25100</v>
      </c>
      <c r="AB26" s="236">
        <f>IF(F26&gt;0,Population!E25,"")</f>
        <v>25200</v>
      </c>
      <c r="AC26" s="236">
        <f>IF(G26&gt;0,Population!F25,"")</f>
        <v>25373</v>
      </c>
      <c r="AD26" s="236">
        <f>IF(H26&gt;0,Population!G25,"")</f>
        <v>25417</v>
      </c>
      <c r="AE26" s="217"/>
      <c r="AF26" s="112" t="s">
        <v>31</v>
      </c>
      <c r="AG26" s="262">
        <f t="shared" si="5"/>
        <v>48.32324173265021</v>
      </c>
      <c r="AH26" s="237">
        <f t="shared" si="6"/>
        <v>1</v>
      </c>
      <c r="AI26" s="232"/>
      <c r="AJ26" s="178"/>
    </row>
    <row r="27" spans="1:36" s="101" customFormat="1" ht="13.5" customHeight="1" x14ac:dyDescent="0.2">
      <c r="A27" s="533">
        <f>VLOOKUP(B27,Sheet1!$B$4:$C$25,2,FALSE)</f>
        <v>0</v>
      </c>
      <c r="B27" s="112" t="s">
        <v>16</v>
      </c>
      <c r="C27" s="97"/>
      <c r="D27" s="113">
        <f>IF(Year1_West_Berkshire Year1_ReReferrals="","",Year1_West_Berkshire Year1_ReReferrals)</f>
        <v>276</v>
      </c>
      <c r="E27" s="118">
        <f>IF(Year2_West_Berkshire Year2_ReReferrals="","",Year2_West_Berkshire Year2_ReReferrals)</f>
        <v>303</v>
      </c>
      <c r="F27" s="113">
        <f>IF(Year3_West_Berkshire Year3_ReReferrals="","",Year3_West_Berkshire Year3_ReReferrals)</f>
        <v>219</v>
      </c>
      <c r="G27" s="113">
        <f>IF(Year4_West_Berkshire Year4_ReReferrals="","",Year4_West_Berkshire Year4_ReReferrals)</f>
        <v>390</v>
      </c>
      <c r="H27" s="114">
        <f>IF(Year5_West_Berkshire Year5_ReReferrals="","",Year5_West_Berkshire Year5_ReReferrals)</f>
        <v>407</v>
      </c>
      <c r="I27" s="392">
        <f t="shared" si="7"/>
        <v>0.34323432343234322</v>
      </c>
      <c r="J27" s="115"/>
      <c r="K27" s="116">
        <f>IF(ISNUMBER(D27),D27/Population!C26*10000,NA())</f>
        <v>77.310924369747895</v>
      </c>
      <c r="L27" s="116">
        <f>IF(ISNUMBER(E27),E27/Population!D26*10000,NA())</f>
        <v>85.112359550561791</v>
      </c>
      <c r="M27" s="116">
        <f>IF(ISNUMBER(F27),F27/Population!E26*10000,NA())</f>
        <v>61.344537815126053</v>
      </c>
      <c r="N27" s="116">
        <f>IF(ISNUMBER(G27),G27/Population!F26*10000,NA())</f>
        <v>108.5413709610086</v>
      </c>
      <c r="O27" s="117">
        <f>IF(ISNUMBER(H27),H27/Population!G26*10000,NA())</f>
        <v>113.71891589829561</v>
      </c>
      <c r="P27" s="397">
        <f t="shared" si="2"/>
        <v>9</v>
      </c>
      <c r="Q27" s="70"/>
      <c r="R27" s="387">
        <f>IDACI!C27</f>
        <v>10.4</v>
      </c>
      <c r="S27" s="388">
        <f t="shared" si="3"/>
        <v>97.41431879999999</v>
      </c>
      <c r="T27" s="389">
        <f t="shared" si="4"/>
        <v>16.304597098295616</v>
      </c>
      <c r="U27" s="139"/>
      <c r="V27" s="154"/>
      <c r="W27" s="170"/>
      <c r="X27" s="72" t="str">
        <f t="shared" si="1"/>
        <v>West Berkshire</v>
      </c>
      <c r="Y27" s="235">
        <v>19</v>
      </c>
      <c r="Z27" s="236">
        <f>IF(D27&gt;0,Population!C26,"")</f>
        <v>35700</v>
      </c>
      <c r="AA27" s="236">
        <f>IF(E27&gt;0,Population!D26,"")</f>
        <v>35600</v>
      </c>
      <c r="AB27" s="236">
        <f>IF(F27&gt;0,Population!E26,"")</f>
        <v>35700</v>
      </c>
      <c r="AC27" s="236">
        <f>IF(G27&gt;0,Population!F26,"")</f>
        <v>35931</v>
      </c>
      <c r="AD27" s="236">
        <f>IF(H27&gt;0,Population!G26,"")</f>
        <v>35790</v>
      </c>
      <c r="AE27" s="232"/>
      <c r="AF27" s="112" t="s">
        <v>17</v>
      </c>
      <c r="AG27" s="262">
        <f t="shared" si="5"/>
        <v>58.653299571081597</v>
      </c>
      <c r="AH27" s="237">
        <f t="shared" si="6"/>
        <v>2</v>
      </c>
      <c r="AI27" s="232"/>
      <c r="AJ27" s="178"/>
    </row>
    <row r="28" spans="1:36" s="101" customFormat="1" ht="13.5" customHeight="1" x14ac:dyDescent="0.2">
      <c r="A28" s="533">
        <f>VLOOKUP(B28,Sheet1!$B$4:$C$25,2,FALSE)</f>
        <v>0</v>
      </c>
      <c r="B28" s="112" t="s">
        <v>5</v>
      </c>
      <c r="C28" s="97"/>
      <c r="D28" s="113">
        <f>IF(Year1_West_Sussex Year1_ReReferrals="","",Year1_West_Sussex Year1_ReReferrals)</f>
        <v>1602</v>
      </c>
      <c r="E28" s="118">
        <f>IF(Year2_West_Sussex Year2_ReReferrals="","",Year2_West_Sussex Year2_ReReferrals)</f>
        <v>1503.0000000000002</v>
      </c>
      <c r="F28" s="113">
        <f>IF(Year3_West_Sussex Year3_ReReferrals="","",Year3_West_Sussex Year3_ReReferrals)</f>
        <v>1986.999999999997</v>
      </c>
      <c r="G28" s="113">
        <f>IF(Year4_West_Sussex Year4_ReReferrals="","",Year4_West_Sussex Year4_ReReferrals)</f>
        <v>2209</v>
      </c>
      <c r="H28" s="114">
        <f>IF(Year5_West_Sussex Year5_ReReferrals="","",Year5_West_Sussex Year5_ReReferrals)</f>
        <v>2679</v>
      </c>
      <c r="I28" s="392">
        <f t="shared" si="7"/>
        <v>0.78243512974051865</v>
      </c>
      <c r="J28" s="115"/>
      <c r="K28" s="116">
        <f>IF(ISNUMBER(D28),D28/Population!C27*10000,NA())</f>
        <v>95.928143712574851</v>
      </c>
      <c r="L28" s="116">
        <f>IF(ISNUMBER(E28),E28/Population!D27*10000,NA())</f>
        <v>89.040284360189588</v>
      </c>
      <c r="M28" s="116">
        <f>IF(ISNUMBER(F28),F28/Population!E27*10000,NA())</f>
        <v>116.60798122065709</v>
      </c>
      <c r="N28" s="116">
        <f>IF(ISNUMBER(G28),G28/Population!F27*10000,NA())</f>
        <v>128.60893916546829</v>
      </c>
      <c r="O28" s="117">
        <f>IF(ISNUMBER(H28),H28/Population!G27*10000,NA())</f>
        <v>154.60437093507076</v>
      </c>
      <c r="P28" s="397">
        <f t="shared" si="2"/>
        <v>14</v>
      </c>
      <c r="Q28" s="70"/>
      <c r="R28" s="387">
        <f>IDACI!C28</f>
        <v>12.9</v>
      </c>
      <c r="S28" s="388">
        <f t="shared" si="3"/>
        <v>102.24962379999999</v>
      </c>
      <c r="T28" s="389">
        <f t="shared" si="4"/>
        <v>52.354747135070767</v>
      </c>
      <c r="U28" s="139"/>
      <c r="V28" s="154"/>
      <c r="W28" s="170"/>
      <c r="X28" s="72" t="str">
        <f t="shared" si="1"/>
        <v>West Sussex</v>
      </c>
      <c r="Y28" s="235">
        <v>20</v>
      </c>
      <c r="Z28" s="236">
        <f>IF(D28&gt;0,Population!C27,"")</f>
        <v>167000</v>
      </c>
      <c r="AA28" s="236">
        <f>IF(E28&gt;0,Population!D27,"")</f>
        <v>168800</v>
      </c>
      <c r="AB28" s="236">
        <f>IF(F28&gt;0,Population!E27,"")</f>
        <v>170400</v>
      </c>
      <c r="AC28" s="236">
        <f>IF(G28&gt;0,Population!F27,"")</f>
        <v>171761</v>
      </c>
      <c r="AD28" s="236">
        <f>IF(H28&gt;0,Population!G27,"")</f>
        <v>173281</v>
      </c>
      <c r="AE28" s="232"/>
      <c r="AF28" s="232"/>
      <c r="AG28" s="232"/>
      <c r="AH28" s="217"/>
      <c r="AI28" s="232"/>
      <c r="AJ28" s="178"/>
    </row>
    <row r="29" spans="1:36" s="101" customFormat="1" ht="13.5" customHeight="1" x14ac:dyDescent="0.2">
      <c r="A29" s="533">
        <f>VLOOKUP(B29,Sheet1!$B$4:$C$25,2,FALSE)</f>
        <v>0</v>
      </c>
      <c r="B29" s="112" t="s">
        <v>31</v>
      </c>
      <c r="C29" s="97"/>
      <c r="D29" s="118">
        <f>IF(Year1_Windsor_Maidenhead Year1_ReReferrals="","",Year1_Windsor_Maidenhead Year1_ReReferrals)</f>
        <v>206</v>
      </c>
      <c r="E29" s="113">
        <f>IF(Year2_Windsor_Maidenhead Year2_ReReferrals="","",Year2_Windsor_Maidenhead Year2_ReReferrals)</f>
        <v>188.00000000000009</v>
      </c>
      <c r="F29" s="113">
        <f>IF(Year3_Windsor_Maidenhead Year3_ReReferrals="","",Year3_Windsor_Maidenhead Year3_ReReferrals)</f>
        <v>193</v>
      </c>
      <c r="G29" s="113">
        <f>IF(Year4_Windsor_Maidenhead Year4_ReReferrals="","",Year4_Windsor_Maidenhead Year4_ReReferrals)</f>
        <v>117</v>
      </c>
      <c r="H29" s="114">
        <f>IF(Year5_Windsor_Maidenhead Year5_ReReferrals="","",Year5_Windsor_Maidenhead Year5_ReReferrals)</f>
        <v>166</v>
      </c>
      <c r="I29" s="392">
        <f t="shared" si="7"/>
        <v>-0.11702127659574509</v>
      </c>
      <c r="J29" s="115"/>
      <c r="K29" s="116">
        <f>IF(ISNUMBER(D29),D29/Population!C28*10000,NA())</f>
        <v>61.861861861861861</v>
      </c>
      <c r="L29" s="116">
        <f>IF(ISNUMBER(E29),E29/Population!D28*10000,NA())</f>
        <v>56.287425149700624</v>
      </c>
      <c r="M29" s="116">
        <f>IF(ISNUMBER(F29),F29/Population!E28*10000,NA())</f>
        <v>57.270029673590507</v>
      </c>
      <c r="N29" s="116">
        <f>IF(ISNUMBER(G29),G29/Population!F28*10000,NA())</f>
        <v>34.234550561797754</v>
      </c>
      <c r="O29" s="117">
        <f>IF(ISNUMBER(H29),H29/Population!G28*10000,NA())</f>
        <v>48.32324173265021</v>
      </c>
      <c r="P29" s="397">
        <f t="shared" si="2"/>
        <v>1</v>
      </c>
      <c r="Q29" s="70"/>
      <c r="R29" s="387">
        <f>IDACI!C29</f>
        <v>8.4</v>
      </c>
      <c r="S29" s="388">
        <f t="shared" si="3"/>
        <v>93.546074799999985</v>
      </c>
      <c r="T29" s="389">
        <f t="shared" si="4"/>
        <v>-45.222833067349775</v>
      </c>
      <c r="U29" s="139"/>
      <c r="V29" s="154"/>
      <c r="W29" s="170"/>
      <c r="X29" s="72" t="str">
        <f t="shared" si="1"/>
        <v>Windsor &amp; Maidenhead</v>
      </c>
      <c r="Y29" s="235">
        <v>21</v>
      </c>
      <c r="Z29" s="236">
        <f>IF(D29&gt;0,Population!C28,"")</f>
        <v>33300</v>
      </c>
      <c r="AA29" s="236">
        <f>IF(E29&gt;0,Population!D28,"")</f>
        <v>33400</v>
      </c>
      <c r="AB29" s="236">
        <f>IF(F29&gt;0,Population!E28,"")</f>
        <v>33700</v>
      </c>
      <c r="AC29" s="236">
        <f>IF(G29&gt;0,Population!F28,"")</f>
        <v>34176</v>
      </c>
      <c r="AD29" s="236">
        <f>IF(H29&gt;0,Population!G28,"")</f>
        <v>34352</v>
      </c>
      <c r="AE29" s="232"/>
      <c r="AF29" s="232"/>
      <c r="AG29" s="232"/>
      <c r="AH29" s="217"/>
      <c r="AI29" s="232"/>
      <c r="AJ29" s="178"/>
    </row>
    <row r="30" spans="1:36" s="101" customFormat="1" ht="13.5" customHeight="1" x14ac:dyDescent="0.2">
      <c r="A30" s="533">
        <f>VLOOKUP(B30,Sheet1!$B$4:$C$25,2,FALSE)</f>
        <v>0</v>
      </c>
      <c r="B30" s="112" t="s">
        <v>17</v>
      </c>
      <c r="C30" s="97"/>
      <c r="D30" s="118">
        <f>IF(Year1_Wokingham Year1_ReReferrals="","",Year1_Wokingham Year1_ReReferrals)</f>
        <v>381</v>
      </c>
      <c r="E30" s="113">
        <f>IF(Year2_Wokingham Year2_ReReferrals="","",Year2_Wokingham Year2_ReReferrals)</f>
        <v>259.00000000000006</v>
      </c>
      <c r="F30" s="113">
        <f>IF(Year3_Wokingham Year3_ReReferrals="","",Year3_Wokingham Year3_ReReferrals)</f>
        <v>195</v>
      </c>
      <c r="G30" s="113">
        <f>IF(Year4_Wokingham Year4_ReReferrals="","",Year4_Wokingham Year4_ReReferrals)</f>
        <v>170</v>
      </c>
      <c r="H30" s="114">
        <f>IF(Year5_Wokingham Year5_ReReferrals="","",Year5_Wokingham Year5_ReReferrals)</f>
        <v>227</v>
      </c>
      <c r="I30" s="392">
        <f t="shared" si="7"/>
        <v>-0.12355212355212375</v>
      </c>
      <c r="J30" s="115"/>
      <c r="K30" s="116">
        <f>IF(ISNUMBER(D30),D30/Population!C29*10000,NA())</f>
        <v>105.24861878453039</v>
      </c>
      <c r="L30" s="116">
        <f>IF(ISNUMBER(E30),E30/Population!D29*10000,NA())</f>
        <v>70.189701897018992</v>
      </c>
      <c r="M30" s="116">
        <f>IF(ISNUMBER(F30),F30/Population!E29*10000,NA())</f>
        <v>52.278820375335123</v>
      </c>
      <c r="N30" s="116">
        <f>IF(ISNUMBER(G30),G30/Population!F29*10000,NA())</f>
        <v>44.714484862831746</v>
      </c>
      <c r="O30" s="117">
        <f>IF(ISNUMBER(H30),H30/Population!G29*10000,NA())</f>
        <v>58.653299571081597</v>
      </c>
      <c r="P30" s="397">
        <f t="shared" si="2"/>
        <v>2</v>
      </c>
      <c r="Q30" s="70"/>
      <c r="R30" s="387">
        <f>IDACI!C30</f>
        <v>6.8000000000000007</v>
      </c>
      <c r="S30" s="388">
        <f t="shared" si="3"/>
        <v>90.451479599999999</v>
      </c>
      <c r="T30" s="389">
        <f t="shared" si="4"/>
        <v>-31.798180028918402</v>
      </c>
      <c r="U30" s="139"/>
      <c r="V30" s="154"/>
      <c r="W30" s="170"/>
      <c r="X30" s="72" t="str">
        <f t="shared" si="1"/>
        <v>Wokingham</v>
      </c>
      <c r="Y30" s="235">
        <v>22</v>
      </c>
      <c r="Z30" s="236">
        <f>IF(D30&gt;0,Population!C29,"")</f>
        <v>36200</v>
      </c>
      <c r="AA30" s="236">
        <f>IF(E30&gt;0,Population!D29,"")</f>
        <v>36900</v>
      </c>
      <c r="AB30" s="236">
        <f>IF(F30&gt;0,Population!E29,"")</f>
        <v>37300</v>
      </c>
      <c r="AC30" s="236">
        <f>IF(G30&gt;0,Population!F29,"")</f>
        <v>38019</v>
      </c>
      <c r="AD30" s="236">
        <f>IF(H30&gt;0,Population!G29,"")</f>
        <v>38702</v>
      </c>
      <c r="AE30" s="232"/>
      <c r="AF30" s="232"/>
      <c r="AG30" s="232"/>
      <c r="AH30" s="217"/>
      <c r="AI30" s="232"/>
      <c r="AJ30" s="178"/>
    </row>
    <row r="31" spans="1:36" s="101" customFormat="1" ht="13.5" customHeight="1" x14ac:dyDescent="0.2">
      <c r="A31" s="138"/>
      <c r="B31" s="146" t="s">
        <v>74</v>
      </c>
      <c r="C31" s="97"/>
      <c r="D31" s="147">
        <f>IF(Year1_SouthEast Year1_ReReferrals="","",Year1_SouthEast Year1_ReReferrals)</f>
        <v>28827</v>
      </c>
      <c r="E31" s="147">
        <f>IF(Year2_SouthEast Year2_ReReferrals="","",Year2_SouthEast Year2_ReReferrals)</f>
        <v>26800</v>
      </c>
      <c r="F31" s="147">
        <f>IF(Year3_SouthEast Year3_ReReferrals="","",Year3_SouthEast Year3_ReReferrals)</f>
        <v>22960</v>
      </c>
      <c r="G31" s="147">
        <f>IF(Year4_SouthEast Year4_ReReferrals="","",Year4_SouthEast Year4_ReReferrals)</f>
        <v>27490</v>
      </c>
      <c r="H31" s="486">
        <f>IF(Year5_SouthEast Year5_ReReferrals="","",Year5_SouthEast Year5_ReReferrals)</f>
        <v>26840</v>
      </c>
      <c r="I31" s="407">
        <f t="shared" si="7"/>
        <v>1.4925373134328358E-3</v>
      </c>
      <c r="J31" s="115"/>
      <c r="K31" s="149">
        <f>IF(ISNUMBER(D31),D31/Z31*10000,NA())</f>
        <v>152.78248887004452</v>
      </c>
      <c r="L31" s="149">
        <f>IF(ISNUMBER(E31),E31/AA31*10000,NA())</f>
        <v>140.74151874803067</v>
      </c>
      <c r="M31" s="149">
        <f t="shared" ref="M31:O31" si="8">IF(ISNUMBER(F31),F31/AB31*10000,NA())</f>
        <v>119.70178822793389</v>
      </c>
      <c r="N31" s="149">
        <f t="shared" si="8"/>
        <v>142.19997692935988</v>
      </c>
      <c r="O31" s="150">
        <f t="shared" si="8"/>
        <v>138.07543219307925</v>
      </c>
      <c r="P31" s="383" t="str">
        <f t="shared" si="2"/>
        <v>--</v>
      </c>
      <c r="Q31" s="70"/>
      <c r="R31" s="385">
        <f>IDACI!C31</f>
        <v>14.45223640702325</v>
      </c>
      <c r="S31" s="149">
        <f t="shared" si="3"/>
        <v>105.25183838402461</v>
      </c>
      <c r="T31" s="390">
        <f t="shared" si="4"/>
        <v>32.823593809054643</v>
      </c>
      <c r="U31" s="139"/>
      <c r="V31" s="154"/>
      <c r="W31" s="170"/>
      <c r="X31" s="72" t="str">
        <f t="shared" si="1"/>
        <v>South East</v>
      </c>
      <c r="Y31" s="235">
        <v>23</v>
      </c>
      <c r="Z31" s="236">
        <f>IF(D31&gt;0,Population!C30,"")</f>
        <v>1886800</v>
      </c>
      <c r="AA31" s="236">
        <f>IF(E31&gt;0,Population!D30,"")</f>
        <v>1904200</v>
      </c>
      <c r="AB31" s="236">
        <f>IF(F31&gt;0,Population!E30,"")</f>
        <v>1918100</v>
      </c>
      <c r="AC31" s="236">
        <f>IF(G31&gt;0,Population!F30,"")</f>
        <v>1933193</v>
      </c>
      <c r="AD31" s="236">
        <f>SUM(AD9:AD21,AD23:AD24,AD27:AD30)</f>
        <v>1943865</v>
      </c>
      <c r="AE31" s="232"/>
      <c r="AF31" s="232"/>
      <c r="AG31" s="232"/>
      <c r="AH31" s="217"/>
      <c r="AI31" s="232"/>
      <c r="AJ31" s="178"/>
    </row>
    <row r="32" spans="1:36" s="101" customFormat="1" ht="13.5" customHeight="1" x14ac:dyDescent="0.2">
      <c r="A32" s="324"/>
      <c r="B32" s="370" t="s">
        <v>130</v>
      </c>
      <c r="C32" s="97"/>
      <c r="D32" s="371">
        <f>IF(Year1_England Year1_ReReferrals="","",Year1_England Year1_ReReferrals)</f>
        <v>154000</v>
      </c>
      <c r="E32" s="371">
        <f>IF(Year2_England Year2_ReReferrals="","",Year2_England Year2_ReReferrals)</f>
        <v>152400</v>
      </c>
      <c r="F32" s="371">
        <f>IF(Year3_England Year3_ReReferrals="","",Year3_England Year3_ReReferrals)</f>
        <v>138700</v>
      </c>
      <c r="G32" s="371">
        <f>IF(Year4_England Year4_ReReferrals="","",Year4_England Year4_ReReferrals)</f>
        <v>141560</v>
      </c>
      <c r="H32" s="487">
        <f>IF(Year5_England Year5_ReReferrals="","",Year5_England Year5_ReReferrals)</f>
        <v>143810</v>
      </c>
      <c r="I32" s="408">
        <f t="shared" si="7"/>
        <v>-5.6364829396325457E-2</v>
      </c>
      <c r="J32" s="115"/>
      <c r="K32" s="373">
        <f>IF(ISNUMBER(D32),D32/Population!C31*10000,NA())</f>
        <v>134.15919643868315</v>
      </c>
      <c r="L32" s="373">
        <f>IF(ISNUMBER(E32),E32/Population!D31*10000,NA())</f>
        <v>131.47338181629959</v>
      </c>
      <c r="M32" s="373">
        <f>IF(ISNUMBER(F32),F32/Population!E31*10000,NA())</f>
        <v>118.77135443872615</v>
      </c>
      <c r="N32" s="373">
        <f>IF(ISNUMBER(G32),G32/Population!F31*10000,NA())</f>
        <v>120.11597181805739</v>
      </c>
      <c r="O32" s="374">
        <f>IF(ISNUMBER(H32),H32/Population!G31*10000,NA())</f>
        <v>121.18523729377296</v>
      </c>
      <c r="P32" s="384" t="str">
        <f t="shared" si="2"/>
        <v>--</v>
      </c>
      <c r="Q32" s="70"/>
      <c r="R32" s="386">
        <f>IDACI!C32</f>
        <v>19.902611588091716</v>
      </c>
      <c r="S32" s="373">
        <f t="shared" si="3"/>
        <v>115.79352892998313</v>
      </c>
      <c r="T32" s="709">
        <f t="shared" si="4"/>
        <v>5.3917083637898315</v>
      </c>
      <c r="U32" s="139"/>
      <c r="V32" s="154"/>
      <c r="W32" s="170"/>
      <c r="X32" s="72" t="str">
        <f t="shared" si="1"/>
        <v>England</v>
      </c>
      <c r="Y32" s="235">
        <v>24</v>
      </c>
      <c r="Z32" s="236">
        <f>IF(D32&gt;0,Population!C31,"")</f>
        <v>11478900</v>
      </c>
      <c r="AA32" s="236">
        <f>IF(E32&gt;0,Population!D31,"")</f>
        <v>11591700</v>
      </c>
      <c r="AB32" s="236">
        <f>IF(F32&gt;0,Population!E31,"")</f>
        <v>11677900</v>
      </c>
      <c r="AC32" s="236">
        <f>IF(G32&gt;0,Population!F31,"")</f>
        <v>11785277</v>
      </c>
      <c r="AD32" s="236">
        <f>IF(H32&gt;0,Population!G31,"")</f>
        <v>11866957</v>
      </c>
      <c r="AE32" s="232"/>
      <c r="AF32" s="232"/>
      <c r="AG32" s="232"/>
      <c r="AH32" s="217"/>
      <c r="AI32" s="232"/>
      <c r="AJ32" s="178"/>
    </row>
    <row r="33" spans="1:49" s="88" customFormat="1" ht="13.5" customHeight="1" x14ac:dyDescent="0.2">
      <c r="A33" s="135"/>
      <c r="B33" s="140" t="s">
        <v>90</v>
      </c>
      <c r="C33" s="64"/>
      <c r="D33" s="64"/>
      <c r="E33" s="64"/>
      <c r="F33" s="64"/>
      <c r="G33" s="64"/>
      <c r="H33" s="64"/>
      <c r="I33" s="64"/>
      <c r="J33" s="64"/>
      <c r="K33" s="64"/>
      <c r="L33" s="64"/>
      <c r="M33" s="64"/>
      <c r="N33" s="64"/>
      <c r="O33" s="64"/>
      <c r="P33" s="151" t="s">
        <v>111</v>
      </c>
      <c r="R33" s="64"/>
      <c r="S33" s="64"/>
      <c r="T33" s="64"/>
      <c r="U33" s="134"/>
      <c r="V33" s="152"/>
      <c r="W33" s="168"/>
      <c r="X33" s="87"/>
      <c r="Y33" s="210"/>
      <c r="Z33" s="210"/>
      <c r="AA33" s="210"/>
      <c r="AB33" s="210"/>
      <c r="AC33" s="210"/>
      <c r="AD33" s="210"/>
      <c r="AE33" s="210"/>
      <c r="AF33" s="210"/>
      <c r="AG33" s="210"/>
      <c r="AI33" s="210"/>
      <c r="AJ33" s="179"/>
    </row>
    <row r="34" spans="1:49" s="88" customFormat="1" ht="29.25" customHeight="1" x14ac:dyDescent="0.2">
      <c r="A34" s="135"/>
      <c r="B34" s="1024"/>
      <c r="C34" s="1025"/>
      <c r="D34" s="1025"/>
      <c r="E34" s="1025"/>
      <c r="F34" s="1025"/>
      <c r="G34" s="1025"/>
      <c r="H34" s="1025"/>
      <c r="I34" s="1025"/>
      <c r="J34" s="1025"/>
      <c r="K34" s="1025"/>
      <c r="L34" s="1025"/>
      <c r="M34" s="1025"/>
      <c r="N34" s="1025"/>
      <c r="O34" s="1025"/>
      <c r="P34" s="1025"/>
      <c r="Q34" s="1025"/>
      <c r="R34" s="1025"/>
      <c r="S34" s="1025"/>
      <c r="T34" s="1026"/>
      <c r="U34" s="134"/>
      <c r="V34" s="152"/>
      <c r="W34" s="168"/>
      <c r="X34" s="87"/>
      <c r="Y34" s="210"/>
      <c r="Z34" s="210"/>
      <c r="AA34" s="210"/>
      <c r="AB34" s="210"/>
      <c r="AC34" s="210"/>
      <c r="AD34" s="210"/>
      <c r="AE34" s="210"/>
      <c r="AF34" s="210"/>
      <c r="AG34" s="210"/>
      <c r="AI34" s="210"/>
      <c r="AJ34" s="175"/>
      <c r="AK34" s="80"/>
      <c r="AL34" s="80"/>
      <c r="AM34" s="80"/>
      <c r="AN34" s="80"/>
      <c r="AO34" s="80"/>
      <c r="AP34" s="80"/>
      <c r="AQ34" s="80"/>
    </row>
    <row r="35" spans="1:49" s="88" customFormat="1" ht="7.5" customHeight="1" x14ac:dyDescent="0.2">
      <c r="A35" s="135"/>
      <c r="B35" s="18"/>
      <c r="C35" s="18"/>
      <c r="D35" s="17"/>
      <c r="E35" s="17"/>
      <c r="F35" s="17"/>
      <c r="G35" s="17"/>
      <c r="H35" s="17"/>
      <c r="I35" s="17"/>
      <c r="J35" s="13"/>
      <c r="K35" s="19"/>
      <c r="L35" s="19"/>
      <c r="M35" s="19"/>
      <c r="N35" s="19"/>
      <c r="O35" s="19"/>
      <c r="P35" s="19"/>
      <c r="Q35" s="19"/>
      <c r="R35" s="19"/>
      <c r="S35" s="19"/>
      <c r="T35" s="20"/>
      <c r="U35" s="134"/>
      <c r="V35" s="152"/>
      <c r="W35" s="168"/>
      <c r="Y35" s="217"/>
      <c r="AI35" s="210"/>
      <c r="AJ35" s="175"/>
      <c r="AK35" s="80"/>
      <c r="AL35" s="80"/>
      <c r="AM35" s="80"/>
      <c r="AN35" s="80"/>
      <c r="AO35" s="80"/>
      <c r="AP35" s="80"/>
      <c r="AQ35" s="80"/>
    </row>
    <row r="36" spans="1:49" s="88" customFormat="1" ht="15" customHeight="1" x14ac:dyDescent="0.2">
      <c r="A36" s="1010"/>
      <c r="B36" s="1018"/>
      <c r="C36" s="1018"/>
      <c r="D36" s="1018"/>
      <c r="E36" s="1018"/>
      <c r="F36" s="1018"/>
      <c r="G36" s="1018"/>
      <c r="H36" s="1018"/>
      <c r="I36" s="1018"/>
      <c r="J36" s="1018"/>
      <c r="K36" s="1018"/>
      <c r="L36" s="1018"/>
      <c r="M36" s="1018"/>
      <c r="N36" s="1018"/>
      <c r="O36" s="1018"/>
      <c r="P36" s="1018"/>
      <c r="Q36" s="1018"/>
      <c r="R36" s="1018"/>
      <c r="S36" s="1018"/>
      <c r="T36" s="1018"/>
      <c r="U36" s="1019"/>
      <c r="V36" s="152"/>
      <c r="W36" s="168"/>
      <c r="Y36" s="217"/>
      <c r="AJ36" s="179"/>
      <c r="AL36" s="88">
        <v>10</v>
      </c>
      <c r="AM36" s="88">
        <v>11</v>
      </c>
      <c r="AN36" s="88">
        <v>12</v>
      </c>
      <c r="AO36" s="88">
        <v>13</v>
      </c>
      <c r="AP36" s="88">
        <v>14</v>
      </c>
      <c r="AR36" s="88">
        <v>3</v>
      </c>
      <c r="AS36" s="25">
        <v>4</v>
      </c>
      <c r="AT36" s="25">
        <v>5</v>
      </c>
      <c r="AU36" s="25">
        <v>6</v>
      </c>
      <c r="AV36" s="24">
        <v>7</v>
      </c>
    </row>
    <row r="37" spans="1:49" s="88" customFormat="1" ht="11.25" customHeight="1" x14ac:dyDescent="0.2">
      <c r="A37" s="1020" t="str">
        <f>Home!$A$35</f>
        <v>LA's provide quarterly data on the condition that it is used by the benchmarking group for internal reporting only. Please DO NOT share other LA's data with any external partners or the public</v>
      </c>
      <c r="B37" s="1021"/>
      <c r="C37" s="1021"/>
      <c r="D37" s="1021"/>
      <c r="E37" s="1021"/>
      <c r="F37" s="1021"/>
      <c r="G37" s="1021"/>
      <c r="H37" s="1021"/>
      <c r="I37" s="1022"/>
      <c r="J37" s="1021"/>
      <c r="K37" s="1021"/>
      <c r="L37" s="1021"/>
      <c r="M37" s="1021"/>
      <c r="N37" s="1021"/>
      <c r="O37" s="1021"/>
      <c r="P37" s="1021"/>
      <c r="Q37" s="1021"/>
      <c r="R37" s="1021"/>
      <c r="S37" s="1022"/>
      <c r="T37" s="1021"/>
      <c r="U37" s="1023"/>
      <c r="V37" s="152"/>
      <c r="W37" s="168"/>
      <c r="Y37" s="217"/>
      <c r="AI37" s="210"/>
      <c r="AJ37" s="178"/>
      <c r="AK37" s="101"/>
      <c r="AL37" s="352" t="s">
        <v>89</v>
      </c>
      <c r="AM37" s="353"/>
      <c r="AN37" s="353"/>
      <c r="AO37" s="353"/>
      <c r="AP37" s="353"/>
      <c r="AQ37" s="352" t="s">
        <v>95</v>
      </c>
      <c r="AR37" s="56" t="s">
        <v>86</v>
      </c>
      <c r="AS37" s="25"/>
      <c r="AT37" s="25"/>
      <c r="AU37" s="25"/>
      <c r="AV37" s="24"/>
    </row>
    <row r="38" spans="1:49" s="88" customFormat="1" ht="11.25" customHeight="1" x14ac:dyDescent="0.2">
      <c r="A38" s="129"/>
      <c r="B38" s="130"/>
      <c r="C38" s="130"/>
      <c r="D38" s="130"/>
      <c r="E38" s="130"/>
      <c r="F38" s="130"/>
      <c r="G38" s="130"/>
      <c r="H38" s="130"/>
      <c r="I38" s="130"/>
      <c r="J38" s="131"/>
      <c r="K38" s="130"/>
      <c r="L38" s="130"/>
      <c r="M38" s="130"/>
      <c r="N38" s="130"/>
      <c r="O38" s="130"/>
      <c r="P38" s="130"/>
      <c r="Q38" s="130"/>
      <c r="R38" s="130"/>
      <c r="S38" s="130"/>
      <c r="T38" s="130"/>
      <c r="U38" s="132"/>
      <c r="V38" s="152"/>
      <c r="W38" s="167" t="s">
        <v>102</v>
      </c>
      <c r="X38" s="224"/>
      <c r="Y38" s="224"/>
      <c r="Z38" s="224"/>
      <c r="AA38" s="224"/>
      <c r="AB38" s="224"/>
      <c r="AI38" s="210"/>
      <c r="AJ38" s="178"/>
      <c r="AK38" s="101"/>
      <c r="AL38" s="352"/>
      <c r="AM38" s="352"/>
      <c r="AN38" s="352"/>
      <c r="AO38" s="352"/>
      <c r="AP38" s="352"/>
      <c r="AQ38" s="353"/>
      <c r="AR38" s="352"/>
      <c r="AS38" s="352"/>
      <c r="AT38" s="352"/>
      <c r="AU38" s="352"/>
      <c r="AV38" s="352"/>
    </row>
    <row r="39" spans="1:49" s="88" customFormat="1" ht="7.5" customHeight="1" x14ac:dyDescent="0.25">
      <c r="A39" s="133"/>
      <c r="B39" s="9"/>
      <c r="C39" s="9"/>
      <c r="D39" s="9"/>
      <c r="E39" s="9"/>
      <c r="F39" s="9"/>
      <c r="G39" s="9"/>
      <c r="H39" s="9"/>
      <c r="I39" s="9"/>
      <c r="J39" s="13"/>
      <c r="K39" s="9"/>
      <c r="L39" s="9"/>
      <c r="M39" s="9"/>
      <c r="N39" s="9"/>
      <c r="O39" s="9"/>
      <c r="P39" s="9"/>
      <c r="Q39" s="9"/>
      <c r="R39" s="9"/>
      <c r="S39" s="9"/>
      <c r="T39" s="9"/>
      <c r="U39" s="134"/>
      <c r="V39" s="152"/>
      <c r="W39" s="326"/>
      <c r="X39" s="646" t="s">
        <v>30</v>
      </c>
      <c r="Y39" s="259" t="s">
        <v>8</v>
      </c>
      <c r="Z39" s="259" t="s">
        <v>103</v>
      </c>
      <c r="AA39" s="1033" t="s">
        <v>76</v>
      </c>
      <c r="AB39" s="1033" t="s">
        <v>77</v>
      </c>
      <c r="AJ39" s="178"/>
      <c r="AK39" s="101"/>
      <c r="AL39" s="352">
        <f>D8</f>
        <v>2014</v>
      </c>
      <c r="AM39" s="352">
        <f>E8</f>
        <v>2015</v>
      </c>
      <c r="AN39" s="352">
        <f>F8</f>
        <v>2016</v>
      </c>
      <c r="AO39" s="352">
        <f>G8</f>
        <v>2017</v>
      </c>
      <c r="AP39" s="352">
        <f>H8</f>
        <v>2018</v>
      </c>
      <c r="AQ39" s="353"/>
      <c r="AR39" s="352">
        <f>K8</f>
        <v>2014</v>
      </c>
      <c r="AS39" s="352">
        <f>L8</f>
        <v>2015</v>
      </c>
      <c r="AT39" s="352">
        <f>M8</f>
        <v>2016</v>
      </c>
      <c r="AU39" s="352">
        <f>N8</f>
        <v>2017</v>
      </c>
      <c r="AV39" s="352">
        <f>O8</f>
        <v>2018</v>
      </c>
    </row>
    <row r="40" spans="1:49" s="88" customFormat="1" ht="14.25" customHeight="1" x14ac:dyDescent="0.2">
      <c r="A40" s="135"/>
      <c r="B40" s="9"/>
      <c r="C40" s="9"/>
      <c r="D40" s="9"/>
      <c r="E40" s="9"/>
      <c r="F40" s="9"/>
      <c r="G40" s="9"/>
      <c r="H40" s="9"/>
      <c r="I40" s="9"/>
      <c r="J40" s="13"/>
      <c r="K40" s="9"/>
      <c r="L40" s="9"/>
      <c r="M40" s="9"/>
      <c r="N40" s="9"/>
      <c r="O40" s="9"/>
      <c r="P40" s="9"/>
      <c r="Q40" s="9"/>
      <c r="R40" s="9"/>
      <c r="S40" s="9"/>
      <c r="T40" s="9"/>
      <c r="U40" s="134"/>
      <c r="V40" s="152"/>
      <c r="W40" s="326"/>
      <c r="X40" s="647" t="e">
        <f ca="1">OFFSET(B8,$X$4,0)</f>
        <v>#N/A</v>
      </c>
      <c r="Y40" s="238" t="e">
        <f ca="1">OFFSET(R7,(VLOOKUP(X40,$Y$41:$Z$62,2,FALSE)),0)</f>
        <v>#N/A</v>
      </c>
      <c r="Z40" s="238" t="e">
        <f ca="1">(OFFSET(O7,(VLOOKUP(X40,$Y$41:$Z$62,2,FALSE)),0))</f>
        <v>#N/A</v>
      </c>
      <c r="AA40" s="1034"/>
      <c r="AB40" s="1034"/>
      <c r="AI40" s="642" t="b">
        <v>1</v>
      </c>
      <c r="AJ40" s="178" t="s">
        <v>0</v>
      </c>
      <c r="AK40" s="101" t="str">
        <f t="shared" ref="AK40:AK63" si="9">IF(AI40=TRUE,B9,"")</f>
        <v>Bracknell Forest</v>
      </c>
      <c r="AL40" s="164">
        <f t="shared" ref="AL40:AP62" si="10">VLOOKUP($AK40,$B$9:$O$32,AL$36,FALSE)</f>
        <v>88.560885608856083</v>
      </c>
      <c r="AM40" s="164">
        <f t="shared" si="10"/>
        <v>78.057553956834539</v>
      </c>
      <c r="AN40" s="164">
        <f t="shared" si="10"/>
        <v>79.787234042553166</v>
      </c>
      <c r="AO40" s="164">
        <f t="shared" si="10"/>
        <v>137.36068715837297</v>
      </c>
      <c r="AP40" s="164">
        <f t="shared" si="10"/>
        <v>152.47052117844038</v>
      </c>
      <c r="AQ40" s="165">
        <f>VLOOKUP(AK40,$B$9:$T$32,17,FALSE)</f>
        <v>11</v>
      </c>
      <c r="AR40" s="398">
        <f t="shared" ref="AR40:AV55" si="11">VLOOKUP($AK40,$B$110:$H$133,AR$36,FALSE)</f>
        <v>0.21126760563380281</v>
      </c>
      <c r="AS40" s="398">
        <f t="shared" si="11"/>
        <v>0.20471698113207551</v>
      </c>
      <c r="AT40" s="398">
        <f t="shared" si="11"/>
        <v>0.172281776416539</v>
      </c>
      <c r="AU40" s="398">
        <f t="shared" si="11"/>
        <v>0.23540145985401459</v>
      </c>
      <c r="AV40" s="398">
        <f t="shared" si="11"/>
        <v>0.23529411764705882</v>
      </c>
    </row>
    <row r="41" spans="1:49" s="88" customFormat="1" ht="14.25" customHeight="1" x14ac:dyDescent="0.2">
      <c r="A41" s="135"/>
      <c r="B41" s="9"/>
      <c r="C41" s="9"/>
      <c r="D41" s="9"/>
      <c r="E41" s="9"/>
      <c r="F41" s="9"/>
      <c r="G41" s="9"/>
      <c r="H41" s="9"/>
      <c r="I41" s="9"/>
      <c r="J41" s="13"/>
      <c r="K41" s="9"/>
      <c r="L41" s="9"/>
      <c r="M41" s="9"/>
      <c r="N41" s="9"/>
      <c r="O41" s="9"/>
      <c r="P41" s="9"/>
      <c r="Q41" s="9"/>
      <c r="R41" s="9"/>
      <c r="S41" s="9"/>
      <c r="T41" s="9"/>
      <c r="U41" s="134"/>
      <c r="V41" s="152"/>
      <c r="W41" s="326"/>
      <c r="X41" s="647">
        <v>1</v>
      </c>
      <c r="Y41" s="50" t="str">
        <f t="shared" ref="Y41:Y64" si="12">B9</f>
        <v>Bracknell Forest</v>
      </c>
      <c r="Z41" s="45">
        <v>2</v>
      </c>
      <c r="AA41" s="46">
        <f>IF(H9&gt;0,IDACI!D9,0)</f>
        <v>23799</v>
      </c>
      <c r="AB41" s="46">
        <f>IF(H9&gt;0,IDACI!E9,0)</f>
        <v>2617.89</v>
      </c>
      <c r="AI41" s="642" t="b">
        <v>1</v>
      </c>
      <c r="AJ41" s="178" t="s">
        <v>32</v>
      </c>
      <c r="AK41" s="101" t="str">
        <f t="shared" si="9"/>
        <v>Brighton &amp; Hove</v>
      </c>
      <c r="AL41" s="164">
        <f t="shared" si="10"/>
        <v>276.43564356435644</v>
      </c>
      <c r="AM41" s="164">
        <f t="shared" si="10"/>
        <v>519.41176470588221</v>
      </c>
      <c r="AN41" s="164">
        <f t="shared" si="10"/>
        <v>215.03906250000014</v>
      </c>
      <c r="AO41" s="164">
        <f t="shared" si="10"/>
        <v>163.9983619664203</v>
      </c>
      <c r="AP41" s="164">
        <f t="shared" si="10"/>
        <v>185.75547753084481</v>
      </c>
      <c r="AQ41" s="165">
        <f t="shared" ref="AQ41:AQ63" si="13">VLOOKUP(AK41,$B$9:$T$31,17,FALSE)</f>
        <v>18.3</v>
      </c>
      <c r="AR41" s="398">
        <f t="shared" si="11"/>
        <v>0.32986767485822305</v>
      </c>
      <c r="AS41" s="398">
        <f t="shared" si="11"/>
        <v>0.36252908170247694</v>
      </c>
      <c r="AT41" s="398">
        <f t="shared" si="11"/>
        <v>0.32136602451838897</v>
      </c>
      <c r="AU41" s="398">
        <f t="shared" si="11"/>
        <v>0.24698972099853156</v>
      </c>
      <c r="AV41" s="398">
        <f t="shared" si="11"/>
        <v>0.28319377990430622</v>
      </c>
    </row>
    <row r="42" spans="1:49" ht="14.25" customHeight="1" x14ac:dyDescent="0.2">
      <c r="A42" s="135"/>
      <c r="B42" s="9"/>
      <c r="C42" s="9"/>
      <c r="D42" s="9"/>
      <c r="E42" s="9"/>
      <c r="F42" s="9"/>
      <c r="G42" s="9"/>
      <c r="H42" s="9"/>
      <c r="I42" s="9"/>
      <c r="J42" s="13"/>
      <c r="K42" s="9"/>
      <c r="L42" s="9"/>
      <c r="M42" s="9"/>
      <c r="N42" s="9"/>
      <c r="O42" s="9"/>
      <c r="P42" s="9"/>
      <c r="Q42" s="9"/>
      <c r="R42" s="9"/>
      <c r="S42" s="9"/>
      <c r="T42" s="9"/>
      <c r="U42" s="134"/>
      <c r="V42" s="152"/>
      <c r="W42" s="326"/>
      <c r="X42" s="647">
        <v>2</v>
      </c>
      <c r="Y42" s="50" t="str">
        <f t="shared" si="12"/>
        <v>Brighton &amp; Hove</v>
      </c>
      <c r="Z42" s="45">
        <v>3</v>
      </c>
      <c r="AA42" s="46">
        <f>IF(H10&gt;0,IDACI!D10,0)</f>
        <v>44814</v>
      </c>
      <c r="AB42" s="46">
        <f>IF(H10&gt;0,IDACI!E10,0)</f>
        <v>8200.9619999999995</v>
      </c>
      <c r="AI42" s="642" t="b">
        <v>1</v>
      </c>
      <c r="AJ42" s="178" t="s">
        <v>9</v>
      </c>
      <c r="AK42" s="101" t="str">
        <f t="shared" si="9"/>
        <v>Buckinghamshire</v>
      </c>
      <c r="AL42" s="164">
        <f t="shared" si="10"/>
        <v>215.47619047619048</v>
      </c>
      <c r="AM42" s="164">
        <f t="shared" si="10"/>
        <v>117.57779646761976</v>
      </c>
      <c r="AN42" s="164">
        <f t="shared" si="10"/>
        <v>152.65339966832482</v>
      </c>
      <c r="AO42" s="164">
        <f t="shared" si="10"/>
        <v>247.86219876437133</v>
      </c>
      <c r="AP42" s="164">
        <f t="shared" si="10"/>
        <v>261.385334145846</v>
      </c>
      <c r="AQ42" s="165">
        <f t="shared" si="13"/>
        <v>9.8000000000000007</v>
      </c>
      <c r="AR42" s="398">
        <f t="shared" si="11"/>
        <v>0.34631679650129837</v>
      </c>
      <c r="AS42" s="398">
        <f t="shared" si="11"/>
        <v>0.27256775199844008</v>
      </c>
      <c r="AT42" s="398">
        <f t="shared" si="11"/>
        <v>0.26458752515090506</v>
      </c>
      <c r="AU42" s="398">
        <f t="shared" si="11"/>
        <v>0.32909604519774011</v>
      </c>
      <c r="AV42" s="398">
        <f t="shared" si="11"/>
        <v>0.31121215052723228</v>
      </c>
      <c r="AW42" s="88"/>
    </row>
    <row r="43" spans="1:49" ht="14.25" customHeight="1" x14ac:dyDescent="0.2">
      <c r="A43" s="135"/>
      <c r="B43" s="9"/>
      <c r="C43" s="9"/>
      <c r="D43" s="9"/>
      <c r="E43" s="9"/>
      <c r="F43" s="9"/>
      <c r="G43" s="9"/>
      <c r="H43" s="9"/>
      <c r="I43" s="9"/>
      <c r="J43" s="13"/>
      <c r="K43" s="14"/>
      <c r="L43" s="14"/>
      <c r="M43" s="14"/>
      <c r="N43" s="14"/>
      <c r="O43" s="15"/>
      <c r="P43" s="15"/>
      <c r="Q43" s="15"/>
      <c r="R43" s="15"/>
      <c r="S43" s="15"/>
      <c r="T43" s="15"/>
      <c r="U43" s="134"/>
      <c r="V43" s="152"/>
      <c r="W43" s="326"/>
      <c r="X43" s="647">
        <v>3</v>
      </c>
      <c r="Y43" s="50" t="str">
        <f t="shared" si="12"/>
        <v>Buckinghamshire</v>
      </c>
      <c r="Z43" s="45">
        <v>4</v>
      </c>
      <c r="AA43" s="46">
        <f>IF(H11&gt;0,IDACI!D11,0)</f>
        <v>103548</v>
      </c>
      <c r="AB43" s="46">
        <f>IF(H11&gt;0,IDACI!E11,0)</f>
        <v>10147.704</v>
      </c>
      <c r="AI43" s="642" t="b">
        <v>1</v>
      </c>
      <c r="AJ43" s="178" t="s">
        <v>4</v>
      </c>
      <c r="AK43" s="101" t="str">
        <f t="shared" si="9"/>
        <v>East Sussex</v>
      </c>
      <c r="AL43" s="164">
        <f t="shared" si="10"/>
        <v>217.55725190839695</v>
      </c>
      <c r="AM43" s="164">
        <f t="shared" si="10"/>
        <v>89.184060721062608</v>
      </c>
      <c r="AN43" s="164">
        <f t="shared" si="10"/>
        <v>43.909348441926362</v>
      </c>
      <c r="AO43" s="164">
        <f t="shared" si="10"/>
        <v>51.64128659497937</v>
      </c>
      <c r="AP43" s="164">
        <f t="shared" si="10"/>
        <v>72.79928332311755</v>
      </c>
      <c r="AQ43" s="165">
        <f t="shared" si="13"/>
        <v>17.399999999999999</v>
      </c>
      <c r="AR43" s="398">
        <f t="shared" si="11"/>
        <v>0.30686406460296095</v>
      </c>
      <c r="AS43" s="398">
        <f t="shared" si="11"/>
        <v>0.23558897243107765</v>
      </c>
      <c r="AT43" s="398">
        <f t="shared" si="11"/>
        <v>0.14540337711069423</v>
      </c>
      <c r="AU43" s="398">
        <f t="shared" si="11"/>
        <v>0.14880304678998912</v>
      </c>
      <c r="AV43" s="398">
        <f t="shared" si="11"/>
        <v>0.17678039844286697</v>
      </c>
      <c r="AW43" s="88"/>
    </row>
    <row r="44" spans="1:49" s="82" customFormat="1" ht="14.25" customHeight="1" x14ac:dyDescent="0.2">
      <c r="A44" s="136"/>
      <c r="B44" s="256"/>
      <c r="C44" s="256"/>
      <c r="D44" s="257"/>
      <c r="E44" s="257"/>
      <c r="F44" s="257"/>
      <c r="G44" s="257"/>
      <c r="H44" s="257"/>
      <c r="I44" s="257"/>
      <c r="J44" s="16"/>
      <c r="K44" s="9"/>
      <c r="L44" s="9"/>
      <c r="M44" s="9"/>
      <c r="N44" s="9"/>
      <c r="O44" s="9"/>
      <c r="P44" s="9"/>
      <c r="Q44" s="9"/>
      <c r="R44" s="9"/>
      <c r="S44" s="9"/>
      <c r="T44" s="9"/>
      <c r="U44" s="137"/>
      <c r="V44" s="153"/>
      <c r="W44" s="327"/>
      <c r="X44" s="647">
        <v>4</v>
      </c>
      <c r="Y44" s="50" t="str">
        <f t="shared" si="12"/>
        <v>East Sussex</v>
      </c>
      <c r="Z44" s="45">
        <v>5</v>
      </c>
      <c r="AA44" s="46">
        <f>IF(H12&gt;0,IDACI!D12,0)</f>
        <v>91918</v>
      </c>
      <c r="AB44" s="46">
        <f>IF(H12&gt;0,IDACI!E12,0)</f>
        <v>15993.731999999998</v>
      </c>
      <c r="AC44" s="88"/>
      <c r="AD44" s="88"/>
      <c r="AE44" s="88"/>
      <c r="AF44" s="88"/>
      <c r="AG44" s="88"/>
      <c r="AH44" s="88"/>
      <c r="AI44" s="642" t="b">
        <v>1</v>
      </c>
      <c r="AJ44" s="178" t="s">
        <v>6</v>
      </c>
      <c r="AK44" s="101" t="str">
        <f t="shared" si="9"/>
        <v>Hampshire</v>
      </c>
      <c r="AL44" s="164">
        <f t="shared" si="10"/>
        <v>160.23412557644556</v>
      </c>
      <c r="AM44" s="164">
        <f t="shared" si="10"/>
        <v>189.16518650088807</v>
      </c>
      <c r="AN44" s="164">
        <f t="shared" si="10"/>
        <v>166.54842142603761</v>
      </c>
      <c r="AO44" s="164">
        <f t="shared" si="10"/>
        <v>210.96852445799195</v>
      </c>
      <c r="AP44" s="164">
        <f t="shared" si="10"/>
        <v>168.43502262507326</v>
      </c>
      <c r="AQ44" s="165">
        <f t="shared" si="13"/>
        <v>11.799999999999999</v>
      </c>
      <c r="AR44" s="398">
        <f t="shared" si="11"/>
        <v>0.27862077473476438</v>
      </c>
      <c r="AS44" s="398">
        <f t="shared" si="11"/>
        <v>0.31792942862260426</v>
      </c>
      <c r="AT44" s="398">
        <f t="shared" si="11"/>
        <v>0.28171126845073802</v>
      </c>
      <c r="AU44" s="398">
        <f t="shared" si="11"/>
        <v>0.30697195780807823</v>
      </c>
      <c r="AV44" s="398">
        <f t="shared" si="11"/>
        <v>0.29612162581445856</v>
      </c>
    </row>
    <row r="45" spans="1:49" ht="14.25" customHeight="1" x14ac:dyDescent="0.2">
      <c r="A45" s="135"/>
      <c r="B45" s="257"/>
      <c r="C45" s="257"/>
      <c r="D45" s="257"/>
      <c r="E45" s="257"/>
      <c r="F45" s="257"/>
      <c r="G45" s="257"/>
      <c r="H45" s="257"/>
      <c r="I45" s="257"/>
      <c r="J45" s="13"/>
      <c r="K45" s="15"/>
      <c r="L45" s="15"/>
      <c r="M45" s="15"/>
      <c r="N45" s="15"/>
      <c r="O45" s="9"/>
      <c r="P45" s="9"/>
      <c r="Q45" s="9"/>
      <c r="R45" s="9"/>
      <c r="S45" s="9"/>
      <c r="T45" s="9"/>
      <c r="U45" s="134"/>
      <c r="V45" s="152"/>
      <c r="W45" s="326"/>
      <c r="X45" s="647">
        <v>5</v>
      </c>
      <c r="Y45" s="50" t="str">
        <f t="shared" si="12"/>
        <v>Hampshire</v>
      </c>
      <c r="Z45" s="45">
        <v>6</v>
      </c>
      <c r="AA45" s="46">
        <f>IF(H13&gt;0,IDACI!D13,0)</f>
        <v>247800</v>
      </c>
      <c r="AB45" s="46">
        <f>IF(H13&gt;0,IDACI!E13,0)</f>
        <v>29240.399999999998</v>
      </c>
      <c r="AI45" s="642" t="b">
        <v>1</v>
      </c>
      <c r="AJ45" s="178" t="s">
        <v>1</v>
      </c>
      <c r="AK45" s="101" t="str">
        <f t="shared" si="9"/>
        <v>Isle of Wight</v>
      </c>
      <c r="AL45" s="164">
        <f t="shared" si="10"/>
        <v>261.62790697674421</v>
      </c>
      <c r="AM45" s="164">
        <f t="shared" si="10"/>
        <v>321.96078431372536</v>
      </c>
      <c r="AN45" s="164">
        <f t="shared" si="10"/>
        <v>310.67193675889325</v>
      </c>
      <c r="AO45" s="164">
        <f t="shared" si="10"/>
        <v>314.28571428571433</v>
      </c>
      <c r="AP45" s="164">
        <f t="shared" si="10"/>
        <v>271.00379165835164</v>
      </c>
      <c r="AQ45" s="165">
        <f t="shared" si="13"/>
        <v>20.399999999999999</v>
      </c>
      <c r="AR45" s="398">
        <f t="shared" si="11"/>
        <v>0.30529172320217096</v>
      </c>
      <c r="AS45" s="398">
        <f t="shared" si="11"/>
        <v>0.34568421052631571</v>
      </c>
      <c r="AT45" s="398">
        <f t="shared" si="11"/>
        <v>0.3290079531184596</v>
      </c>
      <c r="AU45" s="398">
        <f t="shared" si="11"/>
        <v>0.30309988518943742</v>
      </c>
      <c r="AV45" s="398">
        <f t="shared" si="11"/>
        <v>0.30696202531645572</v>
      </c>
    </row>
    <row r="46" spans="1:49" ht="14.25" customHeight="1" x14ac:dyDescent="0.2">
      <c r="A46" s="135"/>
      <c r="B46" s="257"/>
      <c r="C46" s="257"/>
      <c r="D46" s="257"/>
      <c r="E46" s="257"/>
      <c r="F46" s="257"/>
      <c r="G46" s="257"/>
      <c r="H46" s="257"/>
      <c r="I46" s="257"/>
      <c r="J46" s="13"/>
      <c r="K46" s="15"/>
      <c r="L46" s="15"/>
      <c r="M46" s="15"/>
      <c r="N46" s="15"/>
      <c r="O46" s="9"/>
      <c r="P46" s="9"/>
      <c r="Q46" s="9"/>
      <c r="R46" s="9"/>
      <c r="S46" s="9"/>
      <c r="T46" s="9"/>
      <c r="U46" s="134"/>
      <c r="V46" s="152"/>
      <c r="W46" s="326"/>
      <c r="X46" s="647">
        <v>6</v>
      </c>
      <c r="Y46" s="50" t="str">
        <f t="shared" si="12"/>
        <v>Isle of Wight</v>
      </c>
      <c r="Z46" s="45">
        <v>7</v>
      </c>
      <c r="AA46" s="46">
        <f>IF(H14&gt;0,IDACI!D14,0)</f>
        <v>22502</v>
      </c>
      <c r="AB46" s="46">
        <f>IF(H14&gt;0,IDACI!E14,0)</f>
        <v>4590.4079999999994</v>
      </c>
      <c r="AC46" s="239"/>
      <c r="AI46" s="642" t="b">
        <v>1</v>
      </c>
      <c r="AJ46" s="178" t="s">
        <v>10</v>
      </c>
      <c r="AK46" s="101" t="str">
        <f t="shared" si="9"/>
        <v>Kent</v>
      </c>
      <c r="AL46" s="164">
        <f t="shared" si="10"/>
        <v>155.77395577395578</v>
      </c>
      <c r="AM46" s="164">
        <f t="shared" si="10"/>
        <v>142.64392324093816</v>
      </c>
      <c r="AN46" s="164">
        <f t="shared" si="10"/>
        <v>96.761501210653833</v>
      </c>
      <c r="AO46" s="164">
        <f t="shared" si="10"/>
        <v>109.17443588704228</v>
      </c>
      <c r="AP46" s="164">
        <f t="shared" si="10"/>
        <v>133.05959713172066</v>
      </c>
      <c r="AQ46" s="165">
        <f t="shared" si="13"/>
        <v>17.8</v>
      </c>
      <c r="AR46" s="398">
        <f t="shared" si="11"/>
        <v>0.26466290962220829</v>
      </c>
      <c r="AS46" s="398">
        <f t="shared" si="11"/>
        <v>0.28332022505898724</v>
      </c>
      <c r="AT46" s="398">
        <f t="shared" si="11"/>
        <v>0.20838221874592638</v>
      </c>
      <c r="AU46" s="398">
        <f t="shared" si="11"/>
        <v>0.23005378044922492</v>
      </c>
      <c r="AV46" s="398">
        <f t="shared" si="11"/>
        <v>0.23083673153357767</v>
      </c>
    </row>
    <row r="47" spans="1:49" ht="14.25" customHeight="1" x14ac:dyDescent="0.2">
      <c r="A47" s="135"/>
      <c r="B47" s="58"/>
      <c r="C47" s="58"/>
      <c r="D47" s="58"/>
      <c r="E47" s="58"/>
      <c r="F47" s="58"/>
      <c r="G47" s="58"/>
      <c r="H47" s="58"/>
      <c r="I47" s="58"/>
      <c r="J47" s="13"/>
      <c r="K47" s="15"/>
      <c r="L47" s="15"/>
      <c r="M47" s="15"/>
      <c r="N47" s="15"/>
      <c r="O47" s="9"/>
      <c r="P47" s="9"/>
      <c r="Q47" s="9"/>
      <c r="R47" s="9"/>
      <c r="S47" s="9"/>
      <c r="T47" s="9"/>
      <c r="U47" s="134"/>
      <c r="V47" s="152"/>
      <c r="W47" s="326"/>
      <c r="X47" s="647">
        <v>7</v>
      </c>
      <c r="Y47" s="50" t="str">
        <f t="shared" si="12"/>
        <v>Kent</v>
      </c>
      <c r="Z47" s="45">
        <v>8</v>
      </c>
      <c r="AA47" s="46">
        <f>IF(H15&gt;0,IDACI!D15,0)</f>
        <v>286168</v>
      </c>
      <c r="AB47" s="46">
        <f>IF(H15&gt;0,IDACI!E15,0)</f>
        <v>50937.904000000002</v>
      </c>
      <c r="AC47" s="210"/>
      <c r="AI47" s="642" t="b">
        <v>1</v>
      </c>
      <c r="AJ47" s="178" t="s">
        <v>2</v>
      </c>
      <c r="AK47" s="101" t="str">
        <f t="shared" si="9"/>
        <v>Medway</v>
      </c>
      <c r="AL47" s="164">
        <f t="shared" si="10"/>
        <v>207.30519480519482</v>
      </c>
      <c r="AM47" s="164">
        <f t="shared" si="10"/>
        <v>98.399999999999949</v>
      </c>
      <c r="AN47" s="164">
        <f t="shared" si="10"/>
        <v>87.974683544303801</v>
      </c>
      <c r="AO47" s="164">
        <f t="shared" si="10"/>
        <v>75.513760459676277</v>
      </c>
      <c r="AP47" s="164">
        <f t="shared" si="10"/>
        <v>69.436842187573305</v>
      </c>
      <c r="AQ47" s="165">
        <f t="shared" si="13"/>
        <v>22</v>
      </c>
      <c r="AR47" s="398">
        <f t="shared" si="11"/>
        <v>0.29983564216952335</v>
      </c>
      <c r="AS47" s="398">
        <f t="shared" si="11"/>
        <v>0.19967532467532456</v>
      </c>
      <c r="AT47" s="398">
        <f t="shared" si="11"/>
        <v>0.16508313539192399</v>
      </c>
      <c r="AU47" s="398">
        <f t="shared" si="11"/>
        <v>0.17606149341142022</v>
      </c>
      <c r="AV47" s="398">
        <f t="shared" si="11"/>
        <v>0.16998468606431852</v>
      </c>
    </row>
    <row r="48" spans="1:49" ht="14.25" customHeight="1" x14ac:dyDescent="0.2">
      <c r="A48" s="135"/>
      <c r="B48" s="58"/>
      <c r="C48" s="58"/>
      <c r="D48" s="69"/>
      <c r="E48" s="70"/>
      <c r="F48" s="69"/>
      <c r="G48" s="70"/>
      <c r="H48" s="70"/>
      <c r="I48" s="70"/>
      <c r="J48" s="13"/>
      <c r="K48" s="15"/>
      <c r="L48" s="15"/>
      <c r="M48" s="15"/>
      <c r="N48" s="15"/>
      <c r="O48" s="9"/>
      <c r="P48" s="9"/>
      <c r="Q48" s="9"/>
      <c r="R48" s="9"/>
      <c r="S48" s="9"/>
      <c r="T48" s="9"/>
      <c r="U48" s="134"/>
      <c r="V48" s="152"/>
      <c r="W48" s="326"/>
      <c r="X48" s="647">
        <v>8</v>
      </c>
      <c r="Y48" s="50" t="str">
        <f t="shared" si="12"/>
        <v>Medway</v>
      </c>
      <c r="Z48" s="45">
        <v>9</v>
      </c>
      <c r="AA48" s="46">
        <f>IF(H16&gt;0,IDACI!D16,0)</f>
        <v>54280</v>
      </c>
      <c r="AB48" s="46">
        <f>IF(H16&gt;0,IDACI!E16,0)</f>
        <v>11941.6</v>
      </c>
      <c r="AI48" s="642" t="b">
        <v>1</v>
      </c>
      <c r="AJ48" s="178" t="s">
        <v>11</v>
      </c>
      <c r="AK48" s="101" t="str">
        <f t="shared" si="9"/>
        <v>Milton Keynes</v>
      </c>
      <c r="AL48" s="164">
        <f t="shared" si="10"/>
        <v>127.49999999999999</v>
      </c>
      <c r="AM48" s="164">
        <f t="shared" si="10"/>
        <v>91.25766871165645</v>
      </c>
      <c r="AN48" s="164">
        <f t="shared" si="10"/>
        <v>87.745839636913772</v>
      </c>
      <c r="AO48" s="164">
        <f t="shared" si="10"/>
        <v>87.570369046555271</v>
      </c>
      <c r="AP48" s="164">
        <f t="shared" si="10"/>
        <v>71.695714518012622</v>
      </c>
      <c r="AQ48" s="165">
        <f t="shared" si="13"/>
        <v>19.7</v>
      </c>
      <c r="AR48" s="398">
        <f t="shared" si="11"/>
        <v>0.26003824091778205</v>
      </c>
      <c r="AS48" s="398">
        <f t="shared" si="11"/>
        <v>0.23160762942779295</v>
      </c>
      <c r="AT48" s="398">
        <f t="shared" si="11"/>
        <v>0.20946189960274467</v>
      </c>
      <c r="AU48" s="398">
        <f t="shared" si="11"/>
        <v>0.19072332144015569</v>
      </c>
      <c r="AV48" s="398">
        <f t="shared" si="11"/>
        <v>0.2055955913522679</v>
      </c>
    </row>
    <row r="49" spans="1:48" ht="14.25" customHeight="1" x14ac:dyDescent="0.2">
      <c r="A49" s="135"/>
      <c r="B49" s="58"/>
      <c r="C49" s="58"/>
      <c r="D49" s="62"/>
      <c r="E49" s="62"/>
      <c r="F49" s="62"/>
      <c r="G49" s="62"/>
      <c r="H49" s="62"/>
      <c r="I49" s="62"/>
      <c r="J49" s="13"/>
      <c r="K49" s="15"/>
      <c r="L49" s="15"/>
      <c r="M49" s="15"/>
      <c r="N49" s="15"/>
      <c r="O49" s="9"/>
      <c r="P49" s="9"/>
      <c r="Q49" s="9"/>
      <c r="R49" s="9"/>
      <c r="S49" s="9"/>
      <c r="T49" s="9"/>
      <c r="U49" s="134"/>
      <c r="V49" s="152"/>
      <c r="W49" s="326"/>
      <c r="X49" s="647">
        <v>9</v>
      </c>
      <c r="Y49" s="50" t="str">
        <f t="shared" si="12"/>
        <v>Milton Keynes</v>
      </c>
      <c r="Z49" s="45">
        <v>10</v>
      </c>
      <c r="AA49" s="46">
        <f>IF(H17&gt;0,IDACI!D17,0)</f>
        <v>56637</v>
      </c>
      <c r="AB49" s="46">
        <f>IF(H17&gt;0,IDACI!E17,0)</f>
        <v>11157.489</v>
      </c>
      <c r="AI49" s="642" t="b">
        <v>1</v>
      </c>
      <c r="AJ49" s="178" t="s">
        <v>12</v>
      </c>
      <c r="AK49" s="101" t="str">
        <f t="shared" si="9"/>
        <v>Oxfordshire</v>
      </c>
      <c r="AL49" s="164">
        <f t="shared" si="10"/>
        <v>95.866001425516743</v>
      </c>
      <c r="AM49" s="164">
        <f t="shared" si="10"/>
        <v>97.521246458923528</v>
      </c>
      <c r="AN49" s="164">
        <f t="shared" si="10"/>
        <v>120.73342736248237</v>
      </c>
      <c r="AO49" s="164">
        <f t="shared" si="10"/>
        <v>98.322568003527024</v>
      </c>
      <c r="AP49" s="164">
        <f t="shared" si="10"/>
        <v>88.396865675803795</v>
      </c>
      <c r="AQ49" s="165">
        <f t="shared" si="13"/>
        <v>11.799999999999999</v>
      </c>
      <c r="AR49" s="398">
        <f t="shared" si="11"/>
        <v>0.22777307366638441</v>
      </c>
      <c r="AS49" s="398">
        <f t="shared" si="11"/>
        <v>0.24315733710047682</v>
      </c>
      <c r="AT49" s="398">
        <f t="shared" si="11"/>
        <v>0.25362962962962965</v>
      </c>
      <c r="AU49" s="398">
        <f t="shared" si="11"/>
        <v>0.19883951316161902</v>
      </c>
      <c r="AV49" s="398">
        <f t="shared" si="11"/>
        <v>0.18608746697974757</v>
      </c>
    </row>
    <row r="50" spans="1:48" ht="14.25" customHeight="1" x14ac:dyDescent="0.2">
      <c r="A50" s="135"/>
      <c r="B50" s="362"/>
      <c r="C50" s="362"/>
      <c r="D50" s="58"/>
      <c r="E50" s="58"/>
      <c r="F50" s="58"/>
      <c r="G50" s="58"/>
      <c r="H50" s="58"/>
      <c r="I50" s="58"/>
      <c r="J50" s="13"/>
      <c r="K50" s="15"/>
      <c r="L50" s="15"/>
      <c r="M50" s="15"/>
      <c r="N50" s="15"/>
      <c r="O50" s="9"/>
      <c r="P50" s="9"/>
      <c r="Q50" s="9"/>
      <c r="R50" s="9"/>
      <c r="S50" s="9"/>
      <c r="T50" s="9"/>
      <c r="U50" s="134"/>
      <c r="V50" s="152"/>
      <c r="W50" s="326"/>
      <c r="X50" s="647">
        <v>10</v>
      </c>
      <c r="Y50" s="50" t="str">
        <f t="shared" si="12"/>
        <v>Oxfordshire</v>
      </c>
      <c r="Z50" s="45">
        <v>11</v>
      </c>
      <c r="AA50" s="46">
        <f>IF(H18&gt;0,IDACI!D18,0)</f>
        <v>123975</v>
      </c>
      <c r="AB50" s="46">
        <f>IF(H18&gt;0,IDACI!E18,0)</f>
        <v>14629.05</v>
      </c>
      <c r="AI50" s="642" t="b">
        <v>1</v>
      </c>
      <c r="AJ50" s="178" t="s">
        <v>13</v>
      </c>
      <c r="AK50" s="101" t="str">
        <f t="shared" si="9"/>
        <v>Portsmouth</v>
      </c>
      <c r="AL50" s="164">
        <f t="shared" si="10"/>
        <v>102.58215962441315</v>
      </c>
      <c r="AM50" s="164">
        <f t="shared" si="10"/>
        <v>87.557603686635858</v>
      </c>
      <c r="AN50" s="164">
        <f t="shared" si="10"/>
        <v>92.922374429223723</v>
      </c>
      <c r="AO50" s="164">
        <f t="shared" si="10"/>
        <v>146.59090909090909</v>
      </c>
      <c r="AP50" s="164">
        <f t="shared" si="10"/>
        <v>146.40658942795076</v>
      </c>
      <c r="AQ50" s="165">
        <f t="shared" si="13"/>
        <v>23.799999999999997</v>
      </c>
      <c r="AR50" s="398">
        <f t="shared" si="11"/>
        <v>0.23984632272228321</v>
      </c>
      <c r="AS50" s="398">
        <f t="shared" si="11"/>
        <v>0.19781363872982802</v>
      </c>
      <c r="AT50" s="398">
        <f t="shared" si="11"/>
        <v>0.19445771619684657</v>
      </c>
      <c r="AU50" s="398">
        <f t="shared" si="11"/>
        <v>0.25934861278648974</v>
      </c>
      <c r="AV50" s="398">
        <f t="shared" si="11"/>
        <v>0.22741652021089631</v>
      </c>
    </row>
    <row r="51" spans="1:48" ht="14.25" customHeight="1" x14ac:dyDescent="0.2">
      <c r="A51" s="135"/>
      <c r="B51" s="362"/>
      <c r="C51" s="362"/>
      <c r="D51" s="58"/>
      <c r="E51" s="58"/>
      <c r="F51" s="58"/>
      <c r="G51" s="58"/>
      <c r="H51" s="58"/>
      <c r="I51" s="58"/>
      <c r="J51" s="13"/>
      <c r="K51" s="15"/>
      <c r="L51" s="15"/>
      <c r="M51" s="15"/>
      <c r="N51" s="15"/>
      <c r="O51" s="9"/>
      <c r="P51" s="9"/>
      <c r="Q51" s="9"/>
      <c r="R51" s="9"/>
      <c r="S51" s="9"/>
      <c r="T51" s="9"/>
      <c r="U51" s="134"/>
      <c r="V51" s="152"/>
      <c r="W51" s="326"/>
      <c r="X51" s="647">
        <v>11</v>
      </c>
      <c r="Y51" s="50" t="str">
        <f t="shared" si="12"/>
        <v>Portsmouth</v>
      </c>
      <c r="Z51" s="45">
        <v>12</v>
      </c>
      <c r="AA51" s="46">
        <f>IF(H19&gt;0,IDACI!D19,0)</f>
        <v>37912</v>
      </c>
      <c r="AB51" s="46">
        <f>IF(H19&gt;0,IDACI!E19,0)</f>
        <v>9023.0559999999987</v>
      </c>
      <c r="AI51" s="642" t="b">
        <v>1</v>
      </c>
      <c r="AJ51" s="178" t="s">
        <v>3</v>
      </c>
      <c r="AK51" s="101" t="str">
        <f t="shared" si="9"/>
        <v>Reading</v>
      </c>
      <c r="AL51" s="164">
        <f t="shared" si="10"/>
        <v>90.489913544668582</v>
      </c>
      <c r="AM51" s="164">
        <f t="shared" si="10"/>
        <v>98.32869080779939</v>
      </c>
      <c r="AN51" s="164">
        <f t="shared" si="10"/>
        <v>177.47252747252747</v>
      </c>
      <c r="AO51" s="164">
        <f t="shared" si="10"/>
        <v>253.81403345978549</v>
      </c>
      <c r="AP51" s="164">
        <f t="shared" si="10"/>
        <v>158.52047556142668</v>
      </c>
      <c r="AQ51" s="165">
        <f t="shared" si="13"/>
        <v>19.8</v>
      </c>
      <c r="AR51" s="398">
        <f t="shared" si="11"/>
        <v>0.1812933025404157</v>
      </c>
      <c r="AS51" s="398">
        <f t="shared" si="11"/>
        <v>0.2109982068141063</v>
      </c>
      <c r="AT51" s="398">
        <f t="shared" si="11"/>
        <v>0.20987654320987653</v>
      </c>
      <c r="AU51" s="398">
        <f t="shared" si="11"/>
        <v>0.2846648301193756</v>
      </c>
      <c r="AV51" s="398">
        <f t="shared" si="11"/>
        <v>0.22374429223744291</v>
      </c>
    </row>
    <row r="52" spans="1:48" ht="14.25" customHeight="1" x14ac:dyDescent="0.2">
      <c r="A52" s="135"/>
      <c r="B52" s="362"/>
      <c r="C52" s="362"/>
      <c r="D52" s="58"/>
      <c r="E52" s="58"/>
      <c r="F52" s="58"/>
      <c r="G52" s="58"/>
      <c r="H52" s="58"/>
      <c r="I52" s="58"/>
      <c r="J52" s="13"/>
      <c r="K52" s="15"/>
      <c r="L52" s="15"/>
      <c r="M52" s="15"/>
      <c r="N52" s="15"/>
      <c r="O52" s="9"/>
      <c r="P52" s="9"/>
      <c r="Q52" s="9"/>
      <c r="R52" s="9"/>
      <c r="S52" s="9"/>
      <c r="T52" s="9"/>
      <c r="U52" s="134"/>
      <c r="V52" s="152"/>
      <c r="W52" s="326"/>
      <c r="X52" s="647">
        <v>12</v>
      </c>
      <c r="Y52" s="50" t="str">
        <f t="shared" si="12"/>
        <v>Reading</v>
      </c>
      <c r="Z52" s="45">
        <v>13</v>
      </c>
      <c r="AA52" s="46">
        <f>IF(H20&gt;0,IDACI!D20,0)</f>
        <v>30916</v>
      </c>
      <c r="AB52" s="46">
        <f>IF(H20&gt;0,IDACI!E20,0)</f>
        <v>6121.3680000000004</v>
      </c>
      <c r="AI52" s="642" t="b">
        <v>1</v>
      </c>
      <c r="AJ52" s="178" t="s">
        <v>14</v>
      </c>
      <c r="AK52" s="101" t="str">
        <f t="shared" si="9"/>
        <v>Slough</v>
      </c>
      <c r="AL52" s="164">
        <f t="shared" si="10"/>
        <v>121.85089974293059</v>
      </c>
      <c r="AM52" s="164">
        <f t="shared" si="10"/>
        <v>120.30075187969929</v>
      </c>
      <c r="AN52" s="164">
        <f t="shared" si="10"/>
        <v>128.57142857142861</v>
      </c>
      <c r="AO52" s="164">
        <f t="shared" si="10"/>
        <v>398.97599381732118</v>
      </c>
      <c r="AP52" s="164">
        <f t="shared" si="10"/>
        <v>92.460881934566146</v>
      </c>
      <c r="AQ52" s="165">
        <f t="shared" si="13"/>
        <v>19.5</v>
      </c>
      <c r="AR52" s="398">
        <f t="shared" si="11"/>
        <v>0.18907060231352213</v>
      </c>
      <c r="AS52" s="398">
        <f t="shared" si="11"/>
        <v>0.21034180543383005</v>
      </c>
      <c r="AT52" s="398">
        <f t="shared" si="11"/>
        <v>0.18817591925018029</v>
      </c>
      <c r="AU52" s="398">
        <f t="shared" si="11"/>
        <v>0.29043600562587907</v>
      </c>
      <c r="AV52" s="398">
        <f t="shared" si="11"/>
        <v>0.24512884978001256</v>
      </c>
    </row>
    <row r="53" spans="1:48" ht="14.25" customHeight="1" x14ac:dyDescent="0.2">
      <c r="A53" s="135"/>
      <c r="B53" s="362"/>
      <c r="C53" s="362"/>
      <c r="D53" s="58"/>
      <c r="E53" s="58"/>
      <c r="F53" s="58"/>
      <c r="G53" s="58"/>
      <c r="H53" s="58"/>
      <c r="I53" s="58"/>
      <c r="J53" s="13"/>
      <c r="K53" s="15"/>
      <c r="L53" s="15"/>
      <c r="M53" s="15"/>
      <c r="N53" s="15"/>
      <c r="O53" s="9"/>
      <c r="P53" s="9"/>
      <c r="Q53" s="9"/>
      <c r="R53" s="9"/>
      <c r="S53" s="9"/>
      <c r="T53" s="9"/>
      <c r="U53" s="134"/>
      <c r="V53" s="152"/>
      <c r="W53" s="326"/>
      <c r="X53" s="647">
        <v>13</v>
      </c>
      <c r="Y53" s="50" t="str">
        <f t="shared" si="12"/>
        <v>Slough</v>
      </c>
      <c r="Z53" s="45">
        <v>14</v>
      </c>
      <c r="AA53" s="46">
        <f>IF(H21&gt;0,IDACI!D21,0)</f>
        <v>34703</v>
      </c>
      <c r="AB53" s="46">
        <f>IF(H21&gt;0,IDACI!E21,0)</f>
        <v>6767.085</v>
      </c>
      <c r="AI53" s="642" t="b">
        <v>1</v>
      </c>
      <c r="AJ53" s="178" t="s">
        <v>93</v>
      </c>
      <c r="AK53" s="101" t="str">
        <f t="shared" si="9"/>
        <v>Somerset</v>
      </c>
      <c r="AL53" s="164">
        <f t="shared" si="10"/>
        <v>193.01470588235296</v>
      </c>
      <c r="AM53" s="164">
        <f t="shared" si="10"/>
        <v>138.4756657483928</v>
      </c>
      <c r="AN53" s="164">
        <f t="shared" si="10"/>
        <v>90.201465201465197</v>
      </c>
      <c r="AO53" s="164">
        <f t="shared" si="10"/>
        <v>86.633776229515675</v>
      </c>
      <c r="AP53" s="164">
        <f t="shared" si="10"/>
        <v>100.28705352276442</v>
      </c>
      <c r="AQ53" s="165">
        <f t="shared" si="13"/>
        <v>14.8</v>
      </c>
      <c r="AR53" s="398">
        <f t="shared" si="11"/>
        <v>0.28618152085036797</v>
      </c>
      <c r="AS53" s="398">
        <f t="shared" si="11"/>
        <v>0.26971919155786045</v>
      </c>
      <c r="AT53" s="398">
        <f t="shared" si="11"/>
        <v>0.23832567142511493</v>
      </c>
      <c r="AU53" s="398">
        <f t="shared" si="11"/>
        <v>0.19886958342055683</v>
      </c>
      <c r="AV53" s="398">
        <f t="shared" si="11"/>
        <v>0.21374636979670861</v>
      </c>
    </row>
    <row r="54" spans="1:48" ht="14.25" customHeight="1" x14ac:dyDescent="0.2">
      <c r="A54" s="135"/>
      <c r="B54" s="362"/>
      <c r="C54" s="362"/>
      <c r="D54" s="58"/>
      <c r="E54" s="58"/>
      <c r="F54" s="58"/>
      <c r="G54" s="58"/>
      <c r="H54" s="58"/>
      <c r="I54" s="58"/>
      <c r="J54" s="13"/>
      <c r="K54" s="15"/>
      <c r="L54" s="15"/>
      <c r="M54" s="15"/>
      <c r="N54" s="15"/>
      <c r="O54" s="9"/>
      <c r="P54" s="9"/>
      <c r="Q54" s="9"/>
      <c r="R54" s="9"/>
      <c r="S54" s="9"/>
      <c r="T54" s="9"/>
      <c r="U54" s="134"/>
      <c r="V54" s="152"/>
      <c r="W54" s="326"/>
      <c r="X54" s="647">
        <v>14</v>
      </c>
      <c r="Y54" s="50" t="str">
        <f t="shared" si="12"/>
        <v>Somerset</v>
      </c>
      <c r="Z54" s="45">
        <v>15</v>
      </c>
      <c r="AA54" s="46">
        <f>IF(H22&gt;0,IDACI!D22,0)</f>
        <v>94797</v>
      </c>
      <c r="AB54" s="46">
        <f>IF(H22&gt;0,IDACI!E22,0)</f>
        <v>14029.956000000002</v>
      </c>
      <c r="AI54" s="642" t="b">
        <v>1</v>
      </c>
      <c r="AJ54" s="178" t="s">
        <v>15</v>
      </c>
      <c r="AK54" s="101" t="str">
        <f t="shared" si="9"/>
        <v>Southampton</v>
      </c>
      <c r="AL54" s="164">
        <f t="shared" si="10"/>
        <v>235.0210970464135</v>
      </c>
      <c r="AM54" s="164">
        <f t="shared" si="10"/>
        <v>455.5555555555556</v>
      </c>
      <c r="AN54" s="164">
        <f t="shared" si="10"/>
        <v>160.5691056910569</v>
      </c>
      <c r="AO54" s="164">
        <f t="shared" si="10"/>
        <v>162.3213963648023</v>
      </c>
      <c r="AP54" s="164">
        <f t="shared" si="10"/>
        <v>105.35732034589007</v>
      </c>
      <c r="AQ54" s="165">
        <f t="shared" si="13"/>
        <v>25</v>
      </c>
      <c r="AR54" s="398">
        <f t="shared" si="11"/>
        <v>0.32094497263036587</v>
      </c>
      <c r="AS54" s="398">
        <f t="shared" si="11"/>
        <v>0.34555954424847823</v>
      </c>
      <c r="AT54" s="398">
        <f t="shared" si="11"/>
        <v>0.19193391642371235</v>
      </c>
      <c r="AU54" s="398">
        <f t="shared" si="11"/>
        <v>0.26609724047306177</v>
      </c>
      <c r="AV54" s="398">
        <f t="shared" si="11"/>
        <v>0.20283199387677001</v>
      </c>
    </row>
    <row r="55" spans="1:48" ht="14.25" customHeight="1" x14ac:dyDescent="0.2">
      <c r="A55" s="135"/>
      <c r="B55" s="362"/>
      <c r="C55" s="362"/>
      <c r="D55" s="58"/>
      <c r="E55" s="58"/>
      <c r="F55" s="58"/>
      <c r="G55" s="58"/>
      <c r="H55" s="58"/>
      <c r="I55" s="58"/>
      <c r="J55" s="13"/>
      <c r="K55" s="15"/>
      <c r="L55" s="15"/>
      <c r="M55" s="15"/>
      <c r="N55" s="15"/>
      <c r="O55" s="9"/>
      <c r="P55" s="9"/>
      <c r="Q55" s="9"/>
      <c r="R55" s="9"/>
      <c r="S55" s="9"/>
      <c r="T55" s="9"/>
      <c r="U55" s="134"/>
      <c r="V55" s="152"/>
      <c r="W55" s="326"/>
      <c r="X55" s="647">
        <v>15</v>
      </c>
      <c r="Y55" s="50" t="str">
        <f t="shared" si="12"/>
        <v>Southampton</v>
      </c>
      <c r="Z55" s="45">
        <v>16</v>
      </c>
      <c r="AA55" s="46">
        <f>IF(H23&gt;0,IDACI!D23,0)</f>
        <v>42079</v>
      </c>
      <c r="AB55" s="46">
        <f>IF(H23&gt;0,IDACI!E23,0)</f>
        <v>10519.75</v>
      </c>
      <c r="AI55" s="642" t="b">
        <v>1</v>
      </c>
      <c r="AJ55" s="178" t="s">
        <v>7</v>
      </c>
      <c r="AK55" s="101" t="str">
        <f t="shared" si="9"/>
        <v>Surrey</v>
      </c>
      <c r="AL55" s="164">
        <f t="shared" si="10"/>
        <v>153.61111111111111</v>
      </c>
      <c r="AM55" s="164">
        <f t="shared" si="10"/>
        <v>99.410840534171143</v>
      </c>
      <c r="AN55" s="164">
        <f t="shared" si="10"/>
        <v>110.7644305772231</v>
      </c>
      <c r="AO55" s="164">
        <f t="shared" si="10"/>
        <v>111.81510353321828</v>
      </c>
      <c r="AP55" s="164">
        <f t="shared" si="10"/>
        <v>143.06294539098366</v>
      </c>
      <c r="AQ55" s="165">
        <f t="shared" si="13"/>
        <v>9.7000000000000011</v>
      </c>
      <c r="AR55" s="398">
        <f t="shared" si="11"/>
        <v>0.32871942934782611</v>
      </c>
      <c r="AS55" s="398">
        <f t="shared" si="11"/>
        <v>0.25363262851989149</v>
      </c>
      <c r="AT55" s="398">
        <f t="shared" si="11"/>
        <v>0.24133242692046228</v>
      </c>
      <c r="AU55" s="398">
        <f t="shared" si="11"/>
        <v>0.24796643548248995</v>
      </c>
      <c r="AV55" s="398">
        <f t="shared" si="11"/>
        <v>0.27330104212534861</v>
      </c>
    </row>
    <row r="56" spans="1:48" ht="14.25" customHeight="1" x14ac:dyDescent="0.2">
      <c r="A56" s="309"/>
      <c r="B56" s="362"/>
      <c r="C56" s="362"/>
      <c r="D56" s="58"/>
      <c r="E56" s="58"/>
      <c r="F56" s="58"/>
      <c r="G56" s="58"/>
      <c r="H56" s="58"/>
      <c r="I56" s="58"/>
      <c r="J56" s="13"/>
      <c r="K56" s="15"/>
      <c r="L56" s="15"/>
      <c r="M56" s="15"/>
      <c r="N56" s="15"/>
      <c r="O56" s="9"/>
      <c r="P56" s="9"/>
      <c r="Q56" s="9"/>
      <c r="R56" s="9"/>
      <c r="S56" s="9"/>
      <c r="T56" s="9"/>
      <c r="U56" s="134"/>
      <c r="V56" s="152"/>
      <c r="W56" s="326"/>
      <c r="X56" s="647">
        <v>16</v>
      </c>
      <c r="Y56" s="50" t="str">
        <f t="shared" si="12"/>
        <v>Surrey</v>
      </c>
      <c r="Z56" s="45">
        <v>17</v>
      </c>
      <c r="AA56" s="46">
        <f>IF(H24&gt;0,IDACI!D24,0)</f>
        <v>221989</v>
      </c>
      <c r="AB56" s="46">
        <f>IF(H24&gt;0,IDACI!E24,0)</f>
        <v>21532.933000000005</v>
      </c>
      <c r="AI56" s="642" t="b">
        <v>1</v>
      </c>
      <c r="AJ56" s="178" t="s">
        <v>116</v>
      </c>
      <c r="AK56" s="101" t="str">
        <f t="shared" si="9"/>
        <v>Swindon</v>
      </c>
      <c r="AL56" s="164">
        <f t="shared" si="10"/>
        <v>113.15240083507308</v>
      </c>
      <c r="AM56" s="164">
        <f t="shared" si="10"/>
        <v>109.25925925925928</v>
      </c>
      <c r="AN56" s="164">
        <f t="shared" si="10"/>
        <v>193.67346938775509</v>
      </c>
      <c r="AO56" s="164">
        <f t="shared" si="10"/>
        <v>162.54902753629051</v>
      </c>
      <c r="AP56" s="164">
        <f t="shared" si="10"/>
        <v>175.66701386106882</v>
      </c>
      <c r="AQ56" s="165">
        <f t="shared" si="13"/>
        <v>17.2</v>
      </c>
      <c r="AR56" s="398">
        <f t="shared" ref="AR56:AV63" si="14">VLOOKUP($AK56,$B$110:$H$133,AR$36,FALSE)</f>
        <v>0.24046140195208518</v>
      </c>
      <c r="AS56" s="398">
        <f t="shared" si="14"/>
        <v>0.20037735849056609</v>
      </c>
      <c r="AT56" s="398">
        <f t="shared" si="14"/>
        <v>0.27870778267254037</v>
      </c>
      <c r="AU56" s="398">
        <f t="shared" si="14"/>
        <v>0.26613704071499505</v>
      </c>
      <c r="AV56" s="398">
        <f t="shared" si="14"/>
        <v>0.24179762889440309</v>
      </c>
    </row>
    <row r="57" spans="1:48" ht="14.25" customHeight="1" x14ac:dyDescent="0.2">
      <c r="A57" s="309"/>
      <c r="B57" s="362"/>
      <c r="C57" s="362"/>
      <c r="D57" s="58"/>
      <c r="E57" s="58"/>
      <c r="F57" s="58"/>
      <c r="G57" s="58"/>
      <c r="H57" s="58"/>
      <c r="I57" s="58"/>
      <c r="J57" s="13"/>
      <c r="K57" s="15"/>
      <c r="L57" s="15"/>
      <c r="M57" s="15"/>
      <c r="N57" s="15"/>
      <c r="O57" s="9"/>
      <c r="P57" s="9"/>
      <c r="Q57" s="9"/>
      <c r="R57" s="9"/>
      <c r="S57" s="9"/>
      <c r="T57" s="9"/>
      <c r="U57" s="134"/>
      <c r="V57" s="152"/>
      <c r="W57" s="326"/>
      <c r="X57" s="647">
        <v>17</v>
      </c>
      <c r="Y57" s="50" t="str">
        <f t="shared" si="12"/>
        <v>Swindon</v>
      </c>
      <c r="Z57" s="45">
        <v>18</v>
      </c>
      <c r="AA57" s="46">
        <f>IF(H25&gt;0,IDACI!D25,0)</f>
        <v>42184</v>
      </c>
      <c r="AB57" s="46">
        <f>IF(H25&gt;0,IDACI!E25,0)</f>
        <v>7255.6479999999992</v>
      </c>
      <c r="AI57" s="642" t="b">
        <v>1</v>
      </c>
      <c r="AJ57" s="178" t="s">
        <v>117</v>
      </c>
      <c r="AK57" s="101" t="str">
        <f t="shared" si="9"/>
        <v>Torbay</v>
      </c>
      <c r="AL57" s="164">
        <f t="shared" si="10"/>
        <v>202.41935483870967</v>
      </c>
      <c r="AM57" s="164">
        <f t="shared" si="10"/>
        <v>211.95219123505979</v>
      </c>
      <c r="AN57" s="164">
        <f t="shared" si="10"/>
        <v>227.77777777777783</v>
      </c>
      <c r="AO57" s="164">
        <f t="shared" si="10"/>
        <v>172.23032357230127</v>
      </c>
      <c r="AP57" s="164">
        <f t="shared" si="10"/>
        <v>174.68623362316561</v>
      </c>
      <c r="AQ57" s="165">
        <f t="shared" si="13"/>
        <v>24.1</v>
      </c>
      <c r="AR57" s="398">
        <f t="shared" si="14"/>
        <v>0.2084717607973422</v>
      </c>
      <c r="AS57" s="398">
        <f t="shared" si="14"/>
        <v>0.24929709465791941</v>
      </c>
      <c r="AT57" s="398">
        <f t="shared" si="14"/>
        <v>0.28873239436619724</v>
      </c>
      <c r="AU57" s="398">
        <f t="shared" si="14"/>
        <v>0.27042079207920794</v>
      </c>
      <c r="AV57" s="398">
        <f t="shared" si="14"/>
        <v>0.24598337950138505</v>
      </c>
    </row>
    <row r="58" spans="1:48" ht="14.25" customHeight="1" x14ac:dyDescent="0.2">
      <c r="A58" s="135"/>
      <c r="B58" s="362"/>
      <c r="C58" s="362"/>
      <c r="D58" s="58"/>
      <c r="E58" s="58"/>
      <c r="F58" s="58"/>
      <c r="G58" s="58"/>
      <c r="H58" s="58"/>
      <c r="I58" s="58"/>
      <c r="J58" s="13"/>
      <c r="K58" s="15"/>
      <c r="L58" s="15"/>
      <c r="M58" s="15"/>
      <c r="N58" s="15"/>
      <c r="O58" s="9"/>
      <c r="P58" s="9"/>
      <c r="Q58" s="9"/>
      <c r="R58" s="9"/>
      <c r="S58" s="9"/>
      <c r="T58" s="9"/>
      <c r="U58" s="134"/>
      <c r="V58" s="152"/>
      <c r="W58" s="326"/>
      <c r="X58" s="647">
        <v>18</v>
      </c>
      <c r="Y58" s="50" t="str">
        <f t="shared" si="12"/>
        <v>Torbay</v>
      </c>
      <c r="Z58" s="45">
        <v>19</v>
      </c>
      <c r="AA58" s="46">
        <f>IF(H26&gt;0,IDACI!D26,0)</f>
        <v>21714</v>
      </c>
      <c r="AB58" s="46">
        <f>IF(H26&gt;0,IDACI!E26,0)</f>
        <v>5233.0740000000005</v>
      </c>
      <c r="AI58" s="642" t="b">
        <v>1</v>
      </c>
      <c r="AJ58" s="178" t="s">
        <v>16</v>
      </c>
      <c r="AK58" s="101" t="str">
        <f t="shared" si="9"/>
        <v>West Berkshire</v>
      </c>
      <c r="AL58" s="164">
        <f t="shared" si="10"/>
        <v>77.310924369747895</v>
      </c>
      <c r="AM58" s="164">
        <f t="shared" si="10"/>
        <v>85.112359550561791</v>
      </c>
      <c r="AN58" s="164">
        <f t="shared" si="10"/>
        <v>61.344537815126053</v>
      </c>
      <c r="AO58" s="164">
        <f t="shared" si="10"/>
        <v>108.5413709610086</v>
      </c>
      <c r="AP58" s="164">
        <f t="shared" si="10"/>
        <v>113.71891589829561</v>
      </c>
      <c r="AQ58" s="165">
        <f t="shared" si="13"/>
        <v>10.4</v>
      </c>
      <c r="AR58" s="398">
        <f t="shared" si="14"/>
        <v>0.22204344328238135</v>
      </c>
      <c r="AS58" s="398">
        <f t="shared" si="14"/>
        <v>0.24066719618745036</v>
      </c>
      <c r="AT58" s="398">
        <f t="shared" si="14"/>
        <v>0.16043956043956045</v>
      </c>
      <c r="AU58" s="398">
        <f t="shared" si="14"/>
        <v>0.2360774818401937</v>
      </c>
      <c r="AV58" s="398">
        <f t="shared" si="14"/>
        <v>0.26917989417989419</v>
      </c>
    </row>
    <row r="59" spans="1:48" ht="14.25" customHeight="1" x14ac:dyDescent="0.2">
      <c r="A59" s="135"/>
      <c r="B59" s="362"/>
      <c r="C59" s="362"/>
      <c r="D59" s="58"/>
      <c r="E59" s="58"/>
      <c r="F59" s="58"/>
      <c r="G59" s="58"/>
      <c r="H59" s="58"/>
      <c r="I59" s="58"/>
      <c r="J59" s="13"/>
      <c r="K59" s="15"/>
      <c r="L59" s="15"/>
      <c r="M59" s="15"/>
      <c r="N59" s="15"/>
      <c r="O59" s="9"/>
      <c r="P59" s="9"/>
      <c r="Q59" s="9"/>
      <c r="R59" s="9"/>
      <c r="S59" s="9"/>
      <c r="T59" s="9"/>
      <c r="U59" s="134"/>
      <c r="V59" s="152"/>
      <c r="W59" s="326"/>
      <c r="X59" s="647">
        <v>19</v>
      </c>
      <c r="Y59" s="50" t="str">
        <f t="shared" si="12"/>
        <v>West Berkshire</v>
      </c>
      <c r="Z59" s="45">
        <v>20</v>
      </c>
      <c r="AA59" s="46">
        <f>IF(H27&gt;0,IDACI!D27,0)</f>
        <v>31302</v>
      </c>
      <c r="AB59" s="46">
        <f>IF(H27&gt;0,IDACI!E27,0)</f>
        <v>3255.4080000000004</v>
      </c>
      <c r="AI59" s="642" t="b">
        <v>1</v>
      </c>
      <c r="AJ59" s="178" t="s">
        <v>5</v>
      </c>
      <c r="AK59" s="101" t="str">
        <f t="shared" si="9"/>
        <v>West Sussex</v>
      </c>
      <c r="AL59" s="164">
        <f t="shared" si="10"/>
        <v>95.928143712574851</v>
      </c>
      <c r="AM59" s="164">
        <f t="shared" si="10"/>
        <v>89.040284360189588</v>
      </c>
      <c r="AN59" s="164">
        <f t="shared" si="10"/>
        <v>116.60798122065709</v>
      </c>
      <c r="AO59" s="164">
        <f t="shared" si="10"/>
        <v>128.60893916546829</v>
      </c>
      <c r="AP59" s="164">
        <f t="shared" si="10"/>
        <v>154.60437093507076</v>
      </c>
      <c r="AQ59" s="165">
        <f t="shared" si="13"/>
        <v>12.9</v>
      </c>
      <c r="AR59" s="398">
        <f t="shared" si="14"/>
        <v>0.2425435276305829</v>
      </c>
      <c r="AS59" s="398">
        <f t="shared" si="14"/>
        <v>0.21729073297672405</v>
      </c>
      <c r="AT59" s="398">
        <f t="shared" si="14"/>
        <v>0.24389345771449578</v>
      </c>
      <c r="AU59" s="398">
        <f t="shared" si="14"/>
        <v>0.25271708042558061</v>
      </c>
      <c r="AV59" s="398">
        <f t="shared" si="14"/>
        <v>0.26803401700850427</v>
      </c>
    </row>
    <row r="60" spans="1:48" s="88" customFormat="1" ht="14.25" customHeight="1" x14ac:dyDescent="0.2">
      <c r="A60" s="135"/>
      <c r="B60" s="362"/>
      <c r="C60" s="362"/>
      <c r="D60" s="58"/>
      <c r="E60" s="58"/>
      <c r="F60" s="58"/>
      <c r="G60" s="58"/>
      <c r="H60" s="58"/>
      <c r="I60" s="58"/>
      <c r="J60" s="13"/>
      <c r="K60" s="15"/>
      <c r="L60" s="15"/>
      <c r="M60" s="15"/>
      <c r="N60" s="15"/>
      <c r="O60" s="9"/>
      <c r="P60" s="9"/>
      <c r="Q60" s="9"/>
      <c r="R60" s="9"/>
      <c r="S60" s="9"/>
      <c r="T60" s="9"/>
      <c r="U60" s="134"/>
      <c r="V60" s="152"/>
      <c r="W60" s="326"/>
      <c r="X60" s="647">
        <v>20</v>
      </c>
      <c r="Y60" s="50" t="str">
        <f t="shared" si="12"/>
        <v>West Sussex</v>
      </c>
      <c r="Z60" s="45">
        <v>21</v>
      </c>
      <c r="AA60" s="46">
        <f>IF(H28&gt;0,IDACI!D28,0)</f>
        <v>146958</v>
      </c>
      <c r="AB60" s="46">
        <f>IF(H28&gt;0,IDACI!E28,0)</f>
        <v>18957.582000000002</v>
      </c>
      <c r="AI60" s="642" t="b">
        <v>1</v>
      </c>
      <c r="AJ60" s="178" t="s">
        <v>31</v>
      </c>
      <c r="AK60" s="101" t="str">
        <f t="shared" si="9"/>
        <v>Windsor &amp; Maidenhead</v>
      </c>
      <c r="AL60" s="164">
        <f t="shared" si="10"/>
        <v>61.861861861861861</v>
      </c>
      <c r="AM60" s="164">
        <f t="shared" si="10"/>
        <v>56.287425149700624</v>
      </c>
      <c r="AN60" s="164">
        <f t="shared" si="10"/>
        <v>57.270029673590507</v>
      </c>
      <c r="AO60" s="164">
        <f t="shared" si="10"/>
        <v>34.234550561797754</v>
      </c>
      <c r="AP60" s="164">
        <f t="shared" si="10"/>
        <v>48.32324173265021</v>
      </c>
      <c r="AQ60" s="165">
        <f t="shared" si="13"/>
        <v>8.4</v>
      </c>
      <c r="AR60" s="398">
        <f t="shared" si="14"/>
        <v>0.19750719079578141</v>
      </c>
      <c r="AS60" s="398">
        <f t="shared" si="14"/>
        <v>0.17938931297709931</v>
      </c>
      <c r="AT60" s="398">
        <f t="shared" si="14"/>
        <v>0.17309417040358743</v>
      </c>
      <c r="AU60" s="398">
        <f t="shared" si="14"/>
        <v>0.11794354838709678</v>
      </c>
      <c r="AV60" s="398">
        <f t="shared" si="14"/>
        <v>0.15645617342130066</v>
      </c>
    </row>
    <row r="61" spans="1:48" s="88" customFormat="1" ht="14.25" customHeight="1" x14ac:dyDescent="0.2">
      <c r="A61" s="135"/>
      <c r="B61" s="362"/>
      <c r="C61" s="362"/>
      <c r="D61" s="58"/>
      <c r="E61" s="58"/>
      <c r="F61" s="58"/>
      <c r="G61" s="58"/>
      <c r="H61" s="58"/>
      <c r="I61" s="58"/>
      <c r="J61" s="13"/>
      <c r="K61" s="15"/>
      <c r="L61" s="15"/>
      <c r="M61" s="15"/>
      <c r="N61" s="15"/>
      <c r="O61" s="9"/>
      <c r="P61" s="9"/>
      <c r="Q61" s="9"/>
      <c r="R61" s="9"/>
      <c r="S61" s="9"/>
      <c r="T61" s="9"/>
      <c r="U61" s="134"/>
      <c r="V61" s="152"/>
      <c r="W61" s="326"/>
      <c r="X61" s="647">
        <v>21</v>
      </c>
      <c r="Y61" s="50" t="str">
        <f t="shared" si="12"/>
        <v>Windsor &amp; Maidenhead</v>
      </c>
      <c r="Z61" s="45">
        <v>22</v>
      </c>
      <c r="AA61" s="46">
        <f>IF(H29&gt;0,IDACI!D29,0)</f>
        <v>29154</v>
      </c>
      <c r="AB61" s="46">
        <f>IF(H29&gt;0,IDACI!E29,0)</f>
        <v>2448.9360000000001</v>
      </c>
      <c r="AI61" s="642" t="b">
        <v>1</v>
      </c>
      <c r="AJ61" s="178" t="s">
        <v>17</v>
      </c>
      <c r="AK61" s="101" t="str">
        <f t="shared" si="9"/>
        <v>Wokingham</v>
      </c>
      <c r="AL61" s="164">
        <f t="shared" si="10"/>
        <v>105.24861878453039</v>
      </c>
      <c r="AM61" s="164">
        <f t="shared" si="10"/>
        <v>70.189701897018992</v>
      </c>
      <c r="AN61" s="164">
        <f t="shared" si="10"/>
        <v>52.278820375335123</v>
      </c>
      <c r="AO61" s="164">
        <f t="shared" si="10"/>
        <v>44.714484862831746</v>
      </c>
      <c r="AP61" s="164">
        <f t="shared" si="10"/>
        <v>58.653299571081597</v>
      </c>
      <c r="AQ61" s="165">
        <f t="shared" si="13"/>
        <v>6.8000000000000007</v>
      </c>
      <c r="AR61" s="398">
        <f t="shared" si="14"/>
        <v>0.2690677966101695</v>
      </c>
      <c r="AS61" s="398">
        <f t="shared" si="14"/>
        <v>0.26161616161616169</v>
      </c>
      <c r="AT61" s="398">
        <f t="shared" si="14"/>
        <v>0.17241379310344829</v>
      </c>
      <c r="AU61" s="398">
        <f t="shared" si="14"/>
        <v>0.1874310915104741</v>
      </c>
      <c r="AV61" s="398">
        <f t="shared" si="14"/>
        <v>0.16557257476294676</v>
      </c>
    </row>
    <row r="62" spans="1:48" s="88" customFormat="1" ht="14.25" customHeight="1" x14ac:dyDescent="0.2">
      <c r="A62" s="135"/>
      <c r="B62" s="362"/>
      <c r="C62" s="362"/>
      <c r="D62" s="58"/>
      <c r="E62" s="58"/>
      <c r="F62" s="58"/>
      <c r="G62" s="58"/>
      <c r="H62" s="58"/>
      <c r="I62" s="58"/>
      <c r="J62" s="13"/>
      <c r="K62" s="15"/>
      <c r="L62" s="15"/>
      <c r="M62" s="15"/>
      <c r="N62" s="15"/>
      <c r="O62" s="9"/>
      <c r="P62" s="9"/>
      <c r="Q62" s="9"/>
      <c r="R62" s="9"/>
      <c r="S62" s="9"/>
      <c r="T62" s="9"/>
      <c r="U62" s="134"/>
      <c r="V62" s="152"/>
      <c r="W62" s="326"/>
      <c r="X62" s="647">
        <v>22</v>
      </c>
      <c r="Y62" s="50" t="str">
        <f t="shared" si="12"/>
        <v>Wokingham</v>
      </c>
      <c r="Z62" s="45">
        <v>23</v>
      </c>
      <c r="AA62" s="46">
        <f>IF(H30&gt;0,IDACI!D30,0)</f>
        <v>31967</v>
      </c>
      <c r="AB62" s="46">
        <f>IF(H30&gt;0,IDACI!E30,0)</f>
        <v>2173.7560000000003</v>
      </c>
      <c r="AI62" s="642" t="b">
        <v>1</v>
      </c>
      <c r="AJ62" s="178" t="s">
        <v>74</v>
      </c>
      <c r="AK62" s="101" t="str">
        <f t="shared" si="9"/>
        <v>South East</v>
      </c>
      <c r="AL62" s="164">
        <f t="shared" si="10"/>
        <v>152.78248887004452</v>
      </c>
      <c r="AM62" s="164">
        <f t="shared" si="10"/>
        <v>140.74151874803067</v>
      </c>
      <c r="AN62" s="164">
        <f t="shared" si="10"/>
        <v>119.70178822793389</v>
      </c>
      <c r="AO62" s="164">
        <f t="shared" si="10"/>
        <v>142.19997692935988</v>
      </c>
      <c r="AP62" s="164">
        <f t="shared" si="10"/>
        <v>138.07543219307925</v>
      </c>
      <c r="AQ62" s="165">
        <f t="shared" si="13"/>
        <v>14.45223640702325</v>
      </c>
      <c r="AR62" s="398">
        <f t="shared" si="14"/>
        <v>0.28091289137489162</v>
      </c>
      <c r="AS62" s="398">
        <f t="shared" si="14"/>
        <v>0.27657378740970073</v>
      </c>
      <c r="AT62" s="398">
        <f t="shared" si="14"/>
        <v>0.234860883797054</v>
      </c>
      <c r="AU62" s="398">
        <f t="shared" si="14"/>
        <v>0.25662808065720688</v>
      </c>
      <c r="AV62" s="398">
        <f t="shared" si="14"/>
        <v>0.25180598555211559</v>
      </c>
    </row>
    <row r="63" spans="1:48" s="88" customFormat="1" ht="14.25" customHeight="1" x14ac:dyDescent="0.2">
      <c r="A63" s="135"/>
      <c r="B63" s="362"/>
      <c r="C63" s="362"/>
      <c r="D63" s="58"/>
      <c r="E63" s="58"/>
      <c r="F63" s="58"/>
      <c r="G63" s="58"/>
      <c r="H63" s="58"/>
      <c r="I63" s="58"/>
      <c r="J63" s="13"/>
      <c r="K63" s="9"/>
      <c r="L63" s="127"/>
      <c r="M63" s="1027" t="s">
        <v>72</v>
      </c>
      <c r="N63" s="1028"/>
      <c r="O63" s="1029"/>
      <c r="P63" s="416"/>
      <c r="Q63" s="1030" t="s">
        <v>101</v>
      </c>
      <c r="R63" s="1031"/>
      <c r="S63" s="1031"/>
      <c r="T63" s="1032"/>
      <c r="U63" s="134"/>
      <c r="V63" s="152"/>
      <c r="W63" s="326"/>
      <c r="X63" s="647">
        <v>23</v>
      </c>
      <c r="Y63" s="50" t="str">
        <f t="shared" si="12"/>
        <v>South East</v>
      </c>
      <c r="Z63" s="45">
        <v>24</v>
      </c>
      <c r="AA63" s="46">
        <f>SUM(AA55:AA56,AA41:AA53,AA59:AA62)</f>
        <v>1662421</v>
      </c>
      <c r="AB63" s="46">
        <f>SUM(AB55:AB56,AB41:AB53,AB59:AB62)</f>
        <v>240257.01299999995</v>
      </c>
      <c r="AI63" s="642" t="b">
        <v>1</v>
      </c>
      <c r="AJ63" s="178" t="s">
        <v>130</v>
      </c>
      <c r="AK63" s="101" t="str">
        <f t="shared" si="9"/>
        <v>England</v>
      </c>
      <c r="AL63" s="164">
        <f>VLOOKUP($AK63,$B$9:$O$32,AL$36,FALSE)</f>
        <v>134.15919643868315</v>
      </c>
      <c r="AM63" s="164">
        <f t="shared" ref="AM63:AP63" si="15">VLOOKUP($AK63,$B$9:$O$32,AM$36,FALSE)</f>
        <v>131.47338181629959</v>
      </c>
      <c r="AN63" s="164">
        <f t="shared" si="15"/>
        <v>118.77135443872615</v>
      </c>
      <c r="AO63" s="164">
        <f t="shared" si="15"/>
        <v>120.11597181805739</v>
      </c>
      <c r="AP63" s="164">
        <f t="shared" si="15"/>
        <v>121.18523729377296</v>
      </c>
      <c r="AQ63" s="165" t="e">
        <f t="shared" si="13"/>
        <v>#N/A</v>
      </c>
      <c r="AR63" s="398">
        <f t="shared" si="14"/>
        <v>0.23411371237458195</v>
      </c>
      <c r="AS63" s="398">
        <f t="shared" si="14"/>
        <v>0.23977344241661422</v>
      </c>
      <c r="AT63" s="398">
        <f t="shared" si="14"/>
        <v>0.22318052359727741</v>
      </c>
      <c r="AU63" s="398">
        <f t="shared" si="14"/>
        <v>0.21909242865102457</v>
      </c>
      <c r="AV63" s="398">
        <f t="shared" si="14"/>
        <v>0.21934627762610009</v>
      </c>
    </row>
    <row r="64" spans="1:48" s="88" customFormat="1" ht="11.25" customHeight="1" x14ac:dyDescent="0.2">
      <c r="A64" s="135"/>
      <c r="B64" s="362"/>
      <c r="C64" s="362"/>
      <c r="D64" s="58"/>
      <c r="E64" s="58"/>
      <c r="F64" s="58"/>
      <c r="G64" s="58"/>
      <c r="H64" s="58"/>
      <c r="I64" s="58"/>
      <c r="J64" s="13"/>
      <c r="K64" s="9"/>
      <c r="L64" s="128"/>
      <c r="M64" s="1030" t="str">
        <f>Z4</f>
        <v>Selected LA- (none)</v>
      </c>
      <c r="N64" s="1031"/>
      <c r="O64" s="1031"/>
      <c r="P64" s="1032"/>
      <c r="Q64" s="1035"/>
      <c r="R64" s="1036"/>
      <c r="S64" s="1037" t="s">
        <v>205</v>
      </c>
      <c r="T64" s="1038"/>
      <c r="U64" s="134"/>
      <c r="V64" s="152"/>
      <c r="W64" s="168"/>
      <c r="X64" s="647">
        <v>24</v>
      </c>
      <c r="Y64" s="50" t="str">
        <f t="shared" si="12"/>
        <v>England</v>
      </c>
      <c r="Z64" s="45">
        <v>25</v>
      </c>
      <c r="AA64" s="46">
        <f>IF(H32&gt;0,IDACI!D32,0)</f>
        <v>10130158</v>
      </c>
      <c r="AB64" s="46">
        <f>IF(H32&gt;0,IDACI!E32,0)</f>
        <v>2016166</v>
      </c>
      <c r="AJ64" s="179"/>
      <c r="AK64" s="80" t="str">
        <f>Z4</f>
        <v>Selected LA- (none)</v>
      </c>
      <c r="AL64" s="166" t="e">
        <f>VLOOKUP($Y4,$B$9:$O$31,AL$36,FALSE)</f>
        <v>#N/A</v>
      </c>
      <c r="AM64" s="166" t="e">
        <f>VLOOKUP($Y4,$B$9:$O$31,AM$36,FALSE)</f>
        <v>#N/A</v>
      </c>
      <c r="AN64" s="166" t="e">
        <f>VLOOKUP($Y4,$B$9:$O$31,AN$36,FALSE)</f>
        <v>#N/A</v>
      </c>
      <c r="AO64" s="166" t="e">
        <f>VLOOKUP($Y4,$B$9:$O$31,AO$36,FALSE)</f>
        <v>#N/A</v>
      </c>
      <c r="AP64" s="166" t="e">
        <f>VLOOKUP($Y4,$B$9:$O$31,AP$36,FALSE)</f>
        <v>#N/A</v>
      </c>
      <c r="AQ64" s="165" t="e">
        <f>VLOOKUP(Y4,$B$9:$T$31,17,FALSE)</f>
        <v>#N/A</v>
      </c>
      <c r="AR64" s="191" t="e">
        <f>VLOOKUP($Y$4,$B$110:$H$133,AR$36,FALSE)</f>
        <v>#N/A</v>
      </c>
      <c r="AS64" s="191" t="e">
        <f>VLOOKUP($Y$4,$B$110:$H$133,AS$36,FALSE)</f>
        <v>#N/A</v>
      </c>
      <c r="AT64" s="191" t="e">
        <f>VLOOKUP($Y$4,$B$110:$H$133,AT$36,FALSE)</f>
        <v>#N/A</v>
      </c>
      <c r="AU64" s="191" t="e">
        <f>VLOOKUP($Y$4,$B$110:$H$133,AU$36,FALSE)</f>
        <v>#N/A</v>
      </c>
      <c r="AV64" s="191" t="e">
        <f>VLOOKUP($Y$4,$B$110:$H$133,AV$36,FALSE)</f>
        <v>#N/A</v>
      </c>
    </row>
    <row r="65" spans="1:44" s="88" customFormat="1" ht="42" customHeight="1" x14ac:dyDescent="0.2">
      <c r="A65" s="135"/>
      <c r="B65" s="362"/>
      <c r="C65" s="362"/>
      <c r="D65" s="58"/>
      <c r="E65" s="58"/>
      <c r="F65" s="58"/>
      <c r="G65" s="58"/>
      <c r="H65" s="58"/>
      <c r="I65" s="58"/>
      <c r="J65" s="13"/>
      <c r="K65" s="9"/>
      <c r="L65" s="9"/>
      <c r="M65" s="9"/>
      <c r="N65" s="9"/>
      <c r="O65" s="9"/>
      <c r="P65" s="9"/>
      <c r="Q65" s="9"/>
      <c r="R65" s="9"/>
      <c r="S65" s="9"/>
      <c r="T65" s="9"/>
      <c r="U65" s="134"/>
      <c r="V65" s="152"/>
      <c r="W65" s="168"/>
      <c r="X65" s="44" t="s">
        <v>72</v>
      </c>
      <c r="Y65" s="240" t="s">
        <v>70</v>
      </c>
      <c r="Z65" s="44" t="s">
        <v>71</v>
      </c>
      <c r="AA65" s="241">
        <v>5</v>
      </c>
      <c r="AB65" s="242">
        <f>(AA65*Y66)+Z66</f>
        <v>126.021</v>
      </c>
      <c r="AJ65" s="179"/>
    </row>
    <row r="66" spans="1:44" s="101" customFormat="1" ht="41.25" customHeight="1" x14ac:dyDescent="0.2">
      <c r="A66" s="138"/>
      <c r="B66" s="126"/>
      <c r="C66" s="126"/>
      <c r="D66" s="126"/>
      <c r="E66" s="126"/>
      <c r="F66" s="126"/>
      <c r="G66" s="126"/>
      <c r="H66" s="126"/>
      <c r="I66" s="126"/>
      <c r="J66" s="115"/>
      <c r="K66" s="97"/>
      <c r="L66" s="97"/>
      <c r="M66" s="97"/>
      <c r="N66" s="97"/>
      <c r="O66" s="97"/>
      <c r="P66" s="97"/>
      <c r="Q66" s="97"/>
      <c r="R66" s="97"/>
      <c r="S66" s="97"/>
      <c r="T66" s="97"/>
      <c r="U66" s="139"/>
      <c r="V66" s="154"/>
      <c r="W66" s="170"/>
      <c r="X66" s="243" t="str">
        <f>"Y= "&amp;Y66&amp;"x + "&amp;Z66</f>
        <v>Y= 0.5022x + 123.51</v>
      </c>
      <c r="Y66" s="839">
        <v>0.50219999999999998</v>
      </c>
      <c r="Z66" s="840">
        <v>123.51</v>
      </c>
      <c r="AA66" s="246">
        <v>35</v>
      </c>
      <c r="AB66" s="247">
        <f>(AA66*Y66)+Z66</f>
        <v>141.08699999999999</v>
      </c>
      <c r="AC66" s="217"/>
      <c r="AD66" s="217"/>
      <c r="AE66" s="217"/>
      <c r="AF66" s="217"/>
      <c r="AG66" s="217"/>
      <c r="AH66" s="217"/>
      <c r="AI66" s="232"/>
      <c r="AJ66" s="178"/>
    </row>
    <row r="67" spans="1:44" s="101" customFormat="1" ht="42" customHeight="1" x14ac:dyDescent="0.2">
      <c r="A67" s="138"/>
      <c r="B67" s="126"/>
      <c r="C67" s="126"/>
      <c r="D67" s="126"/>
      <c r="E67" s="126"/>
      <c r="F67" s="126"/>
      <c r="G67" s="126"/>
      <c r="H67" s="126"/>
      <c r="I67" s="126"/>
      <c r="J67" s="115"/>
      <c r="K67" s="97"/>
      <c r="L67" s="97"/>
      <c r="M67" s="97"/>
      <c r="N67" s="97"/>
      <c r="O67" s="97"/>
      <c r="P67" s="97"/>
      <c r="Q67" s="97"/>
      <c r="R67" s="97"/>
      <c r="S67" s="97"/>
      <c r="T67" s="97"/>
      <c r="U67" s="139"/>
      <c r="V67" s="154"/>
      <c r="W67" s="170"/>
      <c r="X67" s="44" t="s">
        <v>216</v>
      </c>
      <c r="Y67" s="240" t="s">
        <v>70</v>
      </c>
      <c r="Z67" s="44" t="s">
        <v>71</v>
      </c>
      <c r="AA67" s="241">
        <v>5</v>
      </c>
      <c r="AB67" s="242">
        <f>(AA67*Y68)+Z68</f>
        <v>86.970059999999989</v>
      </c>
      <c r="AC67" s="843" t="s">
        <v>843</v>
      </c>
      <c r="AD67" s="217"/>
      <c r="AE67" s="217"/>
      <c r="AF67" s="217"/>
      <c r="AG67" s="217"/>
      <c r="AH67" s="217"/>
      <c r="AI67" s="232"/>
      <c r="AJ67" s="178"/>
    </row>
    <row r="68" spans="1:44" ht="7.5" customHeight="1" x14ac:dyDescent="0.2">
      <c r="A68" s="135"/>
      <c r="B68" s="18"/>
      <c r="C68" s="18"/>
      <c r="D68" s="17"/>
      <c r="E68" s="17"/>
      <c r="F68" s="17"/>
      <c r="G68" s="17"/>
      <c r="H68" s="17"/>
      <c r="I68" s="17"/>
      <c r="J68" s="13"/>
      <c r="K68" s="19"/>
      <c r="L68" s="19"/>
      <c r="M68" s="19"/>
      <c r="N68" s="19"/>
      <c r="O68" s="19"/>
      <c r="P68" s="19"/>
      <c r="Q68" s="19"/>
      <c r="R68" s="19"/>
      <c r="S68" s="19"/>
      <c r="T68" s="20"/>
      <c r="U68" s="134"/>
      <c r="V68" s="152"/>
      <c r="W68" s="168"/>
      <c r="X68" s="243" t="str">
        <f>"Y= "&amp;Y68&amp;"x + "&amp;Z68</f>
        <v>Y= 1.934122x + 77.29945</v>
      </c>
      <c r="Y68" s="839">
        <v>1.9341219999999999</v>
      </c>
      <c r="Z68" s="840">
        <v>77.299449999999993</v>
      </c>
      <c r="AA68" s="246">
        <v>35</v>
      </c>
      <c r="AB68" s="247">
        <f>(AA68*Y68)+Z68</f>
        <v>144.99372</v>
      </c>
      <c r="AI68" s="210"/>
      <c r="AJ68" s="175"/>
    </row>
    <row r="69" spans="1:44" ht="15" customHeight="1" x14ac:dyDescent="0.2">
      <c r="A69" s="1010"/>
      <c r="B69" s="1018"/>
      <c r="C69" s="1018"/>
      <c r="D69" s="1018"/>
      <c r="E69" s="1018"/>
      <c r="F69" s="1018"/>
      <c r="G69" s="1018"/>
      <c r="H69" s="1018"/>
      <c r="I69" s="1018"/>
      <c r="J69" s="1018"/>
      <c r="K69" s="1018"/>
      <c r="L69" s="1018"/>
      <c r="M69" s="1018"/>
      <c r="N69" s="1018"/>
      <c r="O69" s="1018"/>
      <c r="P69" s="1018"/>
      <c r="Q69" s="1018"/>
      <c r="R69" s="1018"/>
      <c r="S69" s="1018"/>
      <c r="T69" s="1018"/>
      <c r="U69" s="1019"/>
      <c r="V69" s="152"/>
      <c r="W69" s="168"/>
      <c r="X69" s="43">
        <f>D8</f>
        <v>2014</v>
      </c>
      <c r="Y69" s="43">
        <f>E8</f>
        <v>2015</v>
      </c>
      <c r="Z69" s="43">
        <f>F8</f>
        <v>2016</v>
      </c>
      <c r="AA69" s="43">
        <f>G8</f>
        <v>2017</v>
      </c>
      <c r="AB69" s="43">
        <f>H8</f>
        <v>2018</v>
      </c>
      <c r="AI69" s="210"/>
      <c r="AJ69" s="175"/>
    </row>
    <row r="70" spans="1:44" ht="11.25" customHeight="1" x14ac:dyDescent="0.2">
      <c r="A70" s="1020" t="str">
        <f>Home!$A$35</f>
        <v>LA's provide quarterly data on the condition that it is used by the benchmarking group for internal reporting only. Please DO NOT share other LA's data with any external partners or the public</v>
      </c>
      <c r="B70" s="1021"/>
      <c r="C70" s="1021"/>
      <c r="D70" s="1021"/>
      <c r="E70" s="1021"/>
      <c r="F70" s="1021"/>
      <c r="G70" s="1021"/>
      <c r="H70" s="1021"/>
      <c r="I70" s="1022"/>
      <c r="J70" s="1021"/>
      <c r="K70" s="1021"/>
      <c r="L70" s="1021"/>
      <c r="M70" s="1021"/>
      <c r="N70" s="1021"/>
      <c r="O70" s="1021"/>
      <c r="P70" s="1021"/>
      <c r="Q70" s="1021"/>
      <c r="R70" s="1021"/>
      <c r="S70" s="1022"/>
      <c r="T70" s="1021"/>
      <c r="U70" s="1023"/>
      <c r="V70" s="152"/>
      <c r="W70" s="168"/>
      <c r="X70" s="47" t="e">
        <f ca="1">IF(OFFSET(K8,$X$4,0)=0,NA(),OFFSET(K8,$X$4,0))</f>
        <v>#N/A</v>
      </c>
      <c r="Y70" s="248" t="e">
        <f ca="1">IF(OFFSET(L8,$X$4,0)=0,NA(),OFFSET(L8,$X$4,0))</f>
        <v>#N/A</v>
      </c>
      <c r="Z70" s="47" t="e">
        <f ca="1">IF(OFFSET(M8,$X$4,0)=0,NA(),OFFSET(M8,$X$4,0))</f>
        <v>#N/A</v>
      </c>
      <c r="AA70" s="47" t="e">
        <f ca="1">IF(OFFSET(N8,$X$4,0)=0,NA(),OFFSET(N8,$X$4,0))</f>
        <v>#N/A</v>
      </c>
      <c r="AB70" s="47" t="e">
        <f ca="1">IF(OFFSET(O8,$X$4,0)=0,NA(),OFFSET(O8,$X$4,0))</f>
        <v>#N/A</v>
      </c>
      <c r="AI70" s="210"/>
      <c r="AJ70" s="175"/>
    </row>
    <row r="71" spans="1:44" ht="11.25" customHeight="1" x14ac:dyDescent="0.2">
      <c r="A71" s="129"/>
      <c r="B71" s="130"/>
      <c r="C71" s="130"/>
      <c r="D71" s="130"/>
      <c r="E71" s="130"/>
      <c r="F71" s="130"/>
      <c r="G71" s="130"/>
      <c r="H71" s="130"/>
      <c r="I71" s="130"/>
      <c r="J71" s="131"/>
      <c r="K71" s="130"/>
      <c r="L71" s="130"/>
      <c r="M71" s="130"/>
      <c r="N71" s="130"/>
      <c r="O71" s="130"/>
      <c r="P71" s="130"/>
      <c r="Q71" s="130"/>
      <c r="R71" s="130"/>
      <c r="S71" s="130"/>
      <c r="T71" s="130"/>
      <c r="U71" s="132"/>
      <c r="V71" s="152"/>
      <c r="W71" s="168"/>
      <c r="X71" s="215"/>
      <c r="Y71" s="215"/>
      <c r="Z71" s="215"/>
      <c r="AI71" s="210"/>
      <c r="AJ71" s="175"/>
    </row>
    <row r="72" spans="1:44" s="82" customFormat="1" ht="15" customHeight="1" x14ac:dyDescent="0.2">
      <c r="A72" s="136"/>
      <c r="B72" s="60"/>
      <c r="C72" s="351"/>
      <c r="D72" s="351"/>
      <c r="E72" s="351"/>
      <c r="F72" s="351"/>
      <c r="G72" s="351"/>
      <c r="H72" s="351"/>
      <c r="I72" s="351"/>
      <c r="J72" s="70"/>
      <c r="K72" s="70"/>
      <c r="L72" s="70"/>
      <c r="M72" s="70"/>
      <c r="N72" s="346"/>
      <c r="O72" s="70"/>
      <c r="P72" s="70"/>
      <c r="Q72" s="70"/>
      <c r="R72" s="70"/>
      <c r="S72" s="70"/>
      <c r="T72" s="70"/>
      <c r="U72" s="137"/>
      <c r="V72" s="153"/>
      <c r="W72" s="169"/>
      <c r="X72" s="215"/>
      <c r="Y72" s="215"/>
      <c r="Z72" s="215"/>
      <c r="AA72" s="215"/>
      <c r="AB72" s="215"/>
      <c r="AC72" s="215"/>
      <c r="AD72" s="215"/>
      <c r="AE72" s="215"/>
      <c r="AF72" s="215"/>
      <c r="AG72" s="215"/>
      <c r="AH72" s="215"/>
      <c r="AI72" s="215"/>
      <c r="AJ72" s="176"/>
    </row>
    <row r="73" spans="1:44" ht="13.5" customHeight="1" x14ac:dyDescent="0.2">
      <c r="A73" s="135"/>
      <c r="B73" s="351"/>
      <c r="C73" s="351"/>
      <c r="D73" s="351"/>
      <c r="E73" s="351"/>
      <c r="F73" s="351"/>
      <c r="G73" s="351"/>
      <c r="H73" s="351"/>
      <c r="I73" s="351"/>
      <c r="J73" s="70"/>
      <c r="K73" s="70"/>
      <c r="L73" s="70"/>
      <c r="M73" s="70"/>
      <c r="N73" s="346"/>
      <c r="O73" s="70"/>
      <c r="P73" s="70"/>
      <c r="Q73" s="10"/>
      <c r="R73" s="70"/>
      <c r="S73" s="70"/>
      <c r="T73" s="70"/>
      <c r="U73" s="134"/>
      <c r="V73" s="152"/>
      <c r="W73" s="168"/>
      <c r="X73" s="215"/>
      <c r="Y73" s="215"/>
      <c r="Z73" s="223"/>
      <c r="AA73" s="223"/>
      <c r="AB73" s="224"/>
      <c r="AC73" s="224"/>
      <c r="AI73" s="210"/>
      <c r="AJ73" s="175"/>
    </row>
    <row r="74" spans="1:44" s="101" customFormat="1" ht="12" customHeight="1" x14ac:dyDescent="0.2">
      <c r="A74" s="138"/>
      <c r="B74" s="351"/>
      <c r="C74" s="351"/>
      <c r="D74" s="351"/>
      <c r="E74" s="351"/>
      <c r="F74" s="351"/>
      <c r="G74" s="351"/>
      <c r="H74" s="351"/>
      <c r="I74" s="115"/>
      <c r="J74" s="115"/>
      <c r="K74" s="62"/>
      <c r="L74" s="62"/>
      <c r="M74" s="62"/>
      <c r="N74" s="62"/>
      <c r="O74" s="62"/>
      <c r="P74" s="356"/>
      <c r="Q74" s="356"/>
      <c r="R74" s="177"/>
      <c r="S74" s="177"/>
      <c r="T74" s="355"/>
      <c r="U74" s="139"/>
      <c r="V74" s="154"/>
      <c r="W74" s="170"/>
      <c r="X74" s="215"/>
      <c r="Y74" s="215"/>
      <c r="Z74" s="223"/>
      <c r="AA74" s="223"/>
      <c r="AB74" s="224"/>
      <c r="AC74" s="224"/>
      <c r="AD74" s="226"/>
      <c r="AE74" s="217"/>
      <c r="AF74" s="217"/>
      <c r="AG74" s="217"/>
      <c r="AH74" s="217"/>
      <c r="AI74" s="232"/>
      <c r="AJ74" s="178"/>
    </row>
    <row r="75" spans="1:44" s="101" customFormat="1" ht="24" customHeight="1" x14ac:dyDescent="0.2">
      <c r="A75" s="138"/>
      <c r="B75" s="351"/>
      <c r="C75" s="351"/>
      <c r="D75" s="351"/>
      <c r="E75" s="351"/>
      <c r="F75" s="351"/>
      <c r="G75" s="351"/>
      <c r="H75" s="351"/>
      <c r="I75" s="115"/>
      <c r="J75" s="115"/>
      <c r="K75" s="186"/>
      <c r="L75" s="186"/>
      <c r="M75" s="186"/>
      <c r="N75" s="186"/>
      <c r="O75" s="186"/>
      <c r="P75" s="186"/>
      <c r="Q75" s="187"/>
      <c r="R75" s="177"/>
      <c r="S75" s="177"/>
      <c r="T75" s="186"/>
      <c r="U75" s="139"/>
      <c r="V75" s="154"/>
      <c r="W75" s="170"/>
      <c r="Y75" s="403" t="s">
        <v>133</v>
      </c>
      <c r="Z75" s="404" t="s">
        <v>134</v>
      </c>
      <c r="AA75" s="223"/>
      <c r="AB75" s="224"/>
      <c r="AC75" s="224"/>
      <c r="AD75" s="226"/>
      <c r="AE75" s="217"/>
      <c r="AF75" s="217"/>
      <c r="AG75" s="217"/>
      <c r="AH75" s="217"/>
      <c r="AI75" s="232"/>
      <c r="AJ75" s="178"/>
    </row>
    <row r="76" spans="1:44" s="101" customFormat="1" ht="12.75" customHeight="1" x14ac:dyDescent="0.2">
      <c r="A76" s="138"/>
      <c r="B76" s="351"/>
      <c r="C76" s="351"/>
      <c r="D76" s="351"/>
      <c r="E76" s="351"/>
      <c r="F76" s="351"/>
      <c r="G76" s="351"/>
      <c r="H76" s="351"/>
      <c r="I76" s="115"/>
      <c r="J76" s="115"/>
      <c r="K76" s="186"/>
      <c r="L76" s="186"/>
      <c r="M76" s="186"/>
      <c r="N76" s="186"/>
      <c r="O76" s="186"/>
      <c r="P76" s="186"/>
      <c r="Q76" s="187"/>
      <c r="R76" s="177"/>
      <c r="S76" s="177"/>
      <c r="T76" s="186"/>
      <c r="U76" s="139"/>
      <c r="V76" s="154"/>
      <c r="W76" s="170"/>
      <c r="X76" s="405" t="str">
        <f>B9</f>
        <v>Bracknell Forest</v>
      </c>
      <c r="Y76" s="406" t="e">
        <f>IF(X76=$Y$4,I9,#N/A)</f>
        <v>#N/A</v>
      </c>
      <c r="Z76" s="406" t="e">
        <f>IF(X76=$Y$4,T9,#N/A)</f>
        <v>#N/A</v>
      </c>
      <c r="AA76" s="223"/>
      <c r="AB76" s="224"/>
      <c r="AC76" s="224"/>
      <c r="AD76" s="226"/>
      <c r="AE76" s="217"/>
      <c r="AF76" s="217"/>
      <c r="AG76" s="217"/>
      <c r="AH76" s="217"/>
      <c r="AI76" s="232"/>
      <c r="AJ76" s="178"/>
    </row>
    <row r="77" spans="1:44" s="101" customFormat="1" ht="12.75" customHeight="1" x14ac:dyDescent="0.2">
      <c r="A77" s="138"/>
      <c r="B77" s="351"/>
      <c r="C77" s="351"/>
      <c r="D77" s="351"/>
      <c r="E77" s="351"/>
      <c r="F77" s="351"/>
      <c r="G77" s="351"/>
      <c r="H77" s="351"/>
      <c r="I77" s="115"/>
      <c r="J77" s="115"/>
      <c r="K77" s="186"/>
      <c r="L77" s="186"/>
      <c r="M77" s="186"/>
      <c r="N77" s="186"/>
      <c r="O77" s="186"/>
      <c r="P77" s="186"/>
      <c r="Q77" s="187"/>
      <c r="R77" s="177"/>
      <c r="S77" s="177"/>
      <c r="T77" s="186"/>
      <c r="U77" s="139"/>
      <c r="V77" s="154"/>
      <c r="W77" s="170"/>
      <c r="X77" s="405" t="str">
        <f t="shared" ref="X77:X97" si="16">B10</f>
        <v>Brighton &amp; Hove</v>
      </c>
      <c r="Y77" s="406" t="e">
        <f t="shared" ref="Y77:Y99" si="17">IF(X77=$Y$4,I10,#N/A)</f>
        <v>#N/A</v>
      </c>
      <c r="Z77" s="406" t="e">
        <f t="shared" ref="Z77:Z99" si="18">IF(X77=$Y$4,T10,#N/A)</f>
        <v>#N/A</v>
      </c>
      <c r="AA77" s="223"/>
      <c r="AB77" s="224"/>
      <c r="AC77" s="224"/>
      <c r="AD77" s="226"/>
      <c r="AE77" s="217"/>
      <c r="AF77" s="217"/>
      <c r="AG77" s="217"/>
      <c r="AH77" s="217"/>
      <c r="AI77" s="232"/>
      <c r="AJ77" s="178"/>
    </row>
    <row r="78" spans="1:44" s="101" customFormat="1" ht="12.75" customHeight="1" x14ac:dyDescent="0.2">
      <c r="A78" s="138"/>
      <c r="B78" s="351"/>
      <c r="C78" s="351"/>
      <c r="D78" s="351"/>
      <c r="E78" s="351"/>
      <c r="F78" s="351"/>
      <c r="G78" s="351"/>
      <c r="H78" s="351"/>
      <c r="I78" s="115"/>
      <c r="J78" s="115"/>
      <c r="K78" s="186"/>
      <c r="L78" s="186"/>
      <c r="M78" s="186"/>
      <c r="N78" s="186"/>
      <c r="O78" s="186"/>
      <c r="P78" s="186"/>
      <c r="Q78" s="187"/>
      <c r="R78" s="177"/>
      <c r="S78" s="177"/>
      <c r="T78" s="186"/>
      <c r="U78" s="139"/>
      <c r="V78" s="154"/>
      <c r="W78" s="170"/>
      <c r="X78" s="405" t="str">
        <f t="shared" si="16"/>
        <v>Buckinghamshire</v>
      </c>
      <c r="Y78" s="406" t="e">
        <f t="shared" si="17"/>
        <v>#N/A</v>
      </c>
      <c r="Z78" s="406" t="e">
        <f t="shared" si="18"/>
        <v>#N/A</v>
      </c>
      <c r="AA78" s="223"/>
      <c r="AB78" s="224"/>
      <c r="AC78" s="224"/>
      <c r="AD78" s="226"/>
      <c r="AE78" s="217"/>
      <c r="AF78" s="217"/>
      <c r="AG78" s="217"/>
      <c r="AH78" s="217"/>
      <c r="AI78" s="232"/>
      <c r="AJ78" s="178"/>
    </row>
    <row r="79" spans="1:44" s="101" customFormat="1" ht="12.75" customHeight="1" x14ac:dyDescent="0.2">
      <c r="A79" s="138"/>
      <c r="B79" s="351"/>
      <c r="C79" s="351"/>
      <c r="D79" s="351"/>
      <c r="E79" s="351"/>
      <c r="F79" s="351"/>
      <c r="G79" s="351"/>
      <c r="H79" s="351"/>
      <c r="I79" s="115"/>
      <c r="J79" s="115"/>
      <c r="K79" s="186"/>
      <c r="L79" s="186"/>
      <c r="M79" s="186"/>
      <c r="N79" s="186"/>
      <c r="O79" s="186"/>
      <c r="P79" s="186"/>
      <c r="Q79" s="187"/>
      <c r="R79" s="177"/>
      <c r="S79" s="177"/>
      <c r="T79" s="186"/>
      <c r="U79" s="139"/>
      <c r="V79" s="154"/>
      <c r="W79" s="170"/>
      <c r="X79" s="405" t="str">
        <f t="shared" si="16"/>
        <v>East Sussex</v>
      </c>
      <c r="Y79" s="406" t="e">
        <f t="shared" si="17"/>
        <v>#N/A</v>
      </c>
      <c r="Z79" s="406" t="e">
        <f t="shared" si="18"/>
        <v>#N/A</v>
      </c>
      <c r="AA79" s="223"/>
      <c r="AB79" s="224"/>
      <c r="AC79" s="224"/>
      <c r="AD79" s="226"/>
      <c r="AE79" s="217"/>
      <c r="AF79" s="217"/>
      <c r="AG79" s="217"/>
      <c r="AH79" s="217"/>
      <c r="AI79" s="232"/>
      <c r="AJ79" s="178"/>
    </row>
    <row r="80" spans="1:44" s="101" customFormat="1" ht="12.75" customHeight="1" x14ac:dyDescent="0.2">
      <c r="A80" s="138"/>
      <c r="B80" s="351"/>
      <c r="C80" s="351"/>
      <c r="D80" s="351"/>
      <c r="E80" s="351"/>
      <c r="F80" s="351"/>
      <c r="G80" s="351"/>
      <c r="H80" s="351"/>
      <c r="I80" s="115"/>
      <c r="J80" s="115"/>
      <c r="K80" s="186"/>
      <c r="L80" s="186"/>
      <c r="M80" s="186"/>
      <c r="N80" s="186"/>
      <c r="O80" s="186"/>
      <c r="P80" s="186"/>
      <c r="Q80" s="187"/>
      <c r="R80" s="177"/>
      <c r="S80" s="177"/>
      <c r="T80" s="186"/>
      <c r="U80" s="139"/>
      <c r="V80" s="154"/>
      <c r="W80" s="170"/>
      <c r="X80" s="405" t="str">
        <f t="shared" si="16"/>
        <v>Hampshire</v>
      </c>
      <c r="Y80" s="406" t="e">
        <f t="shared" si="17"/>
        <v>#N/A</v>
      </c>
      <c r="Z80" s="406" t="e">
        <f t="shared" si="18"/>
        <v>#N/A</v>
      </c>
      <c r="AA80" s="223"/>
      <c r="AB80" s="224"/>
      <c r="AC80" s="224"/>
      <c r="AD80" s="226"/>
      <c r="AE80" s="217"/>
      <c r="AF80" s="217"/>
      <c r="AG80" s="217"/>
      <c r="AH80" s="217"/>
      <c r="AI80" s="232"/>
      <c r="AJ80" s="178"/>
      <c r="AR80" s="101" t="s">
        <v>104</v>
      </c>
    </row>
    <row r="81" spans="1:36" s="101" customFormat="1" ht="12.75" customHeight="1" x14ac:dyDescent="0.2">
      <c r="A81" s="138"/>
      <c r="B81" s="351"/>
      <c r="C81" s="351"/>
      <c r="D81" s="351"/>
      <c r="E81" s="351"/>
      <c r="F81" s="351"/>
      <c r="G81" s="351"/>
      <c r="H81" s="351"/>
      <c r="I81" s="115"/>
      <c r="J81" s="115"/>
      <c r="K81" s="186"/>
      <c r="L81" s="186"/>
      <c r="M81" s="186"/>
      <c r="N81" s="186"/>
      <c r="O81" s="186"/>
      <c r="P81" s="186"/>
      <c r="Q81" s="187"/>
      <c r="R81" s="177"/>
      <c r="S81" s="177"/>
      <c r="T81" s="186"/>
      <c r="U81" s="139"/>
      <c r="V81" s="154"/>
      <c r="W81" s="170"/>
      <c r="X81" s="405" t="str">
        <f t="shared" si="16"/>
        <v>Isle of Wight</v>
      </c>
      <c r="Y81" s="406" t="e">
        <f t="shared" si="17"/>
        <v>#N/A</v>
      </c>
      <c r="Z81" s="406" t="e">
        <f t="shared" si="18"/>
        <v>#N/A</v>
      </c>
      <c r="AA81" s="223"/>
      <c r="AB81" s="224"/>
      <c r="AC81" s="224"/>
      <c r="AD81" s="226"/>
      <c r="AE81" s="217"/>
      <c r="AF81" s="217"/>
      <c r="AG81" s="217"/>
      <c r="AH81" s="217"/>
      <c r="AI81" s="232"/>
      <c r="AJ81" s="178"/>
    </row>
    <row r="82" spans="1:36" s="101" customFormat="1" ht="12.75" customHeight="1" x14ac:dyDescent="0.2">
      <c r="A82" s="138"/>
      <c r="B82" s="351"/>
      <c r="C82" s="351"/>
      <c r="D82" s="351"/>
      <c r="E82" s="351"/>
      <c r="F82" s="351"/>
      <c r="G82" s="351"/>
      <c r="H82" s="351"/>
      <c r="I82" s="115"/>
      <c r="J82" s="115"/>
      <c r="K82" s="186"/>
      <c r="L82" s="186"/>
      <c r="M82" s="186"/>
      <c r="N82" s="186"/>
      <c r="O82" s="186"/>
      <c r="P82" s="186"/>
      <c r="Q82" s="187"/>
      <c r="R82" s="177"/>
      <c r="S82" s="177"/>
      <c r="T82" s="186"/>
      <c r="U82" s="139"/>
      <c r="V82" s="154"/>
      <c r="W82" s="170"/>
      <c r="X82" s="405" t="str">
        <f t="shared" si="16"/>
        <v>Kent</v>
      </c>
      <c r="Y82" s="406" t="e">
        <f t="shared" si="17"/>
        <v>#N/A</v>
      </c>
      <c r="Z82" s="406" t="e">
        <f t="shared" si="18"/>
        <v>#N/A</v>
      </c>
      <c r="AA82" s="223"/>
      <c r="AB82" s="224"/>
      <c r="AC82" s="224"/>
      <c r="AD82" s="226"/>
      <c r="AE82" s="217"/>
      <c r="AF82" s="217"/>
      <c r="AG82" s="217"/>
      <c r="AH82" s="217"/>
      <c r="AI82" s="232"/>
      <c r="AJ82" s="178"/>
    </row>
    <row r="83" spans="1:36" s="101" customFormat="1" ht="12.75" customHeight="1" x14ac:dyDescent="0.2">
      <c r="A83" s="138"/>
      <c r="B83" s="351"/>
      <c r="C83" s="351"/>
      <c r="D83" s="351"/>
      <c r="E83" s="351"/>
      <c r="F83" s="351"/>
      <c r="G83" s="351"/>
      <c r="H83" s="351"/>
      <c r="I83" s="115"/>
      <c r="J83" s="115"/>
      <c r="K83" s="186"/>
      <c r="L83" s="186"/>
      <c r="M83" s="186"/>
      <c r="N83" s="186"/>
      <c r="O83" s="186"/>
      <c r="P83" s="186"/>
      <c r="Q83" s="187"/>
      <c r="R83" s="177"/>
      <c r="S83" s="177"/>
      <c r="T83" s="186"/>
      <c r="U83" s="139"/>
      <c r="V83" s="154"/>
      <c r="W83" s="170"/>
      <c r="X83" s="405" t="str">
        <f t="shared" si="16"/>
        <v>Medway</v>
      </c>
      <c r="Y83" s="406" t="e">
        <f t="shared" si="17"/>
        <v>#N/A</v>
      </c>
      <c r="Z83" s="406" t="e">
        <f t="shared" si="18"/>
        <v>#N/A</v>
      </c>
      <c r="AA83" s="223"/>
      <c r="AB83" s="224"/>
      <c r="AC83" s="224"/>
      <c r="AD83" s="226"/>
      <c r="AE83" s="217"/>
      <c r="AF83" s="217"/>
      <c r="AG83" s="217"/>
      <c r="AH83" s="217"/>
      <c r="AI83" s="232"/>
      <c r="AJ83" s="178"/>
    </row>
    <row r="84" spans="1:36" s="101" customFormat="1" ht="12.75" customHeight="1" x14ac:dyDescent="0.2">
      <c r="A84" s="138"/>
      <c r="B84" s="351"/>
      <c r="C84" s="351"/>
      <c r="D84" s="351"/>
      <c r="E84" s="351"/>
      <c r="F84" s="351"/>
      <c r="G84" s="351"/>
      <c r="H84" s="351"/>
      <c r="I84" s="115"/>
      <c r="J84" s="115"/>
      <c r="K84" s="186"/>
      <c r="L84" s="186"/>
      <c r="M84" s="186"/>
      <c r="N84" s="186"/>
      <c r="O84" s="186"/>
      <c r="P84" s="186"/>
      <c r="Q84" s="187"/>
      <c r="R84" s="177"/>
      <c r="S84" s="177"/>
      <c r="T84" s="186"/>
      <c r="U84" s="139"/>
      <c r="V84" s="154"/>
      <c r="W84" s="170"/>
      <c r="X84" s="405" t="str">
        <f t="shared" si="16"/>
        <v>Milton Keynes</v>
      </c>
      <c r="Y84" s="406" t="e">
        <f t="shared" si="17"/>
        <v>#N/A</v>
      </c>
      <c r="Z84" s="406" t="e">
        <f t="shared" si="18"/>
        <v>#N/A</v>
      </c>
      <c r="AA84" s="223"/>
      <c r="AB84" s="224"/>
      <c r="AC84" s="224"/>
      <c r="AD84" s="226"/>
      <c r="AE84" s="217"/>
      <c r="AF84" s="217"/>
      <c r="AG84" s="217"/>
      <c r="AH84" s="217"/>
      <c r="AI84" s="232"/>
      <c r="AJ84" s="178"/>
    </row>
    <row r="85" spans="1:36" s="101" customFormat="1" ht="12.75" customHeight="1" x14ac:dyDescent="0.2">
      <c r="A85" s="138"/>
      <c r="B85" s="351"/>
      <c r="C85" s="351"/>
      <c r="D85" s="351"/>
      <c r="E85" s="351"/>
      <c r="F85" s="351"/>
      <c r="G85" s="351"/>
      <c r="H85" s="351"/>
      <c r="I85" s="115"/>
      <c r="J85" s="115"/>
      <c r="K85" s="186"/>
      <c r="L85" s="186"/>
      <c r="M85" s="186"/>
      <c r="N85" s="186"/>
      <c r="O85" s="186"/>
      <c r="P85" s="186"/>
      <c r="Q85" s="187"/>
      <c r="R85" s="177"/>
      <c r="S85" s="177"/>
      <c r="T85" s="186"/>
      <c r="U85" s="139"/>
      <c r="V85" s="154"/>
      <c r="W85" s="170"/>
      <c r="X85" s="405" t="str">
        <f t="shared" si="16"/>
        <v>Oxfordshire</v>
      </c>
      <c r="Y85" s="406" t="e">
        <f t="shared" si="17"/>
        <v>#N/A</v>
      </c>
      <c r="Z85" s="406" t="e">
        <f t="shared" si="18"/>
        <v>#N/A</v>
      </c>
      <c r="AA85" s="223"/>
      <c r="AB85" s="224"/>
      <c r="AC85" s="224"/>
      <c r="AD85" s="226"/>
      <c r="AE85" s="217"/>
      <c r="AF85" s="217"/>
      <c r="AG85" s="217"/>
      <c r="AH85" s="217"/>
      <c r="AI85" s="232"/>
      <c r="AJ85" s="178"/>
    </row>
    <row r="86" spans="1:36" s="101" customFormat="1" ht="12.75" customHeight="1" x14ac:dyDescent="0.2">
      <c r="A86" s="138"/>
      <c r="B86" s="351"/>
      <c r="C86" s="351"/>
      <c r="D86" s="351"/>
      <c r="E86" s="351"/>
      <c r="F86" s="351"/>
      <c r="G86" s="351"/>
      <c r="H86" s="351"/>
      <c r="I86" s="115"/>
      <c r="J86" s="115"/>
      <c r="K86" s="186"/>
      <c r="L86" s="186"/>
      <c r="M86" s="186"/>
      <c r="N86" s="186"/>
      <c r="O86" s="186"/>
      <c r="P86" s="186"/>
      <c r="Q86" s="187"/>
      <c r="R86" s="177"/>
      <c r="S86" s="177"/>
      <c r="T86" s="186"/>
      <c r="U86" s="139"/>
      <c r="V86" s="154"/>
      <c r="W86" s="170"/>
      <c r="X86" s="405" t="str">
        <f t="shared" si="16"/>
        <v>Portsmouth</v>
      </c>
      <c r="Y86" s="406" t="e">
        <f t="shared" si="17"/>
        <v>#N/A</v>
      </c>
      <c r="Z86" s="406" t="e">
        <f t="shared" si="18"/>
        <v>#N/A</v>
      </c>
      <c r="AA86" s="223"/>
      <c r="AB86" s="224"/>
      <c r="AC86" s="224"/>
      <c r="AD86" s="226"/>
      <c r="AE86" s="217"/>
      <c r="AF86" s="217"/>
      <c r="AG86" s="217"/>
      <c r="AH86" s="217"/>
      <c r="AI86" s="232"/>
      <c r="AJ86" s="178"/>
    </row>
    <row r="87" spans="1:36" s="101" customFormat="1" ht="12.75" customHeight="1" x14ac:dyDescent="0.2">
      <c r="A87" s="138"/>
      <c r="B87" s="351"/>
      <c r="C87" s="351"/>
      <c r="D87" s="351"/>
      <c r="E87" s="351"/>
      <c r="F87" s="351"/>
      <c r="G87" s="351"/>
      <c r="H87" s="351"/>
      <c r="I87" s="115"/>
      <c r="J87" s="115"/>
      <c r="K87" s="186"/>
      <c r="L87" s="186"/>
      <c r="M87" s="186"/>
      <c r="N87" s="186"/>
      <c r="O87" s="186"/>
      <c r="P87" s="186"/>
      <c r="Q87" s="187"/>
      <c r="R87" s="177"/>
      <c r="S87" s="177"/>
      <c r="T87" s="186"/>
      <c r="U87" s="139"/>
      <c r="V87" s="154"/>
      <c r="W87" s="170"/>
      <c r="X87" s="405" t="str">
        <f t="shared" si="16"/>
        <v>Reading</v>
      </c>
      <c r="Y87" s="406" t="e">
        <f t="shared" si="17"/>
        <v>#N/A</v>
      </c>
      <c r="Z87" s="406" t="e">
        <f t="shared" si="18"/>
        <v>#N/A</v>
      </c>
      <c r="AA87" s="223"/>
      <c r="AB87" s="224"/>
      <c r="AC87" s="224"/>
      <c r="AD87" s="226"/>
      <c r="AE87" s="217"/>
      <c r="AF87" s="217"/>
      <c r="AG87" s="217"/>
      <c r="AH87" s="217"/>
      <c r="AI87" s="232"/>
      <c r="AJ87" s="178"/>
    </row>
    <row r="88" spans="1:36" s="101" customFormat="1" ht="12.75" customHeight="1" x14ac:dyDescent="0.2">
      <c r="A88" s="138"/>
      <c r="B88" s="351"/>
      <c r="C88" s="351"/>
      <c r="D88" s="351"/>
      <c r="E88" s="351"/>
      <c r="F88" s="351"/>
      <c r="G88" s="351"/>
      <c r="H88" s="351"/>
      <c r="I88" s="115"/>
      <c r="J88" s="115"/>
      <c r="K88" s="186"/>
      <c r="L88" s="186"/>
      <c r="M88" s="186"/>
      <c r="N88" s="186"/>
      <c r="O88" s="186"/>
      <c r="P88" s="186"/>
      <c r="Q88" s="187"/>
      <c r="R88" s="177"/>
      <c r="S88" s="177"/>
      <c r="T88" s="186"/>
      <c r="U88" s="139"/>
      <c r="V88" s="154"/>
      <c r="W88" s="170"/>
      <c r="X88" s="405" t="str">
        <f t="shared" si="16"/>
        <v>Slough</v>
      </c>
      <c r="Y88" s="406" t="e">
        <f t="shared" si="17"/>
        <v>#N/A</v>
      </c>
      <c r="Z88" s="406" t="e">
        <f t="shared" si="18"/>
        <v>#N/A</v>
      </c>
      <c r="AA88" s="223"/>
      <c r="AB88" s="224"/>
      <c r="AC88" s="224"/>
      <c r="AD88" s="226"/>
      <c r="AE88" s="217"/>
      <c r="AF88" s="217"/>
      <c r="AG88" s="217"/>
      <c r="AH88" s="217"/>
      <c r="AI88" s="232"/>
      <c r="AJ88" s="178"/>
    </row>
    <row r="89" spans="1:36" s="101" customFormat="1" ht="12.75" customHeight="1" x14ac:dyDescent="0.2">
      <c r="A89" s="138"/>
      <c r="B89" s="351"/>
      <c r="C89" s="351"/>
      <c r="D89" s="351"/>
      <c r="E89" s="351"/>
      <c r="F89" s="351"/>
      <c r="G89" s="351"/>
      <c r="H89" s="351"/>
      <c r="I89" s="115"/>
      <c r="J89" s="115"/>
      <c r="K89" s="186"/>
      <c r="L89" s="186"/>
      <c r="M89" s="186"/>
      <c r="N89" s="186"/>
      <c r="O89" s="186"/>
      <c r="P89" s="186"/>
      <c r="Q89" s="187"/>
      <c r="R89" s="177"/>
      <c r="S89" s="177"/>
      <c r="T89" s="186"/>
      <c r="U89" s="139"/>
      <c r="V89" s="154"/>
      <c r="W89" s="170"/>
      <c r="X89" s="405" t="str">
        <f t="shared" si="16"/>
        <v>Somerset</v>
      </c>
      <c r="Y89" s="406" t="e">
        <f t="shared" si="17"/>
        <v>#N/A</v>
      </c>
      <c r="Z89" s="406" t="e">
        <f t="shared" si="18"/>
        <v>#N/A</v>
      </c>
      <c r="AA89" s="223"/>
      <c r="AB89" s="224"/>
      <c r="AC89" s="224"/>
      <c r="AD89" s="226"/>
      <c r="AE89" s="217"/>
      <c r="AF89" s="217"/>
      <c r="AG89" s="217"/>
      <c r="AH89" s="217"/>
      <c r="AI89" s="232"/>
      <c r="AJ89" s="178"/>
    </row>
    <row r="90" spans="1:36" s="101" customFormat="1" ht="12.75" customHeight="1" x14ac:dyDescent="0.2">
      <c r="A90" s="138"/>
      <c r="B90" s="351"/>
      <c r="C90" s="351"/>
      <c r="D90" s="351"/>
      <c r="E90" s="351"/>
      <c r="F90" s="351"/>
      <c r="G90" s="351"/>
      <c r="H90" s="351"/>
      <c r="I90" s="115"/>
      <c r="J90" s="115"/>
      <c r="K90" s="186"/>
      <c r="L90" s="186"/>
      <c r="M90" s="186"/>
      <c r="N90" s="186"/>
      <c r="O90" s="186"/>
      <c r="P90" s="186"/>
      <c r="Q90" s="187"/>
      <c r="R90" s="177"/>
      <c r="S90" s="177"/>
      <c r="T90" s="186"/>
      <c r="U90" s="139"/>
      <c r="V90" s="154"/>
      <c r="W90" s="170"/>
      <c r="X90" s="405" t="str">
        <f t="shared" si="16"/>
        <v>Southampton</v>
      </c>
      <c r="Y90" s="406" t="e">
        <f t="shared" si="17"/>
        <v>#N/A</v>
      </c>
      <c r="Z90" s="406" t="e">
        <f t="shared" si="18"/>
        <v>#N/A</v>
      </c>
      <c r="AA90" s="223"/>
      <c r="AB90" s="224"/>
      <c r="AC90" s="224"/>
      <c r="AD90" s="226"/>
      <c r="AE90" s="217"/>
      <c r="AF90" s="217"/>
      <c r="AG90" s="217"/>
      <c r="AH90" s="217"/>
      <c r="AI90" s="232"/>
      <c r="AJ90" s="178"/>
    </row>
    <row r="91" spans="1:36" s="101" customFormat="1" ht="12.75" customHeight="1" x14ac:dyDescent="0.2">
      <c r="A91" s="324"/>
      <c r="B91" s="351"/>
      <c r="C91" s="351"/>
      <c r="D91" s="351"/>
      <c r="E91" s="351"/>
      <c r="F91" s="351"/>
      <c r="G91" s="351"/>
      <c r="H91" s="351"/>
      <c r="I91" s="115"/>
      <c r="J91" s="115"/>
      <c r="K91" s="186"/>
      <c r="L91" s="186"/>
      <c r="M91" s="186"/>
      <c r="N91" s="186"/>
      <c r="O91" s="186"/>
      <c r="P91" s="186"/>
      <c r="Q91" s="187"/>
      <c r="R91" s="177"/>
      <c r="S91" s="177"/>
      <c r="T91" s="186"/>
      <c r="U91" s="139"/>
      <c r="V91" s="154"/>
      <c r="W91" s="170"/>
      <c r="X91" s="405" t="str">
        <f t="shared" si="16"/>
        <v>Surrey</v>
      </c>
      <c r="Y91" s="406" t="e">
        <f t="shared" si="17"/>
        <v>#N/A</v>
      </c>
      <c r="Z91" s="406" t="e">
        <f t="shared" si="18"/>
        <v>#N/A</v>
      </c>
      <c r="AA91" s="223"/>
      <c r="AB91" s="224"/>
      <c r="AC91" s="224"/>
      <c r="AD91" s="226"/>
      <c r="AE91" s="217"/>
      <c r="AF91" s="217"/>
      <c r="AG91" s="217"/>
      <c r="AH91" s="217"/>
      <c r="AI91" s="232"/>
      <c r="AJ91" s="178"/>
    </row>
    <row r="92" spans="1:36" s="101" customFormat="1" ht="12.75" customHeight="1" x14ac:dyDescent="0.2">
      <c r="A92" s="324"/>
      <c r="B92" s="351"/>
      <c r="C92" s="351"/>
      <c r="D92" s="351"/>
      <c r="E92" s="351"/>
      <c r="F92" s="351"/>
      <c r="G92" s="351"/>
      <c r="H92" s="351"/>
      <c r="I92" s="115"/>
      <c r="J92" s="115"/>
      <c r="K92" s="186"/>
      <c r="L92" s="186"/>
      <c r="M92" s="186"/>
      <c r="N92" s="186"/>
      <c r="O92" s="186"/>
      <c r="P92" s="186"/>
      <c r="Q92" s="187"/>
      <c r="R92" s="177"/>
      <c r="S92" s="177"/>
      <c r="T92" s="186"/>
      <c r="U92" s="139"/>
      <c r="V92" s="154"/>
      <c r="W92" s="170"/>
      <c r="X92" s="405" t="str">
        <f t="shared" si="16"/>
        <v>Swindon</v>
      </c>
      <c r="Y92" s="406" t="e">
        <f t="shared" si="17"/>
        <v>#N/A</v>
      </c>
      <c r="Z92" s="406" t="e">
        <f t="shared" si="18"/>
        <v>#N/A</v>
      </c>
      <c r="AA92" s="223"/>
      <c r="AB92" s="224"/>
      <c r="AC92" s="224"/>
      <c r="AD92" s="226"/>
      <c r="AE92" s="217"/>
      <c r="AF92" s="217"/>
      <c r="AG92" s="217"/>
      <c r="AH92" s="217"/>
      <c r="AI92" s="232"/>
      <c r="AJ92" s="178"/>
    </row>
    <row r="93" spans="1:36" s="101" customFormat="1" ht="12.75" customHeight="1" x14ac:dyDescent="0.2">
      <c r="A93" s="138"/>
      <c r="B93" s="351"/>
      <c r="C93" s="351"/>
      <c r="D93" s="351"/>
      <c r="E93" s="351"/>
      <c r="F93" s="351"/>
      <c r="G93" s="351"/>
      <c r="H93" s="351"/>
      <c r="I93" s="115"/>
      <c r="J93" s="115"/>
      <c r="K93" s="186"/>
      <c r="L93" s="186"/>
      <c r="M93" s="186"/>
      <c r="N93" s="186"/>
      <c r="O93" s="186"/>
      <c r="P93" s="186"/>
      <c r="Q93" s="187"/>
      <c r="R93" s="177"/>
      <c r="S93" s="177"/>
      <c r="T93" s="186"/>
      <c r="U93" s="139"/>
      <c r="V93" s="154"/>
      <c r="W93" s="170"/>
      <c r="X93" s="405" t="str">
        <f t="shared" si="16"/>
        <v>Torbay</v>
      </c>
      <c r="Y93" s="406" t="e">
        <f t="shared" si="17"/>
        <v>#N/A</v>
      </c>
      <c r="Z93" s="406" t="e">
        <f t="shared" si="18"/>
        <v>#N/A</v>
      </c>
      <c r="AA93" s="223"/>
      <c r="AB93" s="224"/>
      <c r="AC93" s="224"/>
      <c r="AD93" s="226"/>
      <c r="AE93" s="232"/>
      <c r="AF93" s="217"/>
      <c r="AG93" s="217"/>
      <c r="AH93" s="217"/>
      <c r="AI93" s="232"/>
      <c r="AJ93" s="178"/>
    </row>
    <row r="94" spans="1:36" s="101" customFormat="1" ht="12.75" customHeight="1" x14ac:dyDescent="0.2">
      <c r="A94" s="138"/>
      <c r="B94" s="351"/>
      <c r="C94" s="351"/>
      <c r="D94" s="351"/>
      <c r="E94" s="351"/>
      <c r="F94" s="351"/>
      <c r="G94" s="351"/>
      <c r="H94" s="351"/>
      <c r="I94" s="115"/>
      <c r="J94" s="115"/>
      <c r="K94" s="186"/>
      <c r="L94" s="186"/>
      <c r="M94" s="186"/>
      <c r="N94" s="186"/>
      <c r="O94" s="186"/>
      <c r="P94" s="186"/>
      <c r="Q94" s="187"/>
      <c r="R94" s="177"/>
      <c r="S94" s="177"/>
      <c r="T94" s="186"/>
      <c r="U94" s="139"/>
      <c r="V94" s="154"/>
      <c r="W94" s="170"/>
      <c r="X94" s="405" t="str">
        <f t="shared" si="16"/>
        <v>West Berkshire</v>
      </c>
      <c r="Y94" s="406" t="e">
        <f t="shared" si="17"/>
        <v>#N/A</v>
      </c>
      <c r="Z94" s="406" t="e">
        <f t="shared" si="18"/>
        <v>#N/A</v>
      </c>
      <c r="AA94" s="223"/>
      <c r="AB94" s="224"/>
      <c r="AC94" s="224"/>
      <c r="AD94" s="226"/>
      <c r="AE94" s="232"/>
      <c r="AF94" s="217"/>
      <c r="AG94" s="217"/>
      <c r="AH94" s="217"/>
      <c r="AI94" s="232"/>
      <c r="AJ94" s="178"/>
    </row>
    <row r="95" spans="1:36" s="101" customFormat="1" ht="12.75" customHeight="1" x14ac:dyDescent="0.2">
      <c r="A95" s="138"/>
      <c r="B95" s="351"/>
      <c r="C95" s="351"/>
      <c r="D95" s="351"/>
      <c r="E95" s="351"/>
      <c r="F95" s="351"/>
      <c r="G95" s="351"/>
      <c r="H95" s="351"/>
      <c r="I95" s="115"/>
      <c r="J95" s="115"/>
      <c r="K95" s="186"/>
      <c r="L95" s="186"/>
      <c r="M95" s="186"/>
      <c r="N95" s="186"/>
      <c r="O95" s="186"/>
      <c r="P95" s="186"/>
      <c r="Q95" s="187"/>
      <c r="R95" s="177"/>
      <c r="S95" s="177"/>
      <c r="T95" s="186"/>
      <c r="U95" s="139"/>
      <c r="V95" s="154"/>
      <c r="W95" s="170"/>
      <c r="X95" s="405" t="str">
        <f t="shared" si="16"/>
        <v>West Sussex</v>
      </c>
      <c r="Y95" s="406" t="e">
        <f t="shared" si="17"/>
        <v>#N/A</v>
      </c>
      <c r="Z95" s="406" t="e">
        <f t="shared" si="18"/>
        <v>#N/A</v>
      </c>
      <c r="AA95" s="223"/>
      <c r="AB95" s="224"/>
      <c r="AC95" s="224"/>
      <c r="AD95" s="226"/>
      <c r="AE95" s="232"/>
      <c r="AF95" s="232"/>
      <c r="AG95" s="232"/>
      <c r="AH95" s="217"/>
      <c r="AI95" s="232"/>
      <c r="AJ95" s="178"/>
    </row>
    <row r="96" spans="1:36" s="101" customFormat="1" ht="12.75" customHeight="1" x14ac:dyDescent="0.2">
      <c r="A96" s="138"/>
      <c r="B96" s="351"/>
      <c r="C96" s="351"/>
      <c r="D96" s="351"/>
      <c r="E96" s="351"/>
      <c r="F96" s="351"/>
      <c r="G96" s="351"/>
      <c r="H96" s="351"/>
      <c r="I96" s="115"/>
      <c r="J96" s="115"/>
      <c r="K96" s="186"/>
      <c r="L96" s="186"/>
      <c r="M96" s="186"/>
      <c r="N96" s="186"/>
      <c r="O96" s="186"/>
      <c r="P96" s="186"/>
      <c r="Q96" s="187"/>
      <c r="R96" s="177"/>
      <c r="S96" s="177"/>
      <c r="T96" s="186"/>
      <c r="U96" s="139"/>
      <c r="V96" s="154"/>
      <c r="W96" s="170"/>
      <c r="X96" s="405" t="str">
        <f t="shared" si="16"/>
        <v>Windsor &amp; Maidenhead</v>
      </c>
      <c r="Y96" s="406" t="e">
        <f t="shared" si="17"/>
        <v>#N/A</v>
      </c>
      <c r="Z96" s="406" t="e">
        <f t="shared" si="18"/>
        <v>#N/A</v>
      </c>
      <c r="AA96" s="223"/>
      <c r="AB96" s="224"/>
      <c r="AC96" s="224"/>
      <c r="AD96" s="226"/>
      <c r="AE96" s="232"/>
      <c r="AF96" s="232"/>
      <c r="AG96" s="232"/>
      <c r="AH96" s="217"/>
      <c r="AI96" s="232"/>
      <c r="AJ96" s="178"/>
    </row>
    <row r="97" spans="1:45" s="101" customFormat="1" ht="12.75" customHeight="1" x14ac:dyDescent="0.2">
      <c r="A97" s="138"/>
      <c r="B97" s="351"/>
      <c r="C97" s="351"/>
      <c r="D97" s="351"/>
      <c r="E97" s="351"/>
      <c r="F97" s="351"/>
      <c r="G97" s="351"/>
      <c r="H97" s="351"/>
      <c r="I97" s="115"/>
      <c r="J97" s="115"/>
      <c r="K97" s="188"/>
      <c r="L97" s="188"/>
      <c r="M97" s="188"/>
      <c r="N97" s="188"/>
      <c r="O97" s="188"/>
      <c r="P97" s="188"/>
      <c r="Q97" s="189"/>
      <c r="R97" s="177"/>
      <c r="S97" s="177"/>
      <c r="T97" s="190"/>
      <c r="U97" s="139"/>
      <c r="V97" s="154"/>
      <c r="W97" s="170"/>
      <c r="X97" s="405" t="str">
        <f t="shared" si="16"/>
        <v>Wokingham</v>
      </c>
      <c r="Y97" s="406" t="e">
        <f t="shared" si="17"/>
        <v>#N/A</v>
      </c>
      <c r="Z97" s="406" t="e">
        <f t="shared" si="18"/>
        <v>#N/A</v>
      </c>
      <c r="AA97" s="223"/>
      <c r="AB97" s="224"/>
      <c r="AC97" s="224"/>
      <c r="AD97" s="226"/>
      <c r="AE97" s="232"/>
      <c r="AF97" s="232"/>
      <c r="AG97" s="232"/>
      <c r="AH97" s="217"/>
      <c r="AI97" s="232"/>
      <c r="AJ97" s="178"/>
    </row>
    <row r="98" spans="1:45" s="101" customFormat="1" ht="12.75" customHeight="1" x14ac:dyDescent="0.2">
      <c r="A98" s="138"/>
      <c r="B98" s="351"/>
      <c r="C98" s="351"/>
      <c r="D98" s="351"/>
      <c r="E98" s="351"/>
      <c r="F98" s="351"/>
      <c r="G98" s="351"/>
      <c r="H98" s="351"/>
      <c r="I98" s="115"/>
      <c r="J98" s="115"/>
      <c r="K98" s="188"/>
      <c r="L98" s="188"/>
      <c r="M98" s="188"/>
      <c r="N98" s="188"/>
      <c r="O98" s="188"/>
      <c r="P98" s="188"/>
      <c r="Q98" s="189"/>
      <c r="R98" s="177"/>
      <c r="S98" s="177"/>
      <c r="T98" s="190"/>
      <c r="U98" s="139"/>
      <c r="V98" s="154"/>
      <c r="W98" s="170"/>
      <c r="X98" s="405" t="str">
        <f>B31</f>
        <v>South East</v>
      </c>
      <c r="Y98" s="406" t="e">
        <f t="shared" si="17"/>
        <v>#N/A</v>
      </c>
      <c r="Z98" s="406" t="e">
        <f t="shared" si="18"/>
        <v>#N/A</v>
      </c>
      <c r="AA98" s="223"/>
      <c r="AB98" s="224"/>
      <c r="AC98" s="224"/>
      <c r="AD98" s="226"/>
      <c r="AE98" s="232"/>
      <c r="AF98" s="232"/>
      <c r="AG98" s="232"/>
      <c r="AH98" s="217"/>
      <c r="AI98" s="232"/>
      <c r="AJ98" s="178"/>
    </row>
    <row r="99" spans="1:45" s="101" customFormat="1" ht="11.25" customHeight="1" x14ac:dyDescent="0.2">
      <c r="A99" s="324"/>
      <c r="B99" s="351"/>
      <c r="C99" s="351"/>
      <c r="D99" s="351"/>
      <c r="E99" s="351"/>
      <c r="F99" s="351"/>
      <c r="G99" s="351"/>
      <c r="H99" s="351"/>
      <c r="I99" s="115"/>
      <c r="J99" s="115"/>
      <c r="K99" s="188"/>
      <c r="L99" s="188"/>
      <c r="M99" s="188"/>
      <c r="N99" s="188"/>
      <c r="O99" s="188"/>
      <c r="P99" s="188"/>
      <c r="Q99" s="189"/>
      <c r="R99" s="177"/>
      <c r="S99" s="177"/>
      <c r="T99" s="190"/>
      <c r="U99" s="139"/>
      <c r="V99" s="154"/>
      <c r="W99" s="170"/>
      <c r="X99" s="405" t="str">
        <f>B32</f>
        <v>England</v>
      </c>
      <c r="Y99" s="406" t="e">
        <f t="shared" si="17"/>
        <v>#N/A</v>
      </c>
      <c r="Z99" s="406" t="e">
        <f t="shared" si="18"/>
        <v>#N/A</v>
      </c>
      <c r="AA99" s="223"/>
      <c r="AB99" s="224"/>
      <c r="AC99" s="224"/>
      <c r="AD99" s="226"/>
      <c r="AE99" s="232"/>
      <c r="AF99" s="232"/>
      <c r="AG99" s="232"/>
      <c r="AH99" s="217"/>
      <c r="AI99" s="232"/>
      <c r="AJ99" s="178"/>
    </row>
    <row r="100" spans="1:45" s="88" customFormat="1" ht="42" customHeight="1" x14ac:dyDescent="0.2">
      <c r="A100" s="249"/>
      <c r="B100" s="351"/>
      <c r="C100" s="351"/>
      <c r="D100" s="351"/>
      <c r="E100" s="351"/>
      <c r="F100" s="351"/>
      <c r="G100" s="351"/>
      <c r="H100" s="351"/>
      <c r="I100" s="357"/>
      <c r="J100" s="192"/>
      <c r="K100" s="192"/>
      <c r="L100" s="192"/>
      <c r="M100" s="192"/>
      <c r="N100" s="192"/>
      <c r="O100" s="192"/>
      <c r="P100" s="192"/>
      <c r="Q100" s="151"/>
      <c r="R100" s="192"/>
      <c r="S100" s="192"/>
      <c r="T100" s="192"/>
      <c r="U100" s="134"/>
      <c r="V100" s="152"/>
      <c r="W100" s="168"/>
      <c r="AC100" s="224"/>
      <c r="AD100" s="226"/>
      <c r="AE100" s="210"/>
      <c r="AF100" s="210"/>
      <c r="AG100" s="210"/>
      <c r="AI100" s="210"/>
      <c r="AJ100" s="179"/>
    </row>
    <row r="101" spans="1:45" s="88" customFormat="1" ht="42" customHeight="1" x14ac:dyDescent="0.2">
      <c r="A101" s="249"/>
      <c r="B101" s="351"/>
      <c r="C101" s="351"/>
      <c r="D101" s="351"/>
      <c r="E101" s="351"/>
      <c r="F101" s="351"/>
      <c r="G101" s="351"/>
      <c r="H101" s="351"/>
      <c r="I101" s="357"/>
      <c r="J101" s="192"/>
      <c r="K101" s="192"/>
      <c r="L101" s="192"/>
      <c r="M101" s="192"/>
      <c r="N101" s="192"/>
      <c r="O101" s="192"/>
      <c r="P101" s="192"/>
      <c r="Q101" s="151"/>
      <c r="R101" s="192"/>
      <c r="S101" s="192"/>
      <c r="T101" s="192"/>
      <c r="U101" s="134"/>
      <c r="V101" s="152"/>
      <c r="W101" s="168"/>
      <c r="Y101" s="217"/>
      <c r="AD101" s="226"/>
      <c r="AE101" s="210"/>
      <c r="AF101" s="210"/>
      <c r="AG101" s="210"/>
      <c r="AI101" s="210"/>
      <c r="AJ101" s="179"/>
    </row>
    <row r="102" spans="1:45" s="88" customFormat="1" ht="33" customHeight="1" x14ac:dyDescent="0.2">
      <c r="A102" s="249"/>
      <c r="B102" s="357"/>
      <c r="C102" s="357"/>
      <c r="D102" s="357"/>
      <c r="E102" s="357"/>
      <c r="F102" s="357"/>
      <c r="G102" s="357"/>
      <c r="H102" s="357"/>
      <c r="I102" s="357"/>
      <c r="J102" s="192"/>
      <c r="K102" s="192"/>
      <c r="L102" s="192"/>
      <c r="M102" s="192"/>
      <c r="N102" s="192"/>
      <c r="O102" s="192"/>
      <c r="P102" s="192"/>
      <c r="Q102" s="151"/>
      <c r="R102" s="192"/>
      <c r="S102" s="192"/>
      <c r="T102" s="192"/>
      <c r="U102" s="134"/>
      <c r="V102" s="152"/>
      <c r="W102" s="168"/>
      <c r="Y102" s="217"/>
      <c r="AD102" s="226"/>
      <c r="AE102" s="210"/>
      <c r="AF102" s="210"/>
      <c r="AG102" s="210"/>
      <c r="AI102" s="210"/>
      <c r="AJ102" s="179"/>
    </row>
    <row r="103" spans="1:45" s="88" customFormat="1" ht="7.5" customHeight="1" x14ac:dyDescent="0.2">
      <c r="A103" s="135"/>
      <c r="B103" s="18"/>
      <c r="C103" s="18"/>
      <c r="D103" s="17"/>
      <c r="E103" s="17"/>
      <c r="F103" s="17"/>
      <c r="G103" s="17"/>
      <c r="H103" s="17"/>
      <c r="I103" s="17"/>
      <c r="J103" s="13"/>
      <c r="K103" s="19"/>
      <c r="L103" s="19"/>
      <c r="M103" s="19"/>
      <c r="N103" s="19"/>
      <c r="O103" s="19"/>
      <c r="P103" s="19"/>
      <c r="Q103" s="19"/>
      <c r="R103" s="19"/>
      <c r="S103" s="19"/>
      <c r="T103" s="20"/>
      <c r="U103" s="134"/>
      <c r="V103" s="152"/>
      <c r="W103" s="168"/>
      <c r="Y103" s="217"/>
      <c r="AI103" s="210"/>
      <c r="AJ103" s="175"/>
      <c r="AK103" s="80"/>
      <c r="AL103" s="80"/>
      <c r="AM103" s="80"/>
      <c r="AN103" s="80"/>
      <c r="AO103" s="80"/>
      <c r="AP103" s="80"/>
      <c r="AQ103" s="80"/>
    </row>
    <row r="104" spans="1:45" s="88" customFormat="1" ht="15" customHeight="1" x14ac:dyDescent="0.2">
      <c r="A104" s="1010"/>
      <c r="B104" s="1018"/>
      <c r="C104" s="1018"/>
      <c r="D104" s="1018"/>
      <c r="E104" s="1018"/>
      <c r="F104" s="1018"/>
      <c r="G104" s="1018"/>
      <c r="H104" s="1018"/>
      <c r="I104" s="1018"/>
      <c r="J104" s="1018"/>
      <c r="K104" s="1018"/>
      <c r="L104" s="1018"/>
      <c r="M104" s="1018"/>
      <c r="N104" s="1018"/>
      <c r="O104" s="1018"/>
      <c r="P104" s="1018"/>
      <c r="Q104" s="1018"/>
      <c r="R104" s="1018"/>
      <c r="S104" s="1018"/>
      <c r="T104" s="1018"/>
      <c r="U104" s="1019"/>
      <c r="V104" s="152"/>
      <c r="W104" s="168"/>
      <c r="X104" s="215"/>
      <c r="Y104" s="215"/>
      <c r="AJ104" s="179"/>
      <c r="AS104" s="80"/>
    </row>
    <row r="105" spans="1:45" s="88" customFormat="1" ht="11.25" customHeight="1" x14ac:dyDescent="0.2">
      <c r="A105" s="1020" t="str">
        <f>Home!$A$35</f>
        <v>LA's provide quarterly data on the condition that it is used by the benchmarking group for internal reporting only. Please DO NOT share other LA's data with any external partners or the public</v>
      </c>
      <c r="B105" s="1021"/>
      <c r="C105" s="1021"/>
      <c r="D105" s="1021"/>
      <c r="E105" s="1021"/>
      <c r="F105" s="1021"/>
      <c r="G105" s="1021"/>
      <c r="H105" s="1021"/>
      <c r="I105" s="1022"/>
      <c r="J105" s="1021"/>
      <c r="K105" s="1021"/>
      <c r="L105" s="1021"/>
      <c r="M105" s="1021"/>
      <c r="N105" s="1021"/>
      <c r="O105" s="1021"/>
      <c r="P105" s="1021"/>
      <c r="Q105" s="1021"/>
      <c r="R105" s="1021"/>
      <c r="S105" s="1022"/>
      <c r="T105" s="1021"/>
      <c r="U105" s="1023"/>
      <c r="V105" s="152"/>
      <c r="W105" s="168"/>
      <c r="X105" s="215"/>
      <c r="Y105" s="215"/>
      <c r="AI105" s="210"/>
      <c r="AJ105" s="178"/>
      <c r="AK105" s="101"/>
      <c r="AS105" s="80"/>
    </row>
    <row r="106" spans="1:45" ht="11.25" customHeight="1" x14ac:dyDescent="0.2">
      <c r="A106" s="129"/>
      <c r="B106" s="130"/>
      <c r="C106" s="130"/>
      <c r="D106" s="130"/>
      <c r="E106" s="130"/>
      <c r="F106" s="130"/>
      <c r="G106" s="130"/>
      <c r="H106" s="130"/>
      <c r="I106" s="130"/>
      <c r="J106" s="131"/>
      <c r="K106" s="130"/>
      <c r="L106" s="130"/>
      <c r="M106" s="130"/>
      <c r="N106" s="130"/>
      <c r="O106" s="130"/>
      <c r="P106" s="130"/>
      <c r="Q106" s="130"/>
      <c r="R106" s="130"/>
      <c r="S106" s="130"/>
      <c r="T106" s="130"/>
      <c r="U106" s="132"/>
      <c r="V106" s="152"/>
      <c r="W106" s="168"/>
      <c r="X106" s="215"/>
      <c r="Y106" s="215"/>
      <c r="AI106" s="210"/>
      <c r="AJ106" s="175"/>
    </row>
    <row r="107" spans="1:45" s="82" customFormat="1" ht="15" customHeight="1" x14ac:dyDescent="0.2">
      <c r="A107" s="136"/>
      <c r="B107" s="60" t="s">
        <v>110</v>
      </c>
      <c r="C107" s="351"/>
      <c r="D107" s="351"/>
      <c r="E107" s="351"/>
      <c r="F107" s="351"/>
      <c r="G107" s="351"/>
      <c r="H107" s="351"/>
      <c r="I107" s="351"/>
      <c r="J107" s="70"/>
      <c r="K107" s="70"/>
      <c r="L107" s="70"/>
      <c r="M107" s="70"/>
      <c r="N107" s="346"/>
      <c r="O107" s="70"/>
      <c r="P107" s="70"/>
      <c r="Q107" s="70"/>
      <c r="R107" s="70"/>
      <c r="S107" s="70"/>
      <c r="T107" s="70"/>
      <c r="U107" s="137"/>
      <c r="V107" s="153"/>
      <c r="W107" s="169"/>
      <c r="X107" s="215"/>
      <c r="Y107" s="215"/>
      <c r="Z107" s="88"/>
      <c r="AA107" s="88"/>
      <c r="AB107" s="88"/>
      <c r="AC107" s="88"/>
      <c r="AD107" s="88"/>
      <c r="AE107" s="215"/>
      <c r="AF107" s="215"/>
      <c r="AG107" s="215"/>
      <c r="AH107" s="215"/>
      <c r="AI107" s="215"/>
      <c r="AJ107" s="176"/>
    </row>
    <row r="108" spans="1:45" ht="15" customHeight="1" x14ac:dyDescent="0.2">
      <c r="A108" s="135"/>
      <c r="B108" s="351"/>
      <c r="C108" s="351"/>
      <c r="D108" s="351"/>
      <c r="E108" s="351"/>
      <c r="F108" s="351"/>
      <c r="G108" s="351"/>
      <c r="H108" s="351"/>
      <c r="I108" s="351"/>
      <c r="J108" s="70"/>
      <c r="K108" s="70"/>
      <c r="L108" s="70"/>
      <c r="M108" s="70"/>
      <c r="N108" s="346"/>
      <c r="O108" s="70"/>
      <c r="P108" s="70"/>
      <c r="Q108" s="10"/>
      <c r="R108" s="70"/>
      <c r="S108" s="70"/>
      <c r="T108" s="70"/>
      <c r="U108" s="134"/>
      <c r="V108" s="152"/>
      <c r="W108" s="168"/>
      <c r="X108" s="215"/>
      <c r="Y108" s="215"/>
      <c r="AI108" s="210"/>
      <c r="AJ108" s="175"/>
    </row>
    <row r="109" spans="1:45" s="101" customFormat="1" ht="27" customHeight="1" x14ac:dyDescent="0.2">
      <c r="A109" s="138"/>
      <c r="B109" s="540" t="s">
        <v>215</v>
      </c>
      <c r="C109" s="97"/>
      <c r="D109" s="393">
        <f>D8</f>
        <v>2014</v>
      </c>
      <c r="E109" s="393">
        <f t="shared" ref="E109:H109" si="19">E8</f>
        <v>2015</v>
      </c>
      <c r="F109" s="393">
        <f t="shared" si="19"/>
        <v>2016</v>
      </c>
      <c r="G109" s="393">
        <f t="shared" si="19"/>
        <v>2017</v>
      </c>
      <c r="H109" s="394">
        <f t="shared" si="19"/>
        <v>2018</v>
      </c>
      <c r="I109" s="115"/>
      <c r="J109" s="115"/>
      <c r="K109" s="62"/>
      <c r="L109" s="62"/>
      <c r="M109" s="62"/>
      <c r="N109" s="62"/>
      <c r="O109" s="62"/>
      <c r="P109" s="356"/>
      <c r="Q109" s="356"/>
      <c r="R109" s="177"/>
      <c r="S109" s="177"/>
      <c r="T109" s="355"/>
      <c r="U109" s="139"/>
      <c r="V109" s="154"/>
      <c r="W109" s="170"/>
      <c r="X109" s="215"/>
      <c r="Y109" s="215"/>
      <c r="Z109" s="88"/>
      <c r="AA109" s="88"/>
      <c r="AB109" s="88"/>
      <c r="AC109" s="88"/>
      <c r="AD109" s="88"/>
      <c r="AE109" s="217"/>
      <c r="AF109" s="217"/>
      <c r="AG109" s="217"/>
      <c r="AH109" s="217"/>
      <c r="AI109" s="232"/>
      <c r="AJ109" s="178"/>
    </row>
    <row r="110" spans="1:45" s="101" customFormat="1" ht="12.75" customHeight="1" x14ac:dyDescent="0.2">
      <c r="A110" s="533">
        <f>VLOOKUP(B110,Sheet1!$B$4:$C$25,2,FALSE)</f>
        <v>0</v>
      </c>
      <c r="B110" s="112" t="str">
        <f t="shared" ref="B110:B133" si="20">B9</f>
        <v>Bracknell Forest</v>
      </c>
      <c r="C110" s="97"/>
      <c r="D110" s="182">
        <f>IF(OR(ISBLANK(D9),ISBLANK(Referrals!D9)),NA(),'Re-referrals'!D9/Referrals!D9)</f>
        <v>0.21126760563380281</v>
      </c>
      <c r="E110" s="182">
        <f>IF(OR(ISBLANK(E9),ISBLANK(Referrals!E9)),NA(),'Re-referrals'!E9/Referrals!E9)</f>
        <v>0.20471698113207551</v>
      </c>
      <c r="F110" s="182">
        <f>IF(OR(ISBLANK(F9),ISBLANK(Referrals!F9)),NA(),'Re-referrals'!F9/Referrals!F9)</f>
        <v>0.172281776416539</v>
      </c>
      <c r="G110" s="182">
        <f>IF(OR(ISBLANK(G9),ISBLANK(Referrals!G9)),NA(),'Re-referrals'!G9/Referrals!G9)</f>
        <v>0.23540145985401459</v>
      </c>
      <c r="H110" s="184">
        <f>IF(OR(ISBLANK(H9),ISBLANK(Referrals!H9)),NA(),'Re-referrals'!H9/Referrals!H9)</f>
        <v>0.23529411764705882</v>
      </c>
      <c r="I110" s="115"/>
      <c r="J110" s="115"/>
      <c r="K110" s="186"/>
      <c r="L110" s="186"/>
      <c r="M110" s="186"/>
      <c r="N110" s="186"/>
      <c r="O110" s="186"/>
      <c r="P110" s="186"/>
      <c r="Q110" s="187"/>
      <c r="R110" s="177"/>
      <c r="S110" s="177"/>
      <c r="T110" s="186"/>
      <c r="U110" s="139"/>
      <c r="V110" s="154"/>
      <c r="W110" s="170"/>
      <c r="X110" s="215"/>
      <c r="Y110" s="215"/>
      <c r="Z110" s="88"/>
      <c r="AA110" s="88"/>
      <c r="AB110" s="88"/>
      <c r="AC110" s="88"/>
      <c r="AD110" s="88"/>
      <c r="AE110" s="217"/>
      <c r="AF110" s="217"/>
      <c r="AG110" s="217"/>
      <c r="AH110" s="217"/>
      <c r="AI110" s="232"/>
      <c r="AJ110" s="178"/>
    </row>
    <row r="111" spans="1:45" s="101" customFormat="1" ht="12.75" customHeight="1" x14ac:dyDescent="0.2">
      <c r="A111" s="533">
        <f>VLOOKUP(B111,Sheet1!$B$4:$C$25,2,FALSE)</f>
        <v>0</v>
      </c>
      <c r="B111" s="112" t="str">
        <f t="shared" si="20"/>
        <v>Brighton &amp; Hove</v>
      </c>
      <c r="C111" s="97"/>
      <c r="D111" s="182">
        <f>IF(OR(ISBLANK(D10),ISBLANK(Referrals!D10)),NA(),'Re-referrals'!D10/Referrals!D10)</f>
        <v>0.32986767485822305</v>
      </c>
      <c r="E111" s="182">
        <f>IF(OR(ISBLANK(E10),ISBLANK(Referrals!E10)),NA(),'Re-referrals'!E10/Referrals!E10)</f>
        <v>0.36252908170247694</v>
      </c>
      <c r="F111" s="182">
        <f>IF(OR(ISBLANK(F10),ISBLANK(Referrals!F10)),NA(),'Re-referrals'!F10/Referrals!F10)</f>
        <v>0.32136602451838897</v>
      </c>
      <c r="G111" s="182">
        <f>IF(OR(ISBLANK(G10),ISBLANK(Referrals!G10)),NA(),'Re-referrals'!G10/Referrals!G10)</f>
        <v>0.24698972099853156</v>
      </c>
      <c r="H111" s="184">
        <f>IF(OR(ISBLANK(H10),ISBLANK(Referrals!H10)),NA(),'Re-referrals'!H10/Referrals!H10)</f>
        <v>0.28319377990430622</v>
      </c>
      <c r="I111" s="115"/>
      <c r="J111" s="115"/>
      <c r="K111" s="186"/>
      <c r="L111" s="186"/>
      <c r="M111" s="186"/>
      <c r="N111" s="186"/>
      <c r="O111" s="186"/>
      <c r="P111" s="186"/>
      <c r="Q111" s="187"/>
      <c r="R111" s="177"/>
      <c r="S111" s="177"/>
      <c r="T111" s="186"/>
      <c r="U111" s="139"/>
      <c r="V111" s="154"/>
      <c r="W111" s="170"/>
      <c r="X111" s="215"/>
      <c r="Y111" s="215"/>
      <c r="Z111" s="88"/>
      <c r="AA111" s="88"/>
      <c r="AB111" s="88"/>
      <c r="AC111" s="88"/>
      <c r="AD111" s="88"/>
      <c r="AE111" s="217"/>
      <c r="AF111" s="217"/>
      <c r="AG111" s="217"/>
      <c r="AH111" s="217"/>
      <c r="AI111" s="232"/>
      <c r="AJ111" s="178"/>
    </row>
    <row r="112" spans="1:45" s="101" customFormat="1" ht="12.75" customHeight="1" x14ac:dyDescent="0.2">
      <c r="A112" s="533">
        <f>VLOOKUP(B112,Sheet1!$B$4:$C$25,2,FALSE)</f>
        <v>0</v>
      </c>
      <c r="B112" s="112" t="str">
        <f t="shared" si="20"/>
        <v>Buckinghamshire</v>
      </c>
      <c r="C112" s="97"/>
      <c r="D112" s="182">
        <f>IF(OR(ISBLANK(D11),ISBLANK(Referrals!D11)),NA(),'Re-referrals'!D11/Referrals!D11)</f>
        <v>0.34631679650129837</v>
      </c>
      <c r="E112" s="182">
        <f>IF(OR(ISBLANK(E11),ISBLANK(Referrals!E11)),NA(),'Re-referrals'!E11/Referrals!E11)</f>
        <v>0.27256775199844008</v>
      </c>
      <c r="F112" s="182">
        <f>IF(OR(ISBLANK(F11),ISBLANK(Referrals!F11)),NA(),'Re-referrals'!F11/Referrals!F11)</f>
        <v>0.26458752515090506</v>
      </c>
      <c r="G112" s="182">
        <f>IF(OR(ISBLANK(G11),ISBLANK(Referrals!G11)),NA(),'Re-referrals'!G11/Referrals!G11)</f>
        <v>0.32909604519774011</v>
      </c>
      <c r="H112" s="184">
        <f>IF(OR(ISBLANK(H11),ISBLANK(Referrals!H11)),NA(),'Re-referrals'!H11/Referrals!H11)</f>
        <v>0.31121215052723228</v>
      </c>
      <c r="I112" s="115"/>
      <c r="J112" s="115"/>
      <c r="K112" s="186"/>
      <c r="L112" s="186"/>
      <c r="M112" s="186"/>
      <c r="N112" s="186"/>
      <c r="O112" s="186"/>
      <c r="P112" s="186"/>
      <c r="Q112" s="187"/>
      <c r="R112" s="177"/>
      <c r="S112" s="177"/>
      <c r="T112" s="186"/>
      <c r="U112" s="139"/>
      <c r="V112" s="154"/>
      <c r="W112" s="170"/>
      <c r="X112" s="215"/>
      <c r="Y112" s="215"/>
      <c r="Z112" s="88"/>
      <c r="AA112" s="88"/>
      <c r="AB112" s="88"/>
      <c r="AC112" s="88"/>
      <c r="AD112" s="88"/>
      <c r="AE112" s="217"/>
      <c r="AF112" s="217"/>
      <c r="AG112" s="217"/>
      <c r="AH112" s="217"/>
      <c r="AI112" s="232"/>
      <c r="AJ112" s="178"/>
    </row>
    <row r="113" spans="1:44" s="101" customFormat="1" ht="12.75" customHeight="1" x14ac:dyDescent="0.2">
      <c r="A113" s="533">
        <f>VLOOKUP(B113,Sheet1!$B$4:$C$25,2,FALSE)</f>
        <v>0</v>
      </c>
      <c r="B113" s="112" t="str">
        <f t="shared" si="20"/>
        <v>East Sussex</v>
      </c>
      <c r="C113" s="97"/>
      <c r="D113" s="182">
        <f>IF(OR(ISBLANK(D12),ISBLANK(Referrals!D12)),NA(),'Re-referrals'!D12/Referrals!D12)</f>
        <v>0.30686406460296095</v>
      </c>
      <c r="E113" s="182">
        <f>IF(OR(ISBLANK(E12),ISBLANK(Referrals!E12)),NA(),'Re-referrals'!E12/Referrals!E12)</f>
        <v>0.23558897243107765</v>
      </c>
      <c r="F113" s="182">
        <f>IF(OR(ISBLANK(F12),ISBLANK(Referrals!F12)),NA(),'Re-referrals'!F12/Referrals!F12)</f>
        <v>0.14540337711069423</v>
      </c>
      <c r="G113" s="182">
        <f>IF(OR(ISBLANK(G12),ISBLANK(Referrals!G12)),NA(),'Re-referrals'!G12/Referrals!G12)</f>
        <v>0.14880304678998912</v>
      </c>
      <c r="H113" s="184">
        <f>IF(OR(ISBLANK(H12),ISBLANK(Referrals!H12)),NA(),'Re-referrals'!H12/Referrals!H12)</f>
        <v>0.17678039844286697</v>
      </c>
      <c r="I113" s="115"/>
      <c r="J113" s="115"/>
      <c r="K113" s="186"/>
      <c r="L113" s="186"/>
      <c r="M113" s="186"/>
      <c r="N113" s="186"/>
      <c r="O113" s="186"/>
      <c r="P113" s="186"/>
      <c r="Q113" s="187"/>
      <c r="R113" s="177"/>
      <c r="S113" s="177"/>
      <c r="T113" s="186"/>
      <c r="U113" s="139"/>
      <c r="V113" s="154"/>
      <c r="W113" s="170"/>
      <c r="X113" s="215"/>
      <c r="Y113" s="215"/>
      <c r="Z113" s="88"/>
      <c r="AA113" s="88"/>
      <c r="AB113" s="88"/>
      <c r="AC113" s="88"/>
      <c r="AD113" s="88"/>
      <c r="AE113" s="217"/>
      <c r="AF113" s="217"/>
      <c r="AG113" s="217"/>
      <c r="AH113" s="217"/>
      <c r="AI113" s="232"/>
      <c r="AJ113" s="178"/>
    </row>
    <row r="114" spans="1:44" s="101" customFormat="1" ht="12.75" customHeight="1" x14ac:dyDescent="0.2">
      <c r="A114" s="533">
        <f>VLOOKUP(B114,Sheet1!$B$4:$C$25,2,FALSE)</f>
        <v>0</v>
      </c>
      <c r="B114" s="112" t="str">
        <f t="shared" si="20"/>
        <v>Hampshire</v>
      </c>
      <c r="C114" s="97"/>
      <c r="D114" s="182">
        <f>IF(OR(ISBLANK(D13),ISBLANK(Referrals!D13)),NA(),'Re-referrals'!D13/Referrals!D13)</f>
        <v>0.27862077473476438</v>
      </c>
      <c r="E114" s="182">
        <f>IF(OR(ISBLANK(E13),ISBLANK(Referrals!E13)),NA(),'Re-referrals'!E13/Referrals!E13)</f>
        <v>0.31792942862260426</v>
      </c>
      <c r="F114" s="182">
        <f>IF(OR(ISBLANK(F13),ISBLANK(Referrals!F13)),NA(),'Re-referrals'!F13/Referrals!F13)</f>
        <v>0.28171126845073802</v>
      </c>
      <c r="G114" s="182">
        <f>IF(OR(ISBLANK(G13),ISBLANK(Referrals!G13)),NA(),'Re-referrals'!G13/Referrals!G13)</f>
        <v>0.30697195780807823</v>
      </c>
      <c r="H114" s="184">
        <f>IF(OR(ISBLANK(H13),ISBLANK(Referrals!H13)),NA(),'Re-referrals'!H13/Referrals!H13)</f>
        <v>0.29612162581445856</v>
      </c>
      <c r="I114" s="115"/>
      <c r="J114" s="115"/>
      <c r="K114" s="186"/>
      <c r="L114" s="186"/>
      <c r="M114" s="186"/>
      <c r="N114" s="186"/>
      <c r="O114" s="186"/>
      <c r="P114" s="186"/>
      <c r="Q114" s="187"/>
      <c r="R114" s="177"/>
      <c r="S114" s="177"/>
      <c r="T114" s="186"/>
      <c r="U114" s="139"/>
      <c r="V114" s="154"/>
      <c r="W114" s="170"/>
      <c r="X114" s="215"/>
      <c r="Y114" s="215"/>
      <c r="Z114" s="88"/>
      <c r="AA114" s="88"/>
      <c r="AB114" s="88"/>
      <c r="AC114" s="88"/>
      <c r="AD114" s="88"/>
      <c r="AE114" s="217"/>
      <c r="AF114" s="217"/>
      <c r="AG114" s="217"/>
      <c r="AH114" s="217"/>
      <c r="AI114" s="232"/>
      <c r="AJ114" s="178"/>
    </row>
    <row r="115" spans="1:44" s="101" customFormat="1" ht="12.75" customHeight="1" x14ac:dyDescent="0.2">
      <c r="A115" s="533">
        <f>VLOOKUP(B115,Sheet1!$B$4:$C$25,2,FALSE)</f>
        <v>0</v>
      </c>
      <c r="B115" s="112" t="str">
        <f t="shared" si="20"/>
        <v>Isle of Wight</v>
      </c>
      <c r="C115" s="97"/>
      <c r="D115" s="182">
        <f>IF(OR(ISBLANK(D14),ISBLANK(Referrals!D14)),NA(),'Re-referrals'!D14/Referrals!D14)</f>
        <v>0.30529172320217096</v>
      </c>
      <c r="E115" s="182">
        <f>IF(OR(ISBLANK(E14),ISBLANK(Referrals!E14)),NA(),'Re-referrals'!E14/Referrals!E14)</f>
        <v>0.34568421052631571</v>
      </c>
      <c r="F115" s="182">
        <f>IF(OR(ISBLANK(F14),ISBLANK(Referrals!F14)),NA(),'Re-referrals'!F14/Referrals!F14)</f>
        <v>0.3290079531184596</v>
      </c>
      <c r="G115" s="182">
        <f>IF(OR(ISBLANK(G14),ISBLANK(Referrals!G14)),NA(),'Re-referrals'!G14/Referrals!G14)</f>
        <v>0.30309988518943742</v>
      </c>
      <c r="H115" s="184">
        <f>IF(OR(ISBLANK(H14),ISBLANK(Referrals!H14)),NA(),'Re-referrals'!H14/Referrals!H14)</f>
        <v>0.30696202531645572</v>
      </c>
      <c r="I115" s="115"/>
      <c r="J115" s="115"/>
      <c r="K115" s="186"/>
      <c r="L115" s="186"/>
      <c r="M115" s="186"/>
      <c r="N115" s="186"/>
      <c r="O115" s="186"/>
      <c r="P115" s="186"/>
      <c r="Q115" s="187"/>
      <c r="R115" s="177"/>
      <c r="S115" s="177"/>
      <c r="T115" s="186"/>
      <c r="U115" s="139"/>
      <c r="V115" s="154"/>
      <c r="W115" s="170"/>
      <c r="X115" s="215"/>
      <c r="Y115" s="215"/>
      <c r="Z115" s="88"/>
      <c r="AA115" s="88"/>
      <c r="AB115" s="88"/>
      <c r="AC115" s="88"/>
      <c r="AD115" s="88"/>
      <c r="AE115" s="217"/>
      <c r="AF115" s="217"/>
      <c r="AG115" s="217"/>
      <c r="AH115" s="217"/>
      <c r="AI115" s="232"/>
      <c r="AJ115" s="178"/>
      <c r="AR115" s="101" t="s">
        <v>104</v>
      </c>
    </row>
    <row r="116" spans="1:44" s="101" customFormat="1" ht="12.75" customHeight="1" x14ac:dyDescent="0.2">
      <c r="A116" s="533">
        <f>VLOOKUP(B116,Sheet1!$B$4:$C$25,2,FALSE)</f>
        <v>0</v>
      </c>
      <c r="B116" s="112" t="str">
        <f t="shared" si="20"/>
        <v>Kent</v>
      </c>
      <c r="C116" s="97"/>
      <c r="D116" s="182">
        <f>IF(OR(ISBLANK(D15),ISBLANK(Referrals!D15)),NA(),'Re-referrals'!D15/Referrals!D15)</f>
        <v>0.26466290962220829</v>
      </c>
      <c r="E116" s="182">
        <f>IF(OR(ISBLANK(E15),ISBLANK(Referrals!E15)),NA(),'Re-referrals'!E15/Referrals!E15)</f>
        <v>0.28332022505898724</v>
      </c>
      <c r="F116" s="182">
        <f>IF(OR(ISBLANK(F15),ISBLANK(Referrals!F15)),NA(),'Re-referrals'!F15/Referrals!F15)</f>
        <v>0.20838221874592638</v>
      </c>
      <c r="G116" s="182">
        <f>IF(OR(ISBLANK(G15),ISBLANK(Referrals!G15)),NA(),'Re-referrals'!G15/Referrals!G15)</f>
        <v>0.23005378044922492</v>
      </c>
      <c r="H116" s="184">
        <f>IF(OR(ISBLANK(H15),ISBLANK(Referrals!H15)),NA(),'Re-referrals'!H15/Referrals!H15)</f>
        <v>0.23083673153357767</v>
      </c>
      <c r="I116" s="115"/>
      <c r="J116" s="115"/>
      <c r="K116" s="186"/>
      <c r="L116" s="186"/>
      <c r="M116" s="186"/>
      <c r="N116" s="186"/>
      <c r="O116" s="186"/>
      <c r="P116" s="186"/>
      <c r="Q116" s="187"/>
      <c r="R116" s="177"/>
      <c r="S116" s="177"/>
      <c r="T116" s="186"/>
      <c r="U116" s="139"/>
      <c r="V116" s="154"/>
      <c r="W116" s="170"/>
      <c r="X116" s="215"/>
      <c r="Y116" s="215"/>
      <c r="Z116" s="88"/>
      <c r="AA116" s="88"/>
      <c r="AB116" s="88"/>
      <c r="AC116" s="88"/>
      <c r="AD116" s="88"/>
      <c r="AE116" s="217"/>
      <c r="AF116" s="217"/>
      <c r="AG116" s="217"/>
      <c r="AH116" s="217"/>
      <c r="AI116" s="232"/>
      <c r="AJ116" s="178"/>
    </row>
    <row r="117" spans="1:44" s="101" customFormat="1" ht="12.75" customHeight="1" x14ac:dyDescent="0.2">
      <c r="A117" s="533">
        <f>VLOOKUP(B117,Sheet1!$B$4:$C$25,2,FALSE)</f>
        <v>0</v>
      </c>
      <c r="B117" s="112" t="str">
        <f t="shared" si="20"/>
        <v>Medway</v>
      </c>
      <c r="C117" s="97"/>
      <c r="D117" s="182">
        <f>IF(OR(ISBLANK(D16),ISBLANK(Referrals!D16)),NA(),'Re-referrals'!D16/Referrals!D16)</f>
        <v>0.29983564216952335</v>
      </c>
      <c r="E117" s="182">
        <f>IF(OR(ISBLANK(E16),ISBLANK(Referrals!E16)),NA(),'Re-referrals'!E16/Referrals!E16)</f>
        <v>0.19967532467532456</v>
      </c>
      <c r="F117" s="182">
        <f>IF(OR(ISBLANK(F16),ISBLANK(Referrals!F16)),NA(),'Re-referrals'!F16/Referrals!F16)</f>
        <v>0.16508313539192399</v>
      </c>
      <c r="G117" s="182">
        <f>IF(OR(ISBLANK(G16),ISBLANK(Referrals!G16)),NA(),'Re-referrals'!G16/Referrals!G16)</f>
        <v>0.17606149341142022</v>
      </c>
      <c r="H117" s="184">
        <f>IF(OR(ISBLANK(H16),ISBLANK(Referrals!H16)),NA(),'Re-referrals'!H16/Referrals!H16)</f>
        <v>0.16998468606431852</v>
      </c>
      <c r="I117" s="115"/>
      <c r="J117" s="115"/>
      <c r="K117" s="186"/>
      <c r="L117" s="186"/>
      <c r="M117" s="186"/>
      <c r="N117" s="186"/>
      <c r="O117" s="186"/>
      <c r="P117" s="186"/>
      <c r="Q117" s="187"/>
      <c r="R117" s="177"/>
      <c r="S117" s="177"/>
      <c r="T117" s="186"/>
      <c r="U117" s="139"/>
      <c r="V117" s="154"/>
      <c r="W117" s="170"/>
      <c r="X117" s="215"/>
      <c r="Y117" s="215"/>
      <c r="Z117" s="88"/>
      <c r="AA117" s="88"/>
      <c r="AB117" s="88"/>
      <c r="AC117" s="88"/>
      <c r="AD117" s="88"/>
      <c r="AE117" s="217"/>
      <c r="AF117" s="217"/>
      <c r="AG117" s="217"/>
      <c r="AH117" s="217"/>
      <c r="AI117" s="232"/>
      <c r="AJ117" s="178"/>
    </row>
    <row r="118" spans="1:44" s="101" customFormat="1" ht="12.75" customHeight="1" x14ac:dyDescent="0.2">
      <c r="A118" s="533">
        <f>VLOOKUP(B118,Sheet1!$B$4:$C$25,2,FALSE)</f>
        <v>0</v>
      </c>
      <c r="B118" s="112" t="str">
        <f t="shared" si="20"/>
        <v>Milton Keynes</v>
      </c>
      <c r="C118" s="97"/>
      <c r="D118" s="182">
        <f>IF(OR(ISBLANK(D17),ISBLANK(Referrals!D17)),NA(),'Re-referrals'!D17/Referrals!D17)</f>
        <v>0.26003824091778205</v>
      </c>
      <c r="E118" s="182">
        <f>IF(OR(ISBLANK(E17),ISBLANK(Referrals!E17)),NA(),'Re-referrals'!E17/Referrals!E17)</f>
        <v>0.23160762942779295</v>
      </c>
      <c r="F118" s="182">
        <f>IF(OR(ISBLANK(F17),ISBLANK(Referrals!F17)),NA(),'Re-referrals'!F17/Referrals!F17)</f>
        <v>0.20946189960274467</v>
      </c>
      <c r="G118" s="182">
        <f>IF(OR(ISBLANK(G17),ISBLANK(Referrals!G17)),NA(),'Re-referrals'!G17/Referrals!G17)</f>
        <v>0.19072332144015569</v>
      </c>
      <c r="H118" s="184">
        <f>IF(OR(ISBLANK(H17),ISBLANK(Referrals!H17)),NA(),'Re-referrals'!H17/Referrals!H17)</f>
        <v>0.2055955913522679</v>
      </c>
      <c r="I118" s="115"/>
      <c r="J118" s="115"/>
      <c r="K118" s="186"/>
      <c r="L118" s="186"/>
      <c r="M118" s="186"/>
      <c r="N118" s="186"/>
      <c r="O118" s="186"/>
      <c r="P118" s="186"/>
      <c r="Q118" s="187"/>
      <c r="R118" s="177"/>
      <c r="S118" s="177"/>
      <c r="T118" s="186"/>
      <c r="U118" s="139"/>
      <c r="V118" s="154"/>
      <c r="W118" s="170"/>
      <c r="X118" s="215"/>
      <c r="Y118" s="215"/>
      <c r="Z118" s="88"/>
      <c r="AA118" s="88"/>
      <c r="AB118" s="88"/>
      <c r="AC118" s="88"/>
      <c r="AD118" s="88"/>
      <c r="AE118" s="217"/>
      <c r="AF118" s="217"/>
      <c r="AG118" s="217"/>
      <c r="AH118" s="217"/>
      <c r="AI118" s="232"/>
      <c r="AJ118" s="178"/>
    </row>
    <row r="119" spans="1:44" s="101" customFormat="1" ht="12.75" customHeight="1" x14ac:dyDescent="0.2">
      <c r="A119" s="533">
        <f>VLOOKUP(B119,Sheet1!$B$4:$C$25,2,FALSE)</f>
        <v>0</v>
      </c>
      <c r="B119" s="112" t="str">
        <f t="shared" si="20"/>
        <v>Oxfordshire</v>
      </c>
      <c r="C119" s="97"/>
      <c r="D119" s="182">
        <f>IF(OR(ISBLANK(D18),ISBLANK(Referrals!D18)),NA(),'Re-referrals'!D18/Referrals!D18)</f>
        <v>0.22777307366638441</v>
      </c>
      <c r="E119" s="182">
        <f>IF(OR(ISBLANK(E18),ISBLANK(Referrals!E18)),NA(),'Re-referrals'!E18/Referrals!E18)</f>
        <v>0.24315733710047682</v>
      </c>
      <c r="F119" s="182">
        <f>IF(OR(ISBLANK(F18),ISBLANK(Referrals!F18)),NA(),'Re-referrals'!F18/Referrals!F18)</f>
        <v>0.25362962962962965</v>
      </c>
      <c r="G119" s="182">
        <f>IF(OR(ISBLANK(G18),ISBLANK(Referrals!G18)),NA(),'Re-referrals'!G18/Referrals!G18)</f>
        <v>0.19883951316161902</v>
      </c>
      <c r="H119" s="184">
        <f>IF(OR(ISBLANK(H18),ISBLANK(Referrals!H18)),NA(),'Re-referrals'!H18/Referrals!H18)</f>
        <v>0.18608746697974757</v>
      </c>
      <c r="I119" s="115"/>
      <c r="J119" s="115"/>
      <c r="K119" s="186"/>
      <c r="L119" s="186"/>
      <c r="M119" s="186"/>
      <c r="N119" s="186"/>
      <c r="O119" s="186"/>
      <c r="P119" s="186"/>
      <c r="Q119" s="187"/>
      <c r="R119" s="177"/>
      <c r="S119" s="177"/>
      <c r="T119" s="186"/>
      <c r="U119" s="139"/>
      <c r="V119" s="154"/>
      <c r="W119" s="170"/>
      <c r="X119" s="215"/>
      <c r="Y119" s="215"/>
      <c r="Z119" s="88"/>
      <c r="AA119" s="88"/>
      <c r="AB119" s="88"/>
      <c r="AC119" s="88"/>
      <c r="AD119" s="88"/>
      <c r="AE119" s="217"/>
      <c r="AF119" s="217"/>
      <c r="AG119" s="217"/>
      <c r="AH119" s="217"/>
      <c r="AI119" s="232"/>
      <c r="AJ119" s="178"/>
    </row>
    <row r="120" spans="1:44" s="101" customFormat="1" ht="12.75" customHeight="1" x14ac:dyDescent="0.2">
      <c r="A120" s="533">
        <f>VLOOKUP(B120,Sheet1!$B$4:$C$25,2,FALSE)</f>
        <v>0</v>
      </c>
      <c r="B120" s="112" t="str">
        <f t="shared" si="20"/>
        <v>Portsmouth</v>
      </c>
      <c r="C120" s="97"/>
      <c r="D120" s="182">
        <f>IF(OR(ISBLANK(D19),ISBLANK(Referrals!D19)),NA(),'Re-referrals'!D19/Referrals!D19)</f>
        <v>0.23984632272228321</v>
      </c>
      <c r="E120" s="182">
        <f>IF(OR(ISBLANK(E19),ISBLANK(Referrals!E19)),NA(),'Re-referrals'!E19/Referrals!E19)</f>
        <v>0.19781363872982802</v>
      </c>
      <c r="F120" s="182">
        <f>IF(OR(ISBLANK(F19),ISBLANK(Referrals!F19)),NA(),'Re-referrals'!F19/Referrals!F19)</f>
        <v>0.19445771619684657</v>
      </c>
      <c r="G120" s="182">
        <f>IF(OR(ISBLANK(G19),ISBLANK(Referrals!G19)),NA(),'Re-referrals'!G19/Referrals!G19)</f>
        <v>0.25934861278648974</v>
      </c>
      <c r="H120" s="184">
        <f>IF(OR(ISBLANK(H19),ISBLANK(Referrals!H19)),NA(),'Re-referrals'!H19/Referrals!H19)</f>
        <v>0.22741652021089631</v>
      </c>
      <c r="I120" s="115"/>
      <c r="J120" s="115"/>
      <c r="K120" s="186"/>
      <c r="L120" s="186"/>
      <c r="M120" s="186"/>
      <c r="N120" s="186"/>
      <c r="O120" s="186"/>
      <c r="P120" s="186"/>
      <c r="Q120" s="187"/>
      <c r="R120" s="177"/>
      <c r="S120" s="177"/>
      <c r="T120" s="186"/>
      <c r="U120" s="139"/>
      <c r="V120" s="154"/>
      <c r="W120" s="170"/>
      <c r="X120" s="215"/>
      <c r="Y120" s="215"/>
      <c r="Z120" s="88"/>
      <c r="AA120" s="88"/>
      <c r="AB120" s="88"/>
      <c r="AC120" s="88"/>
      <c r="AD120" s="88"/>
      <c r="AE120" s="217"/>
      <c r="AF120" s="217"/>
      <c r="AG120" s="217"/>
      <c r="AH120" s="217"/>
      <c r="AI120" s="232"/>
      <c r="AJ120" s="178"/>
    </row>
    <row r="121" spans="1:44" s="101" customFormat="1" ht="12.75" customHeight="1" x14ac:dyDescent="0.2">
      <c r="A121" s="533">
        <f>VLOOKUP(B121,Sheet1!$B$4:$C$25,2,FALSE)</f>
        <v>0</v>
      </c>
      <c r="B121" s="112" t="str">
        <f t="shared" si="20"/>
        <v>Reading</v>
      </c>
      <c r="C121" s="97"/>
      <c r="D121" s="182">
        <f>IF(OR(ISBLANK(D20),ISBLANK(Referrals!D20)),NA(),'Re-referrals'!D20/Referrals!D20)</f>
        <v>0.1812933025404157</v>
      </c>
      <c r="E121" s="182">
        <f>IF(OR(ISBLANK(E20),ISBLANK(Referrals!E20)),NA(),'Re-referrals'!E20/Referrals!E20)</f>
        <v>0.2109982068141063</v>
      </c>
      <c r="F121" s="182">
        <f>IF(OR(ISBLANK(F20),ISBLANK(Referrals!F20)),NA(),'Re-referrals'!F20/Referrals!F20)</f>
        <v>0.20987654320987653</v>
      </c>
      <c r="G121" s="182">
        <f>IF(OR(ISBLANK(G20),ISBLANK(Referrals!G20)),NA(),'Re-referrals'!G20/Referrals!G20)</f>
        <v>0.2846648301193756</v>
      </c>
      <c r="H121" s="184">
        <f>IF(OR(ISBLANK(H20),ISBLANK(Referrals!H20)),NA(),'Re-referrals'!H20/Referrals!H20)</f>
        <v>0.22374429223744291</v>
      </c>
      <c r="I121" s="115"/>
      <c r="J121" s="115"/>
      <c r="K121" s="186"/>
      <c r="L121" s="186"/>
      <c r="M121" s="186"/>
      <c r="N121" s="186"/>
      <c r="O121" s="186"/>
      <c r="P121" s="186"/>
      <c r="Q121" s="187"/>
      <c r="R121" s="177"/>
      <c r="S121" s="177"/>
      <c r="T121" s="186"/>
      <c r="U121" s="139"/>
      <c r="V121" s="154"/>
      <c r="W121" s="170"/>
      <c r="X121" s="215"/>
      <c r="Y121" s="215"/>
      <c r="Z121" s="88"/>
      <c r="AA121" s="88"/>
      <c r="AB121" s="88"/>
      <c r="AC121" s="88"/>
      <c r="AD121" s="88"/>
      <c r="AE121" s="217"/>
      <c r="AF121" s="217"/>
      <c r="AG121" s="217"/>
      <c r="AH121" s="217"/>
      <c r="AI121" s="232"/>
      <c r="AJ121" s="178"/>
    </row>
    <row r="122" spans="1:44" s="101" customFormat="1" ht="12.75" customHeight="1" x14ac:dyDescent="0.2">
      <c r="A122" s="533">
        <f>VLOOKUP(B122,Sheet1!$B$4:$C$25,2,FALSE)</f>
        <v>0</v>
      </c>
      <c r="B122" s="112" t="str">
        <f t="shared" si="20"/>
        <v>Slough</v>
      </c>
      <c r="C122" s="97"/>
      <c r="D122" s="182">
        <f>IF(OR(ISBLANK(D21),ISBLANK(Referrals!D21)),NA(),'Re-referrals'!D21/Referrals!D21)</f>
        <v>0.18907060231352213</v>
      </c>
      <c r="E122" s="182">
        <f>IF(OR(ISBLANK(E21),ISBLANK(Referrals!E21)),NA(),'Re-referrals'!E21/Referrals!E21)</f>
        <v>0.21034180543383005</v>
      </c>
      <c r="F122" s="182">
        <f>IF(OR(ISBLANK(F21),ISBLANK(Referrals!F21)),NA(),'Re-referrals'!F21/Referrals!F21)</f>
        <v>0.18817591925018029</v>
      </c>
      <c r="G122" s="182">
        <f>IF(OR(ISBLANK(G21),ISBLANK(Referrals!G21)),NA(),'Re-referrals'!G21/Referrals!G21)</f>
        <v>0.29043600562587907</v>
      </c>
      <c r="H122" s="184">
        <f>IF(OR(ISBLANK(H21),ISBLANK(Referrals!H21)),NA(),'Re-referrals'!H21/Referrals!H21)</f>
        <v>0.24512884978001256</v>
      </c>
      <c r="I122" s="115"/>
      <c r="J122" s="115"/>
      <c r="K122" s="186"/>
      <c r="L122" s="186"/>
      <c r="M122" s="186"/>
      <c r="N122" s="186"/>
      <c r="O122" s="186"/>
      <c r="P122" s="186"/>
      <c r="Q122" s="187"/>
      <c r="R122" s="177"/>
      <c r="S122" s="177"/>
      <c r="T122" s="186"/>
      <c r="U122" s="139"/>
      <c r="V122" s="154"/>
      <c r="W122" s="170"/>
      <c r="X122" s="215"/>
      <c r="Y122" s="215"/>
      <c r="Z122" s="88"/>
      <c r="AA122" s="88"/>
      <c r="AB122" s="88"/>
      <c r="AC122" s="88"/>
      <c r="AD122" s="88"/>
      <c r="AE122" s="217"/>
      <c r="AF122" s="217"/>
      <c r="AG122" s="217"/>
      <c r="AH122" s="217"/>
      <c r="AI122" s="232"/>
      <c r="AJ122" s="178"/>
    </row>
    <row r="123" spans="1:44" s="101" customFormat="1" ht="12.75" customHeight="1" x14ac:dyDescent="0.2">
      <c r="A123" s="533">
        <f>VLOOKUP(B123,Sheet1!$B$4:$C$25,2,FALSE)</f>
        <v>0</v>
      </c>
      <c r="B123" s="112" t="str">
        <f t="shared" si="20"/>
        <v>Somerset</v>
      </c>
      <c r="C123" s="97"/>
      <c r="D123" s="182">
        <f>IF(OR(ISBLANK(D22),ISBLANK(Referrals!D22)),NA(),'Re-referrals'!D22/Referrals!D22)</f>
        <v>0.28618152085036797</v>
      </c>
      <c r="E123" s="182">
        <f>IF(OR(ISBLANK(E22),ISBLANK(Referrals!E22)),NA(),'Re-referrals'!E22/Referrals!E22)</f>
        <v>0.26971919155786045</v>
      </c>
      <c r="F123" s="182">
        <f>IF(OR(ISBLANK(F22),ISBLANK(Referrals!F22)),NA(),'Re-referrals'!F22/Referrals!F22)</f>
        <v>0.23832567142511493</v>
      </c>
      <c r="G123" s="182">
        <f>IF(OR(ISBLANK(G22),ISBLANK(Referrals!G22)),NA(),'Re-referrals'!G22/Referrals!G22)</f>
        <v>0.19886958342055683</v>
      </c>
      <c r="H123" s="184">
        <f>IF(OR(ISBLANK(H22),ISBLANK(Referrals!H22)),NA(),'Re-referrals'!H22/Referrals!H22)</f>
        <v>0.21374636979670861</v>
      </c>
      <c r="I123" s="115"/>
      <c r="J123" s="115"/>
      <c r="K123" s="186"/>
      <c r="L123" s="186"/>
      <c r="M123" s="186"/>
      <c r="N123" s="186"/>
      <c r="O123" s="186"/>
      <c r="P123" s="186"/>
      <c r="Q123" s="187"/>
      <c r="R123" s="177"/>
      <c r="S123" s="177"/>
      <c r="T123" s="186"/>
      <c r="U123" s="139"/>
      <c r="V123" s="154"/>
      <c r="W123" s="170"/>
      <c r="X123" s="215"/>
      <c r="Y123" s="215"/>
      <c r="Z123" s="88"/>
      <c r="AA123" s="88"/>
      <c r="AB123" s="88"/>
      <c r="AC123" s="88"/>
      <c r="AD123" s="88"/>
      <c r="AE123" s="217"/>
      <c r="AF123" s="217"/>
      <c r="AG123" s="217"/>
      <c r="AH123" s="217"/>
      <c r="AI123" s="232"/>
      <c r="AJ123" s="178"/>
    </row>
    <row r="124" spans="1:44" s="101" customFormat="1" ht="12.75" customHeight="1" x14ac:dyDescent="0.2">
      <c r="A124" s="533">
        <f>VLOOKUP(B124,Sheet1!$B$4:$C$25,2,FALSE)</f>
        <v>0</v>
      </c>
      <c r="B124" s="112" t="str">
        <f t="shared" si="20"/>
        <v>Southampton</v>
      </c>
      <c r="C124" s="97"/>
      <c r="D124" s="182">
        <f>IF(OR(ISBLANK(D23),ISBLANK(Referrals!D23)),NA(),'Re-referrals'!D23/Referrals!D23)</f>
        <v>0.32094497263036587</v>
      </c>
      <c r="E124" s="182">
        <f>IF(OR(ISBLANK(E23),ISBLANK(Referrals!E23)),NA(),'Re-referrals'!E23/Referrals!E23)</f>
        <v>0.34555954424847823</v>
      </c>
      <c r="F124" s="182">
        <f>IF(OR(ISBLANK(F23),ISBLANK(Referrals!F23)),NA(),'Re-referrals'!F23/Referrals!F23)</f>
        <v>0.19193391642371235</v>
      </c>
      <c r="G124" s="182">
        <f>IF(OR(ISBLANK(G23),ISBLANK(Referrals!G23)),NA(),'Re-referrals'!G23/Referrals!G23)</f>
        <v>0.26609724047306177</v>
      </c>
      <c r="H124" s="184">
        <f>IF(OR(ISBLANK(H23),ISBLANK(Referrals!H23)),NA(),'Re-referrals'!H23/Referrals!H23)</f>
        <v>0.20283199387677001</v>
      </c>
      <c r="I124" s="115"/>
      <c r="J124" s="115"/>
      <c r="K124" s="186"/>
      <c r="L124" s="186"/>
      <c r="M124" s="186"/>
      <c r="N124" s="186"/>
      <c r="O124" s="186"/>
      <c r="P124" s="186"/>
      <c r="Q124" s="187"/>
      <c r="R124" s="177"/>
      <c r="S124" s="177"/>
      <c r="T124" s="186"/>
      <c r="U124" s="139"/>
      <c r="V124" s="154"/>
      <c r="W124" s="170"/>
      <c r="X124" s="215"/>
      <c r="Y124" s="215"/>
      <c r="Z124" s="88"/>
      <c r="AA124" s="88"/>
      <c r="AB124" s="88"/>
      <c r="AC124" s="88"/>
      <c r="AD124" s="88"/>
      <c r="AE124" s="217"/>
      <c r="AF124" s="217"/>
      <c r="AG124" s="217"/>
      <c r="AH124" s="217"/>
      <c r="AI124" s="232"/>
      <c r="AJ124" s="178"/>
    </row>
    <row r="125" spans="1:44" s="101" customFormat="1" ht="12.75" customHeight="1" x14ac:dyDescent="0.2">
      <c r="A125" s="533">
        <f>VLOOKUP(B125,Sheet1!$B$4:$C$25,2,FALSE)</f>
        <v>0</v>
      </c>
      <c r="B125" s="112" t="str">
        <f t="shared" si="20"/>
        <v>Surrey</v>
      </c>
      <c r="C125" s="97"/>
      <c r="D125" s="182">
        <f>IF(OR(ISBLANK(D24),ISBLANK(Referrals!D24)),NA(),'Re-referrals'!D24/Referrals!D24)</f>
        <v>0.32871942934782611</v>
      </c>
      <c r="E125" s="182">
        <f>IF(OR(ISBLANK(E24),ISBLANK(Referrals!E24)),NA(),'Re-referrals'!E24/Referrals!E24)</f>
        <v>0.25363262851989149</v>
      </c>
      <c r="F125" s="182">
        <f>IF(OR(ISBLANK(F24),ISBLANK(Referrals!F24)),NA(),'Re-referrals'!F24/Referrals!F24)</f>
        <v>0.24133242692046228</v>
      </c>
      <c r="G125" s="182">
        <f>IF(OR(ISBLANK(G24),ISBLANK(Referrals!G24)),NA(),'Re-referrals'!G24/Referrals!G24)</f>
        <v>0.24796643548248995</v>
      </c>
      <c r="H125" s="184">
        <f>IF(OR(ISBLANK(H24),ISBLANK(Referrals!H24)),NA(),'Re-referrals'!H24/Referrals!H24)</f>
        <v>0.27330104212534861</v>
      </c>
      <c r="I125" s="115"/>
      <c r="J125" s="115"/>
      <c r="K125" s="186"/>
      <c r="L125" s="186"/>
      <c r="M125" s="186"/>
      <c r="N125" s="186"/>
      <c r="O125" s="186"/>
      <c r="P125" s="186"/>
      <c r="Q125" s="187"/>
      <c r="R125" s="177"/>
      <c r="S125" s="177"/>
      <c r="T125" s="186"/>
      <c r="U125" s="139"/>
      <c r="V125" s="154"/>
      <c r="W125" s="170"/>
      <c r="X125" s="215"/>
      <c r="Y125" s="215"/>
      <c r="Z125" s="88"/>
      <c r="AA125" s="88"/>
      <c r="AB125" s="88"/>
      <c r="AC125" s="88"/>
      <c r="AD125" s="88"/>
      <c r="AE125" s="217"/>
      <c r="AF125" s="217"/>
      <c r="AG125" s="217"/>
      <c r="AH125" s="217"/>
      <c r="AI125" s="232"/>
      <c r="AJ125" s="178"/>
    </row>
    <row r="126" spans="1:44" s="101" customFormat="1" ht="12.75" customHeight="1" x14ac:dyDescent="0.2">
      <c r="A126" s="533">
        <f>VLOOKUP(B126,Sheet1!$B$4:$C$25,2,FALSE)</f>
        <v>0</v>
      </c>
      <c r="B126" s="112" t="str">
        <f t="shared" si="20"/>
        <v>Swindon</v>
      </c>
      <c r="C126" s="97"/>
      <c r="D126" s="182">
        <f>IF(OR(ISBLANK(D25),ISBLANK(Referrals!D25)),NA(),'Re-referrals'!D25/Referrals!D25)</f>
        <v>0.24046140195208518</v>
      </c>
      <c r="E126" s="182">
        <f>IF(OR(ISBLANK(E25),ISBLANK(Referrals!E25)),NA(),'Re-referrals'!E25/Referrals!E25)</f>
        <v>0.20037735849056609</v>
      </c>
      <c r="F126" s="182">
        <f>IF(OR(ISBLANK(F25),ISBLANK(Referrals!F25)),NA(),'Re-referrals'!F25/Referrals!F25)</f>
        <v>0.27870778267254037</v>
      </c>
      <c r="G126" s="182">
        <f>IF(OR(ISBLANK(G25),ISBLANK(Referrals!G25)),NA(),'Re-referrals'!G25/Referrals!G25)</f>
        <v>0.26613704071499505</v>
      </c>
      <c r="H126" s="184">
        <f>IF(OR(ISBLANK(H25),ISBLANK(Referrals!H25)),NA(),'Re-referrals'!H25/Referrals!H25)</f>
        <v>0.24179762889440309</v>
      </c>
      <c r="I126" s="115"/>
      <c r="J126" s="115"/>
      <c r="K126" s="186"/>
      <c r="L126" s="186"/>
      <c r="M126" s="186"/>
      <c r="N126" s="186"/>
      <c r="O126" s="186"/>
      <c r="P126" s="186"/>
      <c r="Q126" s="187"/>
      <c r="R126" s="177"/>
      <c r="S126" s="177"/>
      <c r="T126" s="186"/>
      <c r="U126" s="139"/>
      <c r="V126" s="154"/>
      <c r="W126" s="170"/>
      <c r="X126" s="215"/>
      <c r="Y126" s="215"/>
      <c r="Z126" s="88"/>
      <c r="AA126" s="88"/>
      <c r="AB126" s="88"/>
      <c r="AC126" s="88"/>
      <c r="AD126" s="88"/>
      <c r="AE126" s="217"/>
      <c r="AF126" s="217"/>
      <c r="AG126" s="217"/>
      <c r="AH126" s="217"/>
      <c r="AI126" s="232"/>
      <c r="AJ126" s="178"/>
    </row>
    <row r="127" spans="1:44" s="101" customFormat="1" ht="12.75" customHeight="1" x14ac:dyDescent="0.2">
      <c r="A127" s="533">
        <f>VLOOKUP(B127,Sheet1!$B$4:$C$25,2,FALSE)</f>
        <v>0</v>
      </c>
      <c r="B127" s="112" t="str">
        <f t="shared" si="20"/>
        <v>Torbay</v>
      </c>
      <c r="C127" s="97"/>
      <c r="D127" s="182">
        <f>IF(OR(ISBLANK(D26),ISBLANK(Referrals!D26)),NA(),'Re-referrals'!D26/Referrals!D26)</f>
        <v>0.2084717607973422</v>
      </c>
      <c r="E127" s="182">
        <f>IF(OR(ISBLANK(E26),ISBLANK(Referrals!E26)),NA(),'Re-referrals'!E26/Referrals!E26)</f>
        <v>0.24929709465791941</v>
      </c>
      <c r="F127" s="182">
        <f>IF(OR(ISBLANK(F26),ISBLANK(Referrals!F26)),NA(),'Re-referrals'!F26/Referrals!F26)</f>
        <v>0.28873239436619724</v>
      </c>
      <c r="G127" s="182">
        <f>IF(OR(ISBLANK(G26),ISBLANK(Referrals!G26)),NA(),'Re-referrals'!G26/Referrals!G26)</f>
        <v>0.27042079207920794</v>
      </c>
      <c r="H127" s="184">
        <f>IF(OR(ISBLANK(H26),ISBLANK(Referrals!H26)),NA(),'Re-referrals'!H26/Referrals!H26)</f>
        <v>0.24598337950138505</v>
      </c>
      <c r="I127" s="115"/>
      <c r="J127" s="115"/>
      <c r="K127" s="186"/>
      <c r="L127" s="186"/>
      <c r="M127" s="186"/>
      <c r="N127" s="186"/>
      <c r="O127" s="186"/>
      <c r="P127" s="186"/>
      <c r="Q127" s="187"/>
      <c r="R127" s="177"/>
      <c r="S127" s="177"/>
      <c r="T127" s="186"/>
      <c r="U127" s="139"/>
      <c r="V127" s="154"/>
      <c r="W127" s="170"/>
      <c r="X127" s="215"/>
      <c r="Y127" s="215"/>
      <c r="Z127" s="88"/>
      <c r="AA127" s="88"/>
      <c r="AB127" s="88"/>
      <c r="AC127" s="88"/>
      <c r="AD127" s="88"/>
      <c r="AE127" s="217"/>
      <c r="AF127" s="217"/>
      <c r="AG127" s="217"/>
      <c r="AH127" s="217"/>
      <c r="AI127" s="232"/>
      <c r="AJ127" s="178"/>
    </row>
    <row r="128" spans="1:44" s="101" customFormat="1" ht="12.75" customHeight="1" x14ac:dyDescent="0.2">
      <c r="A128" s="533">
        <f>VLOOKUP(B128,Sheet1!$B$4:$C$25,2,FALSE)</f>
        <v>0</v>
      </c>
      <c r="B128" s="112" t="str">
        <f t="shared" si="20"/>
        <v>West Berkshire</v>
      </c>
      <c r="C128" s="97"/>
      <c r="D128" s="182">
        <f>IF(OR(ISBLANK(D27),ISBLANK(Referrals!D27)),NA(),'Re-referrals'!D27/Referrals!D27)</f>
        <v>0.22204344328238135</v>
      </c>
      <c r="E128" s="182">
        <f>IF(OR(ISBLANK(E27),ISBLANK(Referrals!E27)),NA(),'Re-referrals'!E27/Referrals!E27)</f>
        <v>0.24066719618745036</v>
      </c>
      <c r="F128" s="182">
        <f>IF(OR(ISBLANK(F27),ISBLANK(Referrals!F27)),NA(),'Re-referrals'!F27/Referrals!F27)</f>
        <v>0.16043956043956045</v>
      </c>
      <c r="G128" s="182">
        <f>IF(OR(ISBLANK(G27),ISBLANK(Referrals!G27)),NA(),'Re-referrals'!G27/Referrals!G27)</f>
        <v>0.2360774818401937</v>
      </c>
      <c r="H128" s="184">
        <f>IF(OR(ISBLANK(H27),ISBLANK(Referrals!H27)),NA(),'Re-referrals'!H27/Referrals!H27)</f>
        <v>0.26917989417989419</v>
      </c>
      <c r="I128" s="115"/>
      <c r="J128" s="115"/>
      <c r="K128" s="186"/>
      <c r="L128" s="186"/>
      <c r="M128" s="186"/>
      <c r="N128" s="186"/>
      <c r="O128" s="186"/>
      <c r="P128" s="186"/>
      <c r="Q128" s="187"/>
      <c r="R128" s="177"/>
      <c r="S128" s="177"/>
      <c r="T128" s="186"/>
      <c r="U128" s="139"/>
      <c r="V128" s="154"/>
      <c r="W128" s="170"/>
      <c r="X128" s="215"/>
      <c r="Y128" s="215"/>
      <c r="Z128" s="88"/>
      <c r="AA128" s="88"/>
      <c r="AB128" s="88"/>
      <c r="AC128" s="88"/>
      <c r="AD128" s="88"/>
      <c r="AE128" s="232"/>
      <c r="AF128" s="217"/>
      <c r="AG128" s="217"/>
      <c r="AH128" s="217"/>
      <c r="AI128" s="232"/>
      <c r="AJ128" s="178"/>
    </row>
    <row r="129" spans="1:45" s="101" customFormat="1" ht="12.75" customHeight="1" x14ac:dyDescent="0.2">
      <c r="A129" s="533">
        <f>VLOOKUP(B129,Sheet1!$B$4:$C$25,2,FALSE)</f>
        <v>0</v>
      </c>
      <c r="B129" s="112" t="str">
        <f t="shared" si="20"/>
        <v>West Sussex</v>
      </c>
      <c r="C129" s="97"/>
      <c r="D129" s="182">
        <f>IF(OR(ISBLANK(D28),ISBLANK(Referrals!D28)),NA(),'Re-referrals'!D28/Referrals!D28)</f>
        <v>0.2425435276305829</v>
      </c>
      <c r="E129" s="182">
        <f>IF(OR(ISBLANK(E28),ISBLANK(Referrals!E28)),NA(),'Re-referrals'!E28/Referrals!E28)</f>
        <v>0.21729073297672405</v>
      </c>
      <c r="F129" s="182">
        <f>IF(OR(ISBLANK(F28),ISBLANK(Referrals!F28)),NA(),'Re-referrals'!F28/Referrals!F28)</f>
        <v>0.24389345771449578</v>
      </c>
      <c r="G129" s="182">
        <f>IF(OR(ISBLANK(G28),ISBLANK(Referrals!G28)),NA(),'Re-referrals'!G28/Referrals!G28)</f>
        <v>0.25271708042558061</v>
      </c>
      <c r="H129" s="184">
        <f>IF(OR(ISBLANK(H28),ISBLANK(Referrals!H28)),NA(),'Re-referrals'!H28/Referrals!H28)</f>
        <v>0.26803401700850427</v>
      </c>
      <c r="I129" s="115"/>
      <c r="J129" s="115"/>
      <c r="K129" s="186"/>
      <c r="L129" s="186"/>
      <c r="M129" s="186"/>
      <c r="N129" s="186"/>
      <c r="O129" s="186"/>
      <c r="P129" s="186"/>
      <c r="Q129" s="187"/>
      <c r="R129" s="177"/>
      <c r="S129" s="177"/>
      <c r="T129" s="186"/>
      <c r="U129" s="139"/>
      <c r="V129" s="154"/>
      <c r="W129" s="170"/>
      <c r="X129" s="215"/>
      <c r="Y129" s="215"/>
      <c r="Z129" s="88"/>
      <c r="AA129" s="88"/>
      <c r="AB129" s="88"/>
      <c r="AC129" s="88"/>
      <c r="AD129" s="88"/>
      <c r="AE129" s="232"/>
      <c r="AF129" s="217"/>
      <c r="AG129" s="217"/>
      <c r="AH129" s="217"/>
      <c r="AI129" s="232"/>
      <c r="AJ129" s="178"/>
    </row>
    <row r="130" spans="1:45" s="101" customFormat="1" ht="12.75" customHeight="1" x14ac:dyDescent="0.2">
      <c r="A130" s="533">
        <f>VLOOKUP(B130,Sheet1!$B$4:$C$25,2,FALSE)</f>
        <v>0</v>
      </c>
      <c r="B130" s="112" t="str">
        <f t="shared" si="20"/>
        <v>Windsor &amp; Maidenhead</v>
      </c>
      <c r="C130" s="97"/>
      <c r="D130" s="182">
        <f>IF(OR(ISBLANK(D29),ISBLANK(Referrals!D29)),NA(),'Re-referrals'!D29/Referrals!D29)</f>
        <v>0.19750719079578141</v>
      </c>
      <c r="E130" s="182">
        <f>IF(OR(ISBLANK(E29),ISBLANK(Referrals!E29)),NA(),'Re-referrals'!E29/Referrals!E29)</f>
        <v>0.17938931297709931</v>
      </c>
      <c r="F130" s="182">
        <f>IF(OR(ISBLANK(F29),ISBLANK(Referrals!F29)),NA(),'Re-referrals'!F29/Referrals!F29)</f>
        <v>0.17309417040358743</v>
      </c>
      <c r="G130" s="182">
        <f>IF(OR(ISBLANK(G29),ISBLANK(Referrals!G29)),NA(),'Re-referrals'!G29/Referrals!G29)</f>
        <v>0.11794354838709678</v>
      </c>
      <c r="H130" s="184">
        <f>IF(OR(ISBLANK(H29),ISBLANK(Referrals!H29)),NA(),'Re-referrals'!H29/Referrals!H29)</f>
        <v>0.15645617342130066</v>
      </c>
      <c r="I130" s="115"/>
      <c r="J130" s="115"/>
      <c r="K130" s="186"/>
      <c r="L130" s="186"/>
      <c r="M130" s="186"/>
      <c r="N130" s="186"/>
      <c r="O130" s="186"/>
      <c r="P130" s="186"/>
      <c r="Q130" s="187"/>
      <c r="R130" s="177"/>
      <c r="S130" s="177"/>
      <c r="T130" s="186"/>
      <c r="U130" s="139"/>
      <c r="V130" s="154"/>
      <c r="W130" s="170"/>
      <c r="X130" s="215"/>
      <c r="Y130" s="215"/>
      <c r="Z130" s="88"/>
      <c r="AA130" s="88"/>
      <c r="AB130" s="88"/>
      <c r="AC130" s="88"/>
      <c r="AD130" s="88"/>
      <c r="AE130" s="232"/>
      <c r="AF130" s="232"/>
      <c r="AG130" s="232"/>
      <c r="AH130" s="217"/>
      <c r="AI130" s="232"/>
      <c r="AJ130" s="178"/>
    </row>
    <row r="131" spans="1:45" s="101" customFormat="1" ht="12.75" customHeight="1" x14ac:dyDescent="0.2">
      <c r="A131" s="533">
        <f>VLOOKUP(B131,Sheet1!$B$4:$C$25,2,FALSE)</f>
        <v>0</v>
      </c>
      <c r="B131" s="112" t="str">
        <f t="shared" si="20"/>
        <v>Wokingham</v>
      </c>
      <c r="C131" s="97"/>
      <c r="D131" s="182">
        <f>IF(OR(ISBLANK(D30),ISBLANK(Referrals!D30)),NA(),'Re-referrals'!D30/Referrals!D30)</f>
        <v>0.2690677966101695</v>
      </c>
      <c r="E131" s="182">
        <f>IF(OR(ISBLANK(E30),ISBLANK(Referrals!E30)),NA(),'Re-referrals'!E30/Referrals!E30)</f>
        <v>0.26161616161616169</v>
      </c>
      <c r="F131" s="182">
        <f>IF(OR(ISBLANK(F30),ISBLANK(Referrals!F30)),NA(),'Re-referrals'!F30/Referrals!F30)</f>
        <v>0.17241379310344829</v>
      </c>
      <c r="G131" s="182">
        <f>IF(OR(ISBLANK(G30),ISBLANK(Referrals!G30)),NA(),'Re-referrals'!G30/Referrals!G30)</f>
        <v>0.1874310915104741</v>
      </c>
      <c r="H131" s="184">
        <f>IF(OR(ISBLANK(H30),ISBLANK(Referrals!H30)),NA(),'Re-referrals'!H30/Referrals!H30)</f>
        <v>0.16557257476294676</v>
      </c>
      <c r="I131" s="115"/>
      <c r="J131" s="115"/>
      <c r="K131" s="186"/>
      <c r="L131" s="186"/>
      <c r="M131" s="186"/>
      <c r="N131" s="186"/>
      <c r="O131" s="186"/>
      <c r="P131" s="186"/>
      <c r="Q131" s="187"/>
      <c r="R131" s="177"/>
      <c r="S131" s="177"/>
      <c r="T131" s="186"/>
      <c r="U131" s="139"/>
      <c r="V131" s="154"/>
      <c r="W131" s="170"/>
      <c r="X131" s="215"/>
      <c r="Y131" s="215"/>
      <c r="Z131" s="88"/>
      <c r="AA131" s="88"/>
      <c r="AB131" s="88"/>
      <c r="AC131" s="88"/>
      <c r="AD131" s="88"/>
      <c r="AE131" s="232"/>
      <c r="AF131" s="232"/>
      <c r="AG131" s="232"/>
      <c r="AH131" s="217"/>
      <c r="AI131" s="232"/>
      <c r="AJ131" s="178"/>
    </row>
    <row r="132" spans="1:45" s="101" customFormat="1" ht="12.75" customHeight="1" x14ac:dyDescent="0.2">
      <c r="A132" s="138"/>
      <c r="B132" s="146" t="str">
        <f t="shared" si="20"/>
        <v>South East</v>
      </c>
      <c r="C132" s="97"/>
      <c r="D132" s="183">
        <f>IF(OR(ISBLANK(D31),ISBLANK(Referrals!D31)),NA(),'Re-referrals'!D31/Referrals!D31)</f>
        <v>0.28091289137489162</v>
      </c>
      <c r="E132" s="183">
        <f>IF(OR(ISBLANK(E31),ISBLANK(Referrals!E31)),NA(),'Re-referrals'!E31/Referrals!E31)</f>
        <v>0.27657378740970073</v>
      </c>
      <c r="F132" s="183">
        <f>IF(OR(ISBLANK(F31),ISBLANK(Referrals!F31)),NA(),'Re-referrals'!F31/Referrals!F31)</f>
        <v>0.234860883797054</v>
      </c>
      <c r="G132" s="183">
        <f>IF(OR(ISBLANK(G31),ISBLANK(Referrals!G31)),NA(),'Re-referrals'!G31/Referrals!G31)</f>
        <v>0.25662808065720688</v>
      </c>
      <c r="H132" s="185">
        <f>IF(OR(ISBLANK(H31),ISBLANK(Referrals!H31)),NA(),'Re-referrals'!H31/Referrals!H31)</f>
        <v>0.25180598555211559</v>
      </c>
      <c r="I132" s="115"/>
      <c r="J132" s="115"/>
      <c r="K132" s="188"/>
      <c r="L132" s="188"/>
      <c r="M132" s="188"/>
      <c r="N132" s="188"/>
      <c r="O132" s="188"/>
      <c r="P132" s="188"/>
      <c r="Q132" s="189"/>
      <c r="R132" s="177"/>
      <c r="S132" s="177"/>
      <c r="T132" s="190"/>
      <c r="U132" s="139"/>
      <c r="V132" s="154"/>
      <c r="W132" s="170"/>
      <c r="X132" s="215"/>
      <c r="Y132" s="215"/>
      <c r="Z132" s="88"/>
      <c r="AA132" s="88"/>
      <c r="AB132" s="88"/>
      <c r="AC132" s="88"/>
      <c r="AD132" s="88"/>
      <c r="AE132" s="232"/>
      <c r="AF132" s="232"/>
      <c r="AG132" s="232"/>
      <c r="AH132" s="217"/>
      <c r="AI132" s="232"/>
      <c r="AJ132" s="178"/>
    </row>
    <row r="133" spans="1:45" s="101" customFormat="1" ht="12.75" customHeight="1" x14ac:dyDescent="0.2">
      <c r="A133" s="138"/>
      <c r="B133" s="370" t="str">
        <f t="shared" si="20"/>
        <v>England</v>
      </c>
      <c r="C133" s="97"/>
      <c r="D133" s="401">
        <f>IF(OR(ISBLANK(D32),ISBLANK(Referrals!D32)),NA(),'Re-referrals'!D32/Referrals!D32)</f>
        <v>0.23411371237458195</v>
      </c>
      <c r="E133" s="401">
        <f>IF(OR(ISBLANK(E32),ISBLANK(Referrals!E32)),NA(),'Re-referrals'!E32/Referrals!E32)</f>
        <v>0.23977344241661422</v>
      </c>
      <c r="F133" s="401">
        <f>IF(OR(ISBLANK(F32),ISBLANK(Referrals!F32)),NA(),'Re-referrals'!F32/Referrals!F32)</f>
        <v>0.22318052359727741</v>
      </c>
      <c r="G133" s="401">
        <f>IF(OR(ISBLANK(G32),ISBLANK(Referrals!G32)),NA(),'Re-referrals'!G32/Referrals!G32)</f>
        <v>0.21909242865102457</v>
      </c>
      <c r="H133" s="402">
        <f>IF(OR(ISBLANK(H32),ISBLANK(Referrals!H32)),NA(),'Re-referrals'!H32/Referrals!H32)</f>
        <v>0.21934627762610009</v>
      </c>
      <c r="I133" s="115"/>
      <c r="J133" s="115"/>
      <c r="K133" s="188"/>
      <c r="L133" s="188"/>
      <c r="M133" s="188"/>
      <c r="N133" s="188"/>
      <c r="O133" s="188"/>
      <c r="P133" s="188"/>
      <c r="Q133" s="189"/>
      <c r="R133" s="177"/>
      <c r="S133" s="177"/>
      <c r="T133" s="190"/>
      <c r="U133" s="139"/>
      <c r="V133" s="154"/>
      <c r="W133" s="170"/>
      <c r="X133" s="88"/>
      <c r="Y133" s="88"/>
      <c r="Z133" s="223"/>
      <c r="AA133" s="223"/>
      <c r="AB133" s="224"/>
      <c r="AC133" s="224"/>
      <c r="AD133" s="226"/>
      <c r="AE133" s="232"/>
      <c r="AF133" s="232"/>
      <c r="AG133" s="232"/>
      <c r="AH133" s="217"/>
      <c r="AI133" s="232"/>
      <c r="AJ133" s="178"/>
    </row>
    <row r="134" spans="1:45" s="101" customFormat="1" ht="7.5" customHeight="1" x14ac:dyDescent="0.2">
      <c r="A134" s="324"/>
      <c r="B134" s="115"/>
      <c r="C134" s="115"/>
      <c r="D134" s="115"/>
      <c r="E134" s="115"/>
      <c r="F134" s="115"/>
      <c r="G134" s="115"/>
      <c r="H134" s="115"/>
      <c r="I134" s="115"/>
      <c r="J134" s="115"/>
      <c r="K134" s="188"/>
      <c r="L134" s="188"/>
      <c r="M134" s="188"/>
      <c r="N134" s="188"/>
      <c r="O134" s="188"/>
      <c r="P134" s="188"/>
      <c r="Q134" s="189"/>
      <c r="R134" s="177"/>
      <c r="S134" s="177"/>
      <c r="T134" s="190"/>
      <c r="U134" s="139"/>
      <c r="V134" s="154"/>
      <c r="W134" s="170"/>
      <c r="X134" s="88"/>
      <c r="Y134" s="88"/>
      <c r="Z134" s="223"/>
      <c r="AA134" s="223"/>
      <c r="AB134" s="224"/>
      <c r="AC134" s="224"/>
      <c r="AD134" s="226"/>
      <c r="AE134" s="232"/>
      <c r="AF134" s="232"/>
      <c r="AG134" s="232"/>
      <c r="AH134" s="217"/>
      <c r="AI134" s="232"/>
      <c r="AJ134" s="178"/>
    </row>
    <row r="135" spans="1:45" s="88" customFormat="1" ht="38.25" customHeight="1" x14ac:dyDescent="0.2">
      <c r="A135" s="249"/>
      <c r="B135" s="357"/>
      <c r="C135" s="357"/>
      <c r="D135" s="357"/>
      <c r="E135" s="357"/>
      <c r="F135" s="357"/>
      <c r="G135" s="357"/>
      <c r="H135" s="357"/>
      <c r="I135" s="357"/>
      <c r="J135" s="192"/>
      <c r="K135" s="192"/>
      <c r="L135" s="192"/>
      <c r="M135" s="192"/>
      <c r="N135" s="192"/>
      <c r="O135" s="192"/>
      <c r="P135" s="192"/>
      <c r="Q135" s="151"/>
      <c r="R135" s="192"/>
      <c r="S135" s="192"/>
      <c r="T135" s="192"/>
      <c r="U135" s="134"/>
      <c r="V135" s="152"/>
      <c r="W135" s="168"/>
      <c r="AC135" s="224"/>
      <c r="AD135" s="226"/>
      <c r="AE135" s="210"/>
      <c r="AF135" s="210"/>
      <c r="AG135" s="210"/>
      <c r="AI135" s="210"/>
      <c r="AJ135" s="179"/>
    </row>
    <row r="136" spans="1:45" s="88" customFormat="1" ht="39" customHeight="1" x14ac:dyDescent="0.2">
      <c r="A136" s="249"/>
      <c r="B136" s="357"/>
      <c r="C136" s="357"/>
      <c r="D136" s="357"/>
      <c r="E136" s="357"/>
      <c r="F136" s="357"/>
      <c r="G136" s="357"/>
      <c r="H136" s="357"/>
      <c r="I136" s="357"/>
      <c r="J136" s="192"/>
      <c r="K136" s="192"/>
      <c r="L136" s="192"/>
      <c r="M136" s="192"/>
      <c r="N136" s="192"/>
      <c r="O136" s="192"/>
      <c r="P136" s="192"/>
      <c r="Q136" s="151"/>
      <c r="R136" s="192"/>
      <c r="S136" s="192"/>
      <c r="T136" s="192"/>
      <c r="U136" s="134"/>
      <c r="V136" s="152"/>
      <c r="W136" s="168"/>
      <c r="Y136" s="217"/>
      <c r="AD136" s="226"/>
      <c r="AE136" s="210"/>
      <c r="AF136" s="210"/>
      <c r="AG136" s="210"/>
      <c r="AI136" s="210"/>
      <c r="AJ136" s="179"/>
    </row>
    <row r="137" spans="1:45" s="88" customFormat="1" ht="38.25" customHeight="1" x14ac:dyDescent="0.2">
      <c r="A137" s="249"/>
      <c r="B137" s="357"/>
      <c r="C137" s="357"/>
      <c r="D137" s="357"/>
      <c r="E137" s="357"/>
      <c r="F137" s="357"/>
      <c r="G137" s="357"/>
      <c r="H137" s="357"/>
      <c r="I137" s="357"/>
      <c r="J137" s="192"/>
      <c r="K137" s="192"/>
      <c r="L137" s="192"/>
      <c r="M137" s="192"/>
      <c r="N137" s="192"/>
      <c r="O137" s="192"/>
      <c r="P137" s="192"/>
      <c r="Q137" s="151"/>
      <c r="R137" s="192"/>
      <c r="S137" s="192"/>
      <c r="T137" s="192"/>
      <c r="U137" s="134"/>
      <c r="V137" s="152"/>
      <c r="W137" s="168"/>
      <c r="Y137" s="217"/>
      <c r="AD137" s="226"/>
      <c r="AE137" s="210"/>
      <c r="AF137" s="210"/>
      <c r="AG137" s="210"/>
      <c r="AI137" s="210"/>
      <c r="AJ137" s="179"/>
    </row>
    <row r="138" spans="1:45" s="88" customFormat="1" ht="7.5" customHeight="1" x14ac:dyDescent="0.2">
      <c r="A138" s="135"/>
      <c r="B138" s="18"/>
      <c r="C138" s="18"/>
      <c r="D138" s="17"/>
      <c r="E138" s="17"/>
      <c r="F138" s="17"/>
      <c r="G138" s="17"/>
      <c r="H138" s="17"/>
      <c r="I138" s="17"/>
      <c r="J138" s="13"/>
      <c r="K138" s="19"/>
      <c r="L138" s="19"/>
      <c r="M138" s="19"/>
      <c r="N138" s="19"/>
      <c r="O138" s="19"/>
      <c r="P138" s="19"/>
      <c r="Q138" s="19"/>
      <c r="R138" s="19"/>
      <c r="S138" s="19"/>
      <c r="T138" s="20"/>
      <c r="U138" s="134"/>
      <c r="V138" s="152"/>
      <c r="W138" s="168"/>
      <c r="Y138" s="217"/>
      <c r="AI138" s="210"/>
      <c r="AJ138" s="175"/>
      <c r="AK138" s="80"/>
      <c r="AL138" s="80"/>
      <c r="AM138" s="80"/>
      <c r="AN138" s="80"/>
      <c r="AO138" s="80"/>
      <c r="AP138" s="80"/>
      <c r="AQ138" s="80"/>
    </row>
    <row r="139" spans="1:45" s="88" customFormat="1" ht="15" customHeight="1" x14ac:dyDescent="0.2">
      <c r="A139" s="1010"/>
      <c r="B139" s="1018"/>
      <c r="C139" s="1018"/>
      <c r="D139" s="1018"/>
      <c r="E139" s="1018"/>
      <c r="F139" s="1018"/>
      <c r="G139" s="1018"/>
      <c r="H139" s="1018"/>
      <c r="I139" s="1018"/>
      <c r="J139" s="1018"/>
      <c r="K139" s="1018"/>
      <c r="L139" s="1018"/>
      <c r="M139" s="1018"/>
      <c r="N139" s="1018"/>
      <c r="O139" s="1018"/>
      <c r="P139" s="1018"/>
      <c r="Q139" s="1018"/>
      <c r="R139" s="1018"/>
      <c r="S139" s="1018"/>
      <c r="T139" s="1018"/>
      <c r="U139" s="1019"/>
      <c r="V139" s="152"/>
      <c r="W139" s="168"/>
      <c r="AJ139" s="179"/>
      <c r="AS139" s="80"/>
    </row>
    <row r="140" spans="1:45" s="88" customFormat="1" ht="11.25" customHeight="1" x14ac:dyDescent="0.2">
      <c r="A140" s="1020" t="str">
        <f>Home!$A$35</f>
        <v>LA's provide quarterly data on the condition that it is used by the benchmarking group for internal reporting only. Please DO NOT share other LA's data with any external partners or the public</v>
      </c>
      <c r="B140" s="1021"/>
      <c r="C140" s="1021"/>
      <c r="D140" s="1021"/>
      <c r="E140" s="1021"/>
      <c r="F140" s="1021"/>
      <c r="G140" s="1021"/>
      <c r="H140" s="1021"/>
      <c r="I140" s="1022"/>
      <c r="J140" s="1021"/>
      <c r="K140" s="1021"/>
      <c r="L140" s="1021"/>
      <c r="M140" s="1021"/>
      <c r="N140" s="1021"/>
      <c r="O140" s="1021"/>
      <c r="P140" s="1021"/>
      <c r="Q140" s="1021"/>
      <c r="R140" s="1021"/>
      <c r="S140" s="1022"/>
      <c r="T140" s="1021"/>
      <c r="U140" s="1023"/>
      <c r="V140" s="152"/>
      <c r="W140" s="168"/>
      <c r="AI140" s="210"/>
      <c r="AJ140" s="178"/>
      <c r="AK140" s="101"/>
      <c r="AS140" s="80"/>
    </row>
    <row r="141" spans="1:45" ht="11.25" customHeight="1" x14ac:dyDescent="0.2">
      <c r="A141" s="157"/>
      <c r="B141" s="130"/>
      <c r="C141" s="130"/>
      <c r="D141" s="130"/>
      <c r="E141" s="130"/>
      <c r="F141" s="130"/>
      <c r="G141" s="130"/>
      <c r="H141" s="130"/>
      <c r="I141" s="130"/>
      <c r="J141" s="131"/>
      <c r="K141" s="130"/>
      <c r="L141" s="130"/>
      <c r="M141" s="130"/>
      <c r="N141" s="130"/>
      <c r="O141" s="130"/>
      <c r="P141" s="130"/>
      <c r="Q141" s="130"/>
      <c r="R141" s="130"/>
      <c r="S141" s="130"/>
      <c r="T141" s="130"/>
      <c r="U141" s="130"/>
      <c r="V141" s="152"/>
      <c r="W141" s="168"/>
      <c r="AE141" s="89"/>
      <c r="AH141" s="210"/>
      <c r="AI141" s="210"/>
      <c r="AJ141" s="175"/>
      <c r="AL141" s="88"/>
      <c r="AM141" s="88"/>
      <c r="AN141" s="88"/>
      <c r="AO141" s="88"/>
      <c r="AP141" s="88"/>
      <c r="AQ141" s="88"/>
    </row>
    <row r="142" spans="1:45" ht="11.25" customHeight="1" x14ac:dyDescent="0.2">
      <c r="A142" s="158"/>
      <c r="B142" s="9"/>
      <c r="C142" s="9"/>
      <c r="D142" s="9"/>
      <c r="E142" s="9"/>
      <c r="F142" s="9"/>
      <c r="G142" s="9"/>
      <c r="H142" s="9"/>
      <c r="I142" s="9"/>
      <c r="J142" s="13"/>
      <c r="K142" s="9"/>
      <c r="L142" s="9"/>
      <c r="M142" s="9"/>
      <c r="N142" s="9"/>
      <c r="O142" s="9"/>
      <c r="P142" s="9"/>
      <c r="Q142" s="9"/>
      <c r="R142" s="9"/>
      <c r="S142" s="9"/>
      <c r="T142" s="9"/>
      <c r="U142" s="9"/>
      <c r="V142" s="152"/>
      <c r="W142" s="168"/>
      <c r="AE142" s="89"/>
      <c r="AH142" s="210"/>
      <c r="AI142" s="210"/>
      <c r="AJ142" s="175"/>
      <c r="AL142" s="88"/>
      <c r="AM142" s="88"/>
      <c r="AN142" s="88"/>
      <c r="AO142" s="88"/>
      <c r="AP142" s="88"/>
      <c r="AQ142" s="88"/>
    </row>
    <row r="143" spans="1:45" ht="11.25" customHeight="1" x14ac:dyDescent="0.2">
      <c r="A143" s="158"/>
      <c r="B143" s="1006" t="s">
        <v>82</v>
      </c>
      <c r="C143" s="348"/>
      <c r="D143" s="15"/>
      <c r="E143" s="15"/>
      <c r="F143" s="9"/>
      <c r="G143" s="9"/>
      <c r="H143" s="9"/>
      <c r="I143" s="9"/>
      <c r="J143" s="13"/>
      <c r="K143" s="9"/>
      <c r="L143" s="9"/>
      <c r="M143" s="9"/>
      <c r="N143" s="9"/>
      <c r="O143" s="9"/>
      <c r="P143" s="9"/>
      <c r="Q143" s="9"/>
      <c r="R143" s="9"/>
      <c r="S143" s="9"/>
      <c r="T143" s="9"/>
      <c r="U143" s="9"/>
      <c r="V143" s="152"/>
      <c r="W143" s="168"/>
      <c r="AE143" s="89"/>
      <c r="AH143" s="210"/>
      <c r="AI143" s="210"/>
      <c r="AJ143" s="175"/>
      <c r="AL143" s="88"/>
      <c r="AM143" s="88"/>
      <c r="AN143" s="88"/>
      <c r="AO143" s="88"/>
      <c r="AP143" s="88"/>
      <c r="AQ143" s="88"/>
    </row>
    <row r="144" spans="1:45" ht="11.25" customHeight="1" x14ac:dyDescent="0.2">
      <c r="A144" s="158"/>
      <c r="B144" s="1007"/>
      <c r="C144" s="347"/>
      <c r="D144" s="9"/>
      <c r="E144" s="9"/>
      <c r="F144" s="9"/>
      <c r="G144" s="9"/>
      <c r="H144" s="9"/>
      <c r="I144" s="9"/>
      <c r="J144" s="13"/>
      <c r="K144" s="9"/>
      <c r="L144" s="9"/>
      <c r="M144" s="9"/>
      <c r="N144" s="9"/>
      <c r="O144" s="9"/>
      <c r="P144" s="9"/>
      <c r="Q144" s="9"/>
      <c r="R144" s="9"/>
      <c r="S144" s="9"/>
      <c r="T144" s="9"/>
      <c r="U144" s="9"/>
      <c r="V144" s="152"/>
      <c r="W144" s="168"/>
      <c r="AE144" s="89"/>
      <c r="AH144" s="210"/>
      <c r="AI144" s="210"/>
      <c r="AJ144" s="175"/>
    </row>
    <row r="145" spans="1:36" ht="11.25" customHeight="1" x14ac:dyDescent="0.2">
      <c r="A145" s="158"/>
      <c r="B145" s="973" t="s">
        <v>81</v>
      </c>
      <c r="C145" s="974"/>
      <c r="D145" s="974"/>
      <c r="E145" s="974"/>
      <c r="F145" s="974"/>
      <c r="G145" s="974"/>
      <c r="H145" s="9"/>
      <c r="I145" s="9"/>
      <c r="J145" s="13"/>
      <c r="K145" s="9"/>
      <c r="L145" s="9"/>
      <c r="M145" s="9"/>
      <c r="N145" s="9"/>
      <c r="O145" s="9"/>
      <c r="P145" s="9"/>
      <c r="Q145" s="9"/>
      <c r="R145" s="9"/>
      <c r="S145" s="9"/>
      <c r="T145" s="9"/>
      <c r="U145" s="9"/>
      <c r="V145" s="152"/>
      <c r="W145" s="168"/>
      <c r="AE145" s="89"/>
      <c r="AH145" s="210"/>
      <c r="AI145" s="210"/>
      <c r="AJ145" s="175"/>
    </row>
    <row r="146" spans="1:36" ht="11.25" customHeight="1" x14ac:dyDescent="0.2">
      <c r="A146" s="158"/>
      <c r="B146" s="973"/>
      <c r="C146" s="974"/>
      <c r="D146" s="974"/>
      <c r="E146" s="974"/>
      <c r="F146" s="974"/>
      <c r="G146" s="974"/>
      <c r="H146" s="9"/>
      <c r="I146" s="9"/>
      <c r="J146" s="13"/>
      <c r="K146" s="9"/>
      <c r="L146" s="9"/>
      <c r="M146" s="9"/>
      <c r="N146" s="9"/>
      <c r="O146" s="9"/>
      <c r="P146" s="9"/>
      <c r="Q146" s="9"/>
      <c r="R146" s="9"/>
      <c r="S146" s="9"/>
      <c r="T146" s="9"/>
      <c r="U146" s="9"/>
      <c r="V146" s="152"/>
      <c r="W146" s="168"/>
      <c r="AE146" s="89"/>
      <c r="AH146" s="215"/>
      <c r="AI146" s="215"/>
      <c r="AJ146" s="176"/>
    </row>
    <row r="147" spans="1:36" s="82" customFormat="1" ht="11.25" customHeight="1" x14ac:dyDescent="0.2">
      <c r="A147" s="158"/>
      <c r="B147" s="973" t="s">
        <v>78</v>
      </c>
      <c r="C147" s="975"/>
      <c r="D147" s="975"/>
      <c r="E147" s="975"/>
      <c r="F147" s="975"/>
      <c r="G147" s="975"/>
      <c r="H147" s="15"/>
      <c r="I147" s="15"/>
      <c r="J147" s="15"/>
      <c r="K147" s="15"/>
      <c r="L147" s="15"/>
      <c r="M147" s="15"/>
      <c r="N147" s="15"/>
      <c r="O147" s="15"/>
      <c r="P147" s="15"/>
      <c r="Q147" s="15"/>
      <c r="R147" s="15"/>
      <c r="S147" s="15"/>
      <c r="T147" s="15"/>
      <c r="U147" s="15"/>
      <c r="V147" s="155"/>
      <c r="W147" s="172"/>
      <c r="X147" s="88"/>
      <c r="Y147" s="88"/>
      <c r="Z147" s="88"/>
      <c r="AA147" s="88"/>
      <c r="AB147" s="88"/>
      <c r="AC147" s="88"/>
      <c r="AD147" s="88"/>
      <c r="AE147" s="89"/>
      <c r="AF147" s="88"/>
      <c r="AG147" s="88"/>
      <c r="AH147" s="210"/>
      <c r="AI147" s="210"/>
      <c r="AJ147" s="175"/>
    </row>
    <row r="148" spans="1:36" ht="11.25" customHeight="1" x14ac:dyDescent="0.2">
      <c r="A148" s="158"/>
      <c r="B148" s="973"/>
      <c r="C148" s="975"/>
      <c r="D148" s="975"/>
      <c r="E148" s="975"/>
      <c r="F148" s="975"/>
      <c r="G148" s="975"/>
      <c r="H148" s="9"/>
      <c r="I148" s="9"/>
      <c r="J148" s="13"/>
      <c r="K148" s="9"/>
      <c r="L148" s="9"/>
      <c r="M148" s="9"/>
      <c r="N148" s="9"/>
      <c r="O148" s="9"/>
      <c r="P148" s="9"/>
      <c r="Q148" s="9"/>
      <c r="R148" s="9"/>
      <c r="S148" s="9"/>
      <c r="T148" s="9"/>
      <c r="U148" s="9"/>
      <c r="V148" s="152"/>
      <c r="W148" s="168"/>
      <c r="AE148" s="89"/>
      <c r="AH148" s="210"/>
      <c r="AI148" s="210"/>
      <c r="AJ148" s="175"/>
    </row>
    <row r="149" spans="1:36" ht="11.25" customHeight="1" x14ac:dyDescent="0.2">
      <c r="A149" s="158"/>
      <c r="B149" s="976" t="s">
        <v>18</v>
      </c>
      <c r="C149" s="977"/>
      <c r="D149" s="977"/>
      <c r="E149" s="977"/>
      <c r="F149" s="977"/>
      <c r="G149" s="977"/>
      <c r="H149" s="9"/>
      <c r="I149" s="9"/>
      <c r="J149" s="13"/>
      <c r="K149" s="9"/>
      <c r="L149" s="9"/>
      <c r="M149" s="9"/>
      <c r="N149" s="9"/>
      <c r="O149" s="9"/>
      <c r="P149" s="9"/>
      <c r="Q149" s="9"/>
      <c r="R149" s="9"/>
      <c r="S149" s="9"/>
      <c r="T149" s="9"/>
      <c r="U149" s="9"/>
      <c r="V149" s="152"/>
      <c r="W149" s="168"/>
      <c r="AE149" s="89"/>
      <c r="AH149" s="210"/>
      <c r="AI149" s="210"/>
      <c r="AJ149" s="175"/>
    </row>
    <row r="150" spans="1:36" ht="11.25" customHeight="1" x14ac:dyDescent="0.2">
      <c r="A150" s="158"/>
      <c r="B150" s="976"/>
      <c r="C150" s="977"/>
      <c r="D150" s="977"/>
      <c r="E150" s="977"/>
      <c r="F150" s="977"/>
      <c r="G150" s="977"/>
      <c r="H150" s="9"/>
      <c r="I150" s="9"/>
      <c r="J150" s="13"/>
      <c r="K150" s="9"/>
      <c r="L150" s="9"/>
      <c r="M150" s="9"/>
      <c r="N150" s="9"/>
      <c r="O150" s="9"/>
      <c r="P150" s="9"/>
      <c r="Q150" s="9"/>
      <c r="R150" s="9"/>
      <c r="S150" s="9"/>
      <c r="T150" s="9"/>
      <c r="U150" s="9"/>
      <c r="V150" s="152"/>
      <c r="W150" s="168"/>
      <c r="AE150" s="89"/>
      <c r="AH150" s="210"/>
      <c r="AI150" s="210"/>
      <c r="AJ150" s="175"/>
    </row>
    <row r="151" spans="1:36" ht="11.25" customHeight="1" x14ac:dyDescent="0.2">
      <c r="A151" s="158"/>
      <c r="B151" s="976" t="s">
        <v>210</v>
      </c>
      <c r="C151" s="976"/>
      <c r="D151" s="978"/>
      <c r="E151" s="978"/>
      <c r="F151" s="978"/>
      <c r="G151" s="924"/>
      <c r="H151" s="9"/>
      <c r="I151" s="9"/>
      <c r="J151" s="13"/>
      <c r="K151" s="9"/>
      <c r="L151" s="9"/>
      <c r="M151" s="9"/>
      <c r="N151" s="9"/>
      <c r="O151" s="9"/>
      <c r="P151" s="9"/>
      <c r="Q151" s="9"/>
      <c r="R151" s="9"/>
      <c r="S151" s="9"/>
      <c r="T151" s="9"/>
      <c r="U151" s="11"/>
      <c r="V151" s="281"/>
      <c r="W151" s="168"/>
      <c r="Z151" s="80"/>
      <c r="AA151" s="80"/>
      <c r="AE151" s="89"/>
      <c r="AH151" s="210"/>
      <c r="AI151" s="210"/>
      <c r="AJ151" s="175"/>
    </row>
    <row r="152" spans="1:36" ht="11.25" customHeight="1" x14ac:dyDescent="0.2">
      <c r="A152" s="158"/>
      <c r="B152" s="976"/>
      <c r="C152" s="976"/>
      <c r="D152" s="978"/>
      <c r="E152" s="978"/>
      <c r="F152" s="978"/>
      <c r="G152" s="924"/>
      <c r="H152" s="9"/>
      <c r="I152" s="9"/>
      <c r="J152" s="13"/>
      <c r="K152" s="9"/>
      <c r="L152" s="9"/>
      <c r="M152" s="9"/>
      <c r="N152" s="9"/>
      <c r="O152" s="9"/>
      <c r="P152" s="9"/>
      <c r="Q152" s="9"/>
      <c r="R152" s="9"/>
      <c r="S152" s="9"/>
      <c r="T152" s="9"/>
      <c r="U152" s="11"/>
      <c r="V152" s="281"/>
      <c r="W152" s="168"/>
      <c r="Z152" s="80"/>
      <c r="AA152" s="80"/>
      <c r="AE152" s="89"/>
      <c r="AH152" s="210"/>
      <c r="AI152" s="210"/>
      <c r="AJ152" s="175"/>
    </row>
    <row r="153" spans="1:36" ht="11.25" customHeight="1" x14ac:dyDescent="0.2">
      <c r="A153" s="158"/>
      <c r="B153" s="976" t="s">
        <v>211</v>
      </c>
      <c r="C153" s="976"/>
      <c r="D153" s="978"/>
      <c r="E153" s="978"/>
      <c r="F153" s="978"/>
      <c r="G153" s="924"/>
      <c r="H153" s="9"/>
      <c r="I153" s="9"/>
      <c r="J153" s="13"/>
      <c r="K153" s="9"/>
      <c r="L153" s="9"/>
      <c r="M153" s="9"/>
      <c r="N153" s="9"/>
      <c r="O153" s="9"/>
      <c r="P153" s="9"/>
      <c r="Q153" s="9"/>
      <c r="R153" s="9"/>
      <c r="S153" s="9"/>
      <c r="T153" s="9"/>
      <c r="U153" s="11"/>
      <c r="V153" s="281"/>
      <c r="W153" s="168"/>
      <c r="Z153" s="80"/>
      <c r="AA153" s="80"/>
      <c r="AE153" s="89"/>
      <c r="AH153" s="210"/>
      <c r="AI153" s="210"/>
      <c r="AJ153" s="175"/>
    </row>
    <row r="154" spans="1:36" ht="11.25" customHeight="1" x14ac:dyDescent="0.2">
      <c r="A154" s="158"/>
      <c r="B154" s="976"/>
      <c r="C154" s="976"/>
      <c r="D154" s="978"/>
      <c r="E154" s="978"/>
      <c r="F154" s="978"/>
      <c r="G154" s="924"/>
      <c r="H154" s="9"/>
      <c r="I154" s="9"/>
      <c r="J154" s="13"/>
      <c r="K154" s="9"/>
      <c r="L154" s="9"/>
      <c r="M154" s="9"/>
      <c r="N154" s="9"/>
      <c r="O154" s="9"/>
      <c r="P154" s="9"/>
      <c r="Q154" s="9"/>
      <c r="R154" s="9"/>
      <c r="S154" s="9"/>
      <c r="T154" s="9"/>
      <c r="U154" s="11"/>
      <c r="V154" s="281"/>
      <c r="W154" s="168"/>
      <c r="Z154" s="80"/>
      <c r="AA154" s="80"/>
      <c r="AE154" s="89"/>
      <c r="AH154" s="210"/>
      <c r="AI154" s="210"/>
      <c r="AJ154" s="175"/>
    </row>
    <row r="155" spans="1:36" ht="11.25" customHeight="1" x14ac:dyDescent="0.2">
      <c r="A155" s="158"/>
      <c r="B155" s="976" t="s">
        <v>212</v>
      </c>
      <c r="C155" s="976"/>
      <c r="D155" s="978"/>
      <c r="E155" s="978"/>
      <c r="F155" s="978"/>
      <c r="G155" s="924"/>
      <c r="H155" s="9"/>
      <c r="I155" s="9"/>
      <c r="J155" s="13"/>
      <c r="K155" s="9"/>
      <c r="L155" s="9"/>
      <c r="M155" s="9"/>
      <c r="N155" s="9"/>
      <c r="O155" s="9"/>
      <c r="P155" s="9"/>
      <c r="Q155" s="9"/>
      <c r="R155" s="9"/>
      <c r="S155" s="9"/>
      <c r="T155" s="9"/>
      <c r="U155" s="11"/>
      <c r="V155" s="281"/>
      <c r="W155" s="168"/>
      <c r="Z155" s="80"/>
      <c r="AA155" s="80"/>
      <c r="AE155" s="89"/>
      <c r="AH155" s="210"/>
      <c r="AI155" s="210"/>
      <c r="AJ155" s="175"/>
    </row>
    <row r="156" spans="1:36" ht="11.25" customHeight="1" x14ac:dyDescent="0.2">
      <c r="A156" s="158"/>
      <c r="B156" s="976"/>
      <c r="C156" s="976"/>
      <c r="D156" s="978"/>
      <c r="E156" s="978"/>
      <c r="F156" s="978"/>
      <c r="G156" s="924"/>
      <c r="H156" s="9"/>
      <c r="I156" s="9"/>
      <c r="J156" s="13"/>
      <c r="K156" s="9"/>
      <c r="L156" s="9"/>
      <c r="M156" s="9"/>
      <c r="N156" s="9"/>
      <c r="O156" s="9"/>
      <c r="P156" s="9"/>
      <c r="Q156" s="9"/>
      <c r="R156" s="9"/>
      <c r="S156" s="9"/>
      <c r="T156" s="9"/>
      <c r="U156" s="11"/>
      <c r="V156" s="281"/>
      <c r="W156" s="168"/>
      <c r="Z156" s="80"/>
      <c r="AA156" s="80"/>
      <c r="AE156" s="89"/>
      <c r="AH156" s="210"/>
      <c r="AI156" s="210"/>
      <c r="AJ156" s="175"/>
    </row>
    <row r="157" spans="1:36" ht="11.25" customHeight="1" x14ac:dyDescent="0.2">
      <c r="A157" s="158"/>
      <c r="B157" s="973" t="s">
        <v>80</v>
      </c>
      <c r="C157" s="974"/>
      <c r="D157" s="974"/>
      <c r="E157" s="974"/>
      <c r="F157" s="974"/>
      <c r="G157" s="974"/>
      <c r="H157" s="9"/>
      <c r="I157" s="9"/>
      <c r="J157" s="13"/>
      <c r="K157" s="9"/>
      <c r="L157" s="9"/>
      <c r="M157" s="9"/>
      <c r="N157" s="9"/>
      <c r="O157" s="9"/>
      <c r="P157" s="9"/>
      <c r="Q157" s="9"/>
      <c r="R157" s="9"/>
      <c r="S157" s="9"/>
      <c r="T157" s="9"/>
      <c r="U157" s="9"/>
      <c r="V157" s="152"/>
      <c r="W157" s="168"/>
      <c r="AE157" s="89"/>
      <c r="AH157" s="210"/>
      <c r="AI157" s="210"/>
      <c r="AJ157" s="175"/>
    </row>
    <row r="158" spans="1:36" ht="11.25" customHeight="1" x14ac:dyDescent="0.2">
      <c r="A158" s="158"/>
      <c r="B158" s="973"/>
      <c r="C158" s="974"/>
      <c r="D158" s="974"/>
      <c r="E158" s="974"/>
      <c r="F158" s="974"/>
      <c r="G158" s="974"/>
      <c r="H158" s="9"/>
      <c r="I158" s="9"/>
      <c r="J158" s="13"/>
      <c r="K158" s="9"/>
      <c r="L158" s="9"/>
      <c r="M158" s="9"/>
      <c r="N158" s="9"/>
      <c r="O158" s="9"/>
      <c r="P158" s="9"/>
      <c r="Q158" s="9"/>
      <c r="R158" s="9"/>
      <c r="S158" s="9"/>
      <c r="T158" s="9"/>
      <c r="U158" s="9"/>
      <c r="V158" s="152"/>
      <c r="W158" s="168"/>
      <c r="AE158" s="89"/>
      <c r="AH158" s="210"/>
      <c r="AI158" s="210"/>
      <c r="AJ158" s="175"/>
    </row>
    <row r="159" spans="1:36" ht="11.25" customHeight="1" x14ac:dyDescent="0.2">
      <c r="A159" s="158"/>
      <c r="B159" s="973" t="s">
        <v>69</v>
      </c>
      <c r="C159" s="974"/>
      <c r="D159" s="974"/>
      <c r="E159" s="974"/>
      <c r="F159" s="974"/>
      <c r="G159" s="974"/>
      <c r="H159" s="9"/>
      <c r="I159" s="9"/>
      <c r="J159" s="13"/>
      <c r="K159" s="9"/>
      <c r="L159" s="9"/>
      <c r="M159" s="9"/>
      <c r="N159" s="9"/>
      <c r="O159" s="9"/>
      <c r="P159" s="9"/>
      <c r="Q159" s="9"/>
      <c r="R159" s="9"/>
      <c r="S159" s="9"/>
      <c r="T159" s="9"/>
      <c r="U159" s="9"/>
      <c r="V159" s="152"/>
      <c r="W159" s="168"/>
      <c r="AE159" s="89"/>
      <c r="AH159" s="210"/>
      <c r="AI159" s="210"/>
      <c r="AJ159" s="175"/>
    </row>
    <row r="160" spans="1:36" ht="11.25" customHeight="1" x14ac:dyDescent="0.2">
      <c r="A160" s="158"/>
      <c r="B160" s="973"/>
      <c r="C160" s="974"/>
      <c r="D160" s="974"/>
      <c r="E160" s="974"/>
      <c r="F160" s="974"/>
      <c r="G160" s="974"/>
      <c r="H160" s="9"/>
      <c r="I160" s="9"/>
      <c r="J160" s="13"/>
      <c r="K160" s="9"/>
      <c r="L160" s="9"/>
      <c r="M160" s="9"/>
      <c r="N160" s="9"/>
      <c r="O160" s="9"/>
      <c r="P160" s="9"/>
      <c r="Q160" s="9"/>
      <c r="R160" s="9"/>
      <c r="S160" s="9"/>
      <c r="T160" s="9"/>
      <c r="U160" s="9"/>
      <c r="V160" s="152"/>
      <c r="W160" s="168"/>
      <c r="AE160" s="89"/>
      <c r="AH160" s="210"/>
      <c r="AI160" s="210"/>
      <c r="AJ160" s="175"/>
    </row>
    <row r="161" spans="1:36" ht="11.25" customHeight="1" x14ac:dyDescent="0.2">
      <c r="A161" s="158"/>
      <c r="B161" s="973" t="s">
        <v>25</v>
      </c>
      <c r="C161" s="974"/>
      <c r="D161" s="974"/>
      <c r="E161" s="974"/>
      <c r="F161" s="974"/>
      <c r="G161" s="974"/>
      <c r="H161" s="9"/>
      <c r="I161" s="9"/>
      <c r="J161" s="13"/>
      <c r="K161" s="9"/>
      <c r="L161" s="9"/>
      <c r="M161" s="9"/>
      <c r="N161" s="9"/>
      <c r="O161" s="9"/>
      <c r="P161" s="9"/>
      <c r="Q161" s="9"/>
      <c r="R161" s="9"/>
      <c r="S161" s="9"/>
      <c r="T161" s="9"/>
      <c r="U161" s="9"/>
      <c r="V161" s="152"/>
      <c r="W161" s="168"/>
      <c r="AE161" s="89"/>
      <c r="AH161" s="210"/>
      <c r="AI161" s="210"/>
      <c r="AJ161" s="175"/>
    </row>
    <row r="162" spans="1:36" ht="11.25" customHeight="1" x14ac:dyDescent="0.2">
      <c r="A162" s="158"/>
      <c r="B162" s="973"/>
      <c r="C162" s="974"/>
      <c r="D162" s="974"/>
      <c r="E162" s="974"/>
      <c r="F162" s="974"/>
      <c r="G162" s="974"/>
      <c r="H162" s="9"/>
      <c r="I162" s="9"/>
      <c r="J162" s="13"/>
      <c r="K162" s="9"/>
      <c r="L162" s="9"/>
      <c r="M162" s="9"/>
      <c r="N162" s="9"/>
      <c r="O162" s="9"/>
      <c r="P162" s="9"/>
      <c r="Q162" s="9"/>
      <c r="R162" s="9"/>
      <c r="S162" s="9"/>
      <c r="T162" s="9"/>
      <c r="U162" s="9"/>
      <c r="V162" s="152"/>
      <c r="W162" s="168"/>
      <c r="AE162" s="89"/>
      <c r="AH162" s="210"/>
      <c r="AI162" s="210"/>
      <c r="AJ162" s="175"/>
    </row>
    <row r="163" spans="1:36" ht="11.25" customHeight="1" x14ac:dyDescent="0.2">
      <c r="A163" s="158"/>
      <c r="B163" s="973" t="s">
        <v>23</v>
      </c>
      <c r="C163" s="974"/>
      <c r="D163" s="974"/>
      <c r="E163" s="974"/>
      <c r="F163" s="974"/>
      <c r="G163" s="974"/>
      <c r="H163" s="9"/>
      <c r="I163" s="9"/>
      <c r="J163" s="13"/>
      <c r="K163" s="9"/>
      <c r="L163" s="9"/>
      <c r="M163" s="9"/>
      <c r="N163" s="9"/>
      <c r="O163" s="9"/>
      <c r="P163" s="9"/>
      <c r="Q163" s="9"/>
      <c r="R163" s="9"/>
      <c r="S163" s="9"/>
      <c r="T163" s="9"/>
      <c r="U163" s="9"/>
      <c r="V163" s="152"/>
      <c r="W163" s="168"/>
      <c r="AE163" s="89"/>
      <c r="AH163" s="210"/>
      <c r="AI163" s="210"/>
      <c r="AJ163" s="175"/>
    </row>
    <row r="164" spans="1:36" ht="11.25" customHeight="1" x14ac:dyDescent="0.2">
      <c r="A164" s="158"/>
      <c r="B164" s="973"/>
      <c r="C164" s="974"/>
      <c r="D164" s="974"/>
      <c r="E164" s="974"/>
      <c r="F164" s="974"/>
      <c r="G164" s="974"/>
      <c r="H164" s="9"/>
      <c r="I164" s="9"/>
      <c r="J164" s="13"/>
      <c r="K164" s="9"/>
      <c r="L164" s="9"/>
      <c r="M164" s="9"/>
      <c r="N164" s="9"/>
      <c r="O164" s="9"/>
      <c r="P164" s="9"/>
      <c r="Q164" s="9"/>
      <c r="R164" s="9"/>
      <c r="S164" s="9"/>
      <c r="T164" s="9"/>
      <c r="U164" s="9"/>
      <c r="V164" s="152"/>
      <c r="W164" s="168"/>
      <c r="AE164" s="89"/>
      <c r="AH164" s="210"/>
      <c r="AI164" s="210"/>
      <c r="AJ164" s="175"/>
    </row>
    <row r="165" spans="1:36" ht="11.25" customHeight="1" x14ac:dyDescent="0.2">
      <c r="A165" s="158"/>
      <c r="B165" s="973" t="s">
        <v>26</v>
      </c>
      <c r="C165" s="974"/>
      <c r="D165" s="974"/>
      <c r="E165" s="974"/>
      <c r="F165" s="974"/>
      <c r="G165" s="974"/>
      <c r="H165" s="9"/>
      <c r="I165" s="9"/>
      <c r="J165" s="13"/>
      <c r="K165" s="9"/>
      <c r="L165" s="9"/>
      <c r="M165" s="9"/>
      <c r="N165" s="9"/>
      <c r="O165" s="9"/>
      <c r="P165" s="9"/>
      <c r="Q165" s="9"/>
      <c r="R165" s="9"/>
      <c r="S165" s="9"/>
      <c r="T165" s="9"/>
      <c r="U165" s="9"/>
      <c r="V165" s="152"/>
      <c r="W165" s="168"/>
      <c r="AE165" s="89"/>
      <c r="AH165" s="210"/>
      <c r="AI165" s="210"/>
      <c r="AJ165" s="175"/>
    </row>
    <row r="166" spans="1:36" ht="11.25" customHeight="1" x14ac:dyDescent="0.2">
      <c r="A166" s="158"/>
      <c r="B166" s="973"/>
      <c r="C166" s="974"/>
      <c r="D166" s="974"/>
      <c r="E166" s="974"/>
      <c r="F166" s="974"/>
      <c r="G166" s="974"/>
      <c r="H166" s="9"/>
      <c r="I166" s="9"/>
      <c r="J166" s="13"/>
      <c r="K166" s="9"/>
      <c r="L166" s="9"/>
      <c r="M166" s="9"/>
      <c r="N166" s="9"/>
      <c r="O166" s="9"/>
      <c r="P166" s="9"/>
      <c r="Q166" s="9"/>
      <c r="R166" s="9"/>
      <c r="S166" s="9"/>
      <c r="T166" s="9"/>
      <c r="U166" s="9"/>
      <c r="V166" s="152"/>
      <c r="W166" s="168"/>
      <c r="AE166" s="89"/>
      <c r="AH166" s="210"/>
      <c r="AI166" s="210"/>
      <c r="AJ166" s="175"/>
    </row>
    <row r="167" spans="1:36" ht="11.25" customHeight="1" x14ac:dyDescent="0.2">
      <c r="A167" s="158"/>
      <c r="B167" s="973" t="s">
        <v>19</v>
      </c>
      <c r="C167" s="974"/>
      <c r="D167" s="974"/>
      <c r="E167" s="974"/>
      <c r="F167" s="974"/>
      <c r="G167" s="974"/>
      <c r="H167" s="9"/>
      <c r="I167" s="9"/>
      <c r="J167" s="13"/>
      <c r="K167" s="9"/>
      <c r="L167" s="9"/>
      <c r="M167" s="9"/>
      <c r="N167" s="9"/>
      <c r="O167" s="9"/>
      <c r="P167" s="9"/>
      <c r="Q167" s="9"/>
      <c r="R167" s="9"/>
      <c r="S167" s="9"/>
      <c r="T167" s="9"/>
      <c r="U167" s="9"/>
      <c r="V167" s="152"/>
      <c r="W167" s="168"/>
      <c r="AE167" s="89"/>
      <c r="AH167" s="210"/>
      <c r="AI167" s="210"/>
      <c r="AJ167" s="175"/>
    </row>
    <row r="168" spans="1:36" ht="11.25" customHeight="1" x14ac:dyDescent="0.2">
      <c r="A168" s="158"/>
      <c r="B168" s="973"/>
      <c r="C168" s="974"/>
      <c r="D168" s="974"/>
      <c r="E168" s="974"/>
      <c r="F168" s="974"/>
      <c r="G168" s="974"/>
      <c r="H168" s="9"/>
      <c r="I168" s="9"/>
      <c r="J168" s="13"/>
      <c r="K168" s="9"/>
      <c r="L168" s="9"/>
      <c r="M168" s="9"/>
      <c r="N168" s="9"/>
      <c r="O168" s="9"/>
      <c r="P168" s="9"/>
      <c r="Q168" s="9"/>
      <c r="R168" s="9"/>
      <c r="S168" s="9"/>
      <c r="T168" s="9"/>
      <c r="U168" s="9"/>
      <c r="V168" s="152"/>
      <c r="W168" s="168"/>
      <c r="AE168" s="89"/>
      <c r="AH168" s="210"/>
      <c r="AI168" s="210"/>
      <c r="AJ168" s="175"/>
    </row>
    <row r="169" spans="1:36" ht="11.25" customHeight="1" x14ac:dyDescent="0.2">
      <c r="A169" s="158"/>
      <c r="B169" s="973" t="s">
        <v>20</v>
      </c>
      <c r="C169" s="930"/>
      <c r="D169" s="930"/>
      <c r="E169" s="930"/>
      <c r="F169" s="930"/>
      <c r="G169" s="930"/>
      <c r="H169" s="930"/>
      <c r="I169" s="9"/>
      <c r="J169" s="13"/>
      <c r="K169" s="9"/>
      <c r="L169" s="9"/>
      <c r="M169" s="9"/>
      <c r="N169" s="9"/>
      <c r="O169" s="9"/>
      <c r="P169" s="9"/>
      <c r="Q169" s="9"/>
      <c r="R169" s="9"/>
      <c r="S169" s="9"/>
      <c r="T169" s="9"/>
      <c r="U169" s="9"/>
      <c r="V169" s="152"/>
      <c r="W169" s="168"/>
      <c r="AE169" s="89"/>
      <c r="AH169" s="210"/>
      <c r="AI169" s="210"/>
      <c r="AJ169" s="175"/>
    </row>
    <row r="170" spans="1:36" ht="11.25" customHeight="1" x14ac:dyDescent="0.2">
      <c r="A170" s="158"/>
      <c r="B170" s="930"/>
      <c r="C170" s="930"/>
      <c r="D170" s="930"/>
      <c r="E170" s="930"/>
      <c r="F170" s="930"/>
      <c r="G170" s="930"/>
      <c r="H170" s="930"/>
      <c r="I170" s="9"/>
      <c r="J170" s="13"/>
      <c r="K170" s="9"/>
      <c r="L170" s="9"/>
      <c r="M170" s="9"/>
      <c r="N170" s="9"/>
      <c r="O170" s="9"/>
      <c r="P170" s="9"/>
      <c r="Q170" s="9"/>
      <c r="R170" s="9"/>
      <c r="S170" s="9"/>
      <c r="T170" s="9"/>
      <c r="U170" s="9"/>
      <c r="V170" s="152"/>
      <c r="W170" s="168"/>
      <c r="AE170" s="89"/>
      <c r="AH170" s="210"/>
      <c r="AI170" s="210"/>
      <c r="AJ170" s="175"/>
    </row>
    <row r="171" spans="1:36" ht="11.25" customHeight="1" x14ac:dyDescent="0.2">
      <c r="A171" s="158"/>
      <c r="B171" s="973" t="s">
        <v>21</v>
      </c>
      <c r="C171" s="974"/>
      <c r="D171" s="974"/>
      <c r="E171" s="974"/>
      <c r="F171" s="974"/>
      <c r="G171" s="974"/>
      <c r="H171" s="9"/>
      <c r="I171" s="9"/>
      <c r="J171" s="13"/>
      <c r="K171" s="9"/>
      <c r="L171" s="9"/>
      <c r="M171" s="9"/>
      <c r="N171" s="9"/>
      <c r="O171" s="9"/>
      <c r="P171" s="9"/>
      <c r="Q171" s="9"/>
      <c r="R171" s="9"/>
      <c r="S171" s="9"/>
      <c r="T171" s="9"/>
      <c r="U171" s="9"/>
      <c r="V171" s="152"/>
      <c r="W171" s="168"/>
      <c r="AE171" s="89"/>
      <c r="AH171" s="210"/>
      <c r="AI171" s="210"/>
      <c r="AJ171" s="175"/>
    </row>
    <row r="172" spans="1:36" ht="11.25" customHeight="1" x14ac:dyDescent="0.2">
      <c r="A172" s="158"/>
      <c r="B172" s="973"/>
      <c r="C172" s="974"/>
      <c r="D172" s="974"/>
      <c r="E172" s="974"/>
      <c r="F172" s="974"/>
      <c r="G172" s="974"/>
      <c r="H172" s="9"/>
      <c r="I172" s="9"/>
      <c r="J172" s="13"/>
      <c r="K172" s="9"/>
      <c r="L172" s="9"/>
      <c r="M172" s="9"/>
      <c r="N172" s="9"/>
      <c r="O172" s="9"/>
      <c r="P172" s="9"/>
      <c r="Q172" s="9"/>
      <c r="R172" s="9"/>
      <c r="S172" s="9"/>
      <c r="T172" s="9"/>
      <c r="U172" s="9"/>
      <c r="V172" s="152"/>
      <c r="W172" s="168"/>
      <c r="AE172" s="89"/>
      <c r="AH172" s="210"/>
      <c r="AI172" s="210"/>
      <c r="AJ172" s="175"/>
    </row>
    <row r="173" spans="1:36" ht="11.25" customHeight="1" x14ac:dyDescent="0.2">
      <c r="A173" s="158"/>
      <c r="B173" s="973" t="s">
        <v>27</v>
      </c>
      <c r="C173" s="974"/>
      <c r="D173" s="974"/>
      <c r="E173" s="974"/>
      <c r="F173" s="974"/>
      <c r="G173" s="974"/>
      <c r="H173" s="9"/>
      <c r="I173" s="9"/>
      <c r="J173" s="13"/>
      <c r="K173" s="9"/>
      <c r="L173" s="9"/>
      <c r="M173" s="9"/>
      <c r="N173" s="9"/>
      <c r="O173" s="9"/>
      <c r="P173" s="9"/>
      <c r="Q173" s="9"/>
      <c r="R173" s="9"/>
      <c r="S173" s="9"/>
      <c r="T173" s="9"/>
      <c r="U173" s="9"/>
      <c r="V173" s="152"/>
      <c r="W173" s="168"/>
      <c r="AE173" s="89"/>
      <c r="AH173" s="210"/>
      <c r="AI173" s="210"/>
      <c r="AJ173" s="175"/>
    </row>
    <row r="174" spans="1:36" ht="11.25" customHeight="1" x14ac:dyDescent="0.2">
      <c r="A174" s="158"/>
      <c r="B174" s="973"/>
      <c r="C174" s="974"/>
      <c r="D174" s="974"/>
      <c r="E174" s="974"/>
      <c r="F174" s="974"/>
      <c r="G174" s="974"/>
      <c r="H174" s="9"/>
      <c r="I174" s="9"/>
      <c r="J174" s="13"/>
      <c r="K174" s="9"/>
      <c r="L174" s="9"/>
      <c r="M174" s="9"/>
      <c r="N174" s="9"/>
      <c r="O174" s="9"/>
      <c r="P174" s="9"/>
      <c r="Q174" s="9"/>
      <c r="R174" s="9"/>
      <c r="S174" s="9"/>
      <c r="T174" s="9"/>
      <c r="U174" s="9"/>
      <c r="V174" s="152"/>
      <c r="W174" s="168"/>
      <c r="AE174" s="89"/>
      <c r="AH174" s="210"/>
      <c r="AI174" s="210"/>
      <c r="AJ174" s="175"/>
    </row>
    <row r="175" spans="1:36" ht="11.25" customHeight="1" x14ac:dyDescent="0.2">
      <c r="A175" s="158"/>
      <c r="B175" s="973" t="s">
        <v>22</v>
      </c>
      <c r="C175" s="974"/>
      <c r="D175" s="974"/>
      <c r="E175" s="974"/>
      <c r="F175" s="974"/>
      <c r="G175" s="974"/>
      <c r="H175" s="9"/>
      <c r="I175" s="9"/>
      <c r="J175" s="13"/>
      <c r="K175" s="9"/>
      <c r="L175" s="9"/>
      <c r="M175" s="9"/>
      <c r="N175" s="9"/>
      <c r="O175" s="9"/>
      <c r="P175" s="9"/>
      <c r="Q175" s="9"/>
      <c r="R175" s="9"/>
      <c r="S175" s="9"/>
      <c r="T175" s="9"/>
      <c r="U175" s="9"/>
      <c r="V175" s="152"/>
      <c r="W175" s="168"/>
      <c r="AE175" s="89"/>
      <c r="AH175" s="210"/>
      <c r="AI175" s="210"/>
      <c r="AJ175" s="175"/>
    </row>
    <row r="176" spans="1:36" ht="11.25" customHeight="1" x14ac:dyDescent="0.2">
      <c r="A176" s="158"/>
      <c r="B176" s="973"/>
      <c r="C176" s="974"/>
      <c r="D176" s="974"/>
      <c r="E176" s="974"/>
      <c r="F176" s="974"/>
      <c r="G176" s="974"/>
      <c r="H176" s="9"/>
      <c r="I176" s="9"/>
      <c r="J176" s="13"/>
      <c r="K176" s="9"/>
      <c r="L176" s="9"/>
      <c r="M176" s="9"/>
      <c r="N176" s="9"/>
      <c r="O176" s="9"/>
      <c r="P176" s="9"/>
      <c r="Q176" s="9"/>
      <c r="R176" s="9"/>
      <c r="S176" s="9"/>
      <c r="T176" s="9"/>
      <c r="U176" s="9"/>
      <c r="V176" s="152"/>
      <c r="W176" s="168"/>
      <c r="AE176" s="89"/>
      <c r="AH176" s="210"/>
      <c r="AI176" s="210"/>
      <c r="AJ176" s="175"/>
    </row>
    <row r="177" spans="1:45" ht="11.25" customHeight="1" x14ac:dyDescent="0.2">
      <c r="A177" s="158"/>
      <c r="B177" s="973" t="s">
        <v>874</v>
      </c>
      <c r="C177" s="975"/>
      <c r="D177" s="975"/>
      <c r="E177" s="975"/>
      <c r="F177" s="975"/>
      <c r="G177" s="975"/>
      <c r="H177" s="9"/>
      <c r="I177" s="9"/>
      <c r="J177" s="13"/>
      <c r="K177" s="9"/>
      <c r="L177" s="9"/>
      <c r="M177" s="9"/>
      <c r="N177" s="9"/>
      <c r="O177" s="9"/>
      <c r="P177" s="9"/>
      <c r="Q177" s="9"/>
      <c r="R177" s="9"/>
      <c r="S177" s="9"/>
      <c r="T177" s="9"/>
      <c r="U177" s="9"/>
      <c r="V177" s="152"/>
      <c r="W177" s="168"/>
      <c r="AE177" s="89"/>
      <c r="AH177" s="210"/>
      <c r="AI177" s="210"/>
      <c r="AJ177" s="175"/>
    </row>
    <row r="178" spans="1:45" ht="11.25" customHeight="1" x14ac:dyDescent="0.2">
      <c r="A178" s="158"/>
      <c r="B178" s="973"/>
      <c r="C178" s="975"/>
      <c r="D178" s="975"/>
      <c r="E178" s="975"/>
      <c r="F178" s="975"/>
      <c r="G178" s="975"/>
      <c r="H178" s="9"/>
      <c r="I178" s="9"/>
      <c r="J178" s="13"/>
      <c r="K178" s="9"/>
      <c r="L178" s="9"/>
      <c r="M178" s="9"/>
      <c r="N178" s="9"/>
      <c r="O178" s="9"/>
      <c r="P178" s="9"/>
      <c r="Q178" s="9"/>
      <c r="R178" s="9"/>
      <c r="S178" s="9"/>
      <c r="T178" s="9"/>
      <c r="U178" s="9"/>
      <c r="V178" s="152"/>
      <c r="W178" s="168"/>
      <c r="AE178" s="89"/>
      <c r="AH178" s="210"/>
      <c r="AI178" s="210"/>
      <c r="AJ178" s="175"/>
    </row>
    <row r="179" spans="1:45" ht="11.25" customHeight="1" x14ac:dyDescent="0.2">
      <c r="A179" s="158"/>
      <c r="B179" s="973"/>
      <c r="C179" s="973"/>
      <c r="D179" s="973"/>
      <c r="E179" s="973"/>
      <c r="F179" s="975"/>
      <c r="G179" s="975"/>
      <c r="H179" s="975"/>
      <c r="I179" s="9"/>
      <c r="J179" s="13"/>
      <c r="K179" s="9"/>
      <c r="L179" s="9"/>
      <c r="M179" s="9"/>
      <c r="N179" s="9"/>
      <c r="O179" s="9"/>
      <c r="P179" s="9"/>
      <c r="Q179" s="9"/>
      <c r="R179" s="9"/>
      <c r="S179" s="9"/>
      <c r="T179" s="9"/>
      <c r="U179" s="9"/>
      <c r="V179" s="152"/>
      <c r="W179" s="168"/>
      <c r="X179" s="80"/>
      <c r="Y179" s="80"/>
      <c r="AE179" s="89"/>
      <c r="AH179" s="210"/>
      <c r="AI179" s="210"/>
      <c r="AJ179" s="175"/>
    </row>
    <row r="180" spans="1:45" ht="11.25" customHeight="1" x14ac:dyDescent="0.2">
      <c r="A180" s="158"/>
      <c r="B180" s="973"/>
      <c r="C180" s="973"/>
      <c r="D180" s="973"/>
      <c r="E180" s="973"/>
      <c r="F180" s="975"/>
      <c r="G180" s="975"/>
      <c r="H180" s="975"/>
      <c r="I180" s="9"/>
      <c r="J180" s="13"/>
      <c r="K180" s="9"/>
      <c r="L180" s="9"/>
      <c r="M180" s="9"/>
      <c r="N180" s="9"/>
      <c r="O180" s="9"/>
      <c r="P180" s="9"/>
      <c r="Q180" s="9"/>
      <c r="R180" s="9"/>
      <c r="S180" s="9"/>
      <c r="T180" s="9"/>
      <c r="U180" s="9"/>
      <c r="V180" s="152"/>
      <c r="W180" s="168"/>
      <c r="AE180" s="89"/>
      <c r="AH180" s="210"/>
      <c r="AI180" s="210"/>
      <c r="AJ180" s="175"/>
    </row>
    <row r="181" spans="1:45" ht="18.75" customHeight="1" x14ac:dyDescent="0.2">
      <c r="A181" s="159"/>
      <c r="B181" s="160"/>
      <c r="C181" s="160"/>
      <c r="D181" s="160"/>
      <c r="E181" s="160"/>
      <c r="F181" s="160"/>
      <c r="G181" s="160"/>
      <c r="H181" s="160"/>
      <c r="I181" s="160"/>
      <c r="J181" s="161"/>
      <c r="K181" s="160"/>
      <c r="L181" s="160"/>
      <c r="M181" s="160"/>
      <c r="N181" s="160"/>
      <c r="O181" s="160"/>
      <c r="P181" s="160"/>
      <c r="Q181" s="160"/>
      <c r="R181" s="160"/>
      <c r="S181" s="160"/>
      <c r="T181" s="160"/>
      <c r="U181" s="160"/>
      <c r="V181" s="156"/>
      <c r="W181" s="180"/>
      <c r="X181" s="227"/>
      <c r="Y181" s="227"/>
      <c r="Z181" s="227"/>
      <c r="AA181" s="227"/>
      <c r="AB181" s="227"/>
      <c r="AC181" s="227"/>
      <c r="AD181" s="227"/>
      <c r="AE181" s="227"/>
      <c r="AF181" s="227"/>
      <c r="AG181" s="227"/>
      <c r="AH181" s="227"/>
      <c r="AI181" s="648"/>
      <c r="AJ181" s="94"/>
    </row>
    <row r="182" spans="1:45" s="87" customFormat="1" ht="11.25" customHeight="1" x14ac:dyDescent="0.2">
      <c r="A182" s="80"/>
      <c r="B182" s="80"/>
      <c r="C182" s="80"/>
      <c r="D182" s="80"/>
      <c r="E182" s="80"/>
      <c r="F182" s="80"/>
      <c r="G182" s="80"/>
      <c r="H182" s="80"/>
      <c r="I182" s="80"/>
      <c r="J182" s="106"/>
      <c r="K182" s="80"/>
      <c r="L182" s="80"/>
      <c r="M182" s="80"/>
      <c r="N182" s="80"/>
      <c r="O182" s="80"/>
      <c r="P182" s="80"/>
      <c r="Q182" s="80"/>
      <c r="R182" s="80"/>
      <c r="S182" s="80"/>
      <c r="T182" s="80"/>
      <c r="U182" s="80"/>
      <c r="V182" s="181"/>
      <c r="X182" s="88"/>
      <c r="Y182" s="88"/>
      <c r="Z182" s="88"/>
      <c r="AA182" s="88"/>
      <c r="AB182" s="88"/>
      <c r="AC182" s="88"/>
      <c r="AD182" s="88"/>
      <c r="AE182" s="88"/>
      <c r="AF182" s="88"/>
      <c r="AG182" s="88"/>
      <c r="AH182" s="88"/>
      <c r="AI182" s="80"/>
      <c r="AJ182" s="80"/>
      <c r="AK182" s="80"/>
      <c r="AL182" s="80"/>
      <c r="AM182" s="80"/>
      <c r="AN182" s="80"/>
      <c r="AO182" s="80"/>
      <c r="AP182" s="80"/>
      <c r="AQ182" s="80"/>
      <c r="AR182" s="80"/>
      <c r="AS182" s="80"/>
    </row>
    <row r="308" spans="37:37" ht="11.25" customHeight="1" x14ac:dyDescent="0.2">
      <c r="AK308" s="80" t="b">
        <v>1</v>
      </c>
    </row>
  </sheetData>
  <mergeCells count="42">
    <mergeCell ref="B179:H180"/>
    <mergeCell ref="B169:H170"/>
    <mergeCell ref="B171:G172"/>
    <mergeCell ref="B173:G174"/>
    <mergeCell ref="B175:G176"/>
    <mergeCell ref="B177:G178"/>
    <mergeCell ref="B159:G160"/>
    <mergeCell ref="B161:G162"/>
    <mergeCell ref="B163:G164"/>
    <mergeCell ref="B165:G166"/>
    <mergeCell ref="B167:G168"/>
    <mergeCell ref="B151:F152"/>
    <mergeCell ref="B153:F154"/>
    <mergeCell ref="B155:F156"/>
    <mergeCell ref="B157:G158"/>
    <mergeCell ref="AA39:AA40"/>
    <mergeCell ref="A105:U105"/>
    <mergeCell ref="A139:U139"/>
    <mergeCell ref="A140:U140"/>
    <mergeCell ref="B143:B144"/>
    <mergeCell ref="B145:G146"/>
    <mergeCell ref="B147:G148"/>
    <mergeCell ref="B149:G150"/>
    <mergeCell ref="AB39:AB40"/>
    <mergeCell ref="A69:U69"/>
    <mergeCell ref="A70:U70"/>
    <mergeCell ref="A104:U104"/>
    <mergeCell ref="M64:P64"/>
    <mergeCell ref="Q64:R64"/>
    <mergeCell ref="S64:T64"/>
    <mergeCell ref="B5:N6"/>
    <mergeCell ref="D7:H7"/>
    <mergeCell ref="I7:I8"/>
    <mergeCell ref="K7:O7"/>
    <mergeCell ref="P7:P8"/>
    <mergeCell ref="B7:B8"/>
    <mergeCell ref="R7:T7"/>
    <mergeCell ref="M63:O63"/>
    <mergeCell ref="Q63:T63"/>
    <mergeCell ref="B34:T34"/>
    <mergeCell ref="A36:U36"/>
    <mergeCell ref="A37:U37"/>
  </mergeCells>
  <conditionalFormatting sqref="X69:AB69 Z8:AD8">
    <cfRule type="cellIs" dxfId="226" priority="20" stopIfTrue="1" operator="equal">
      <formula>0</formula>
    </cfRule>
  </conditionalFormatting>
  <conditionalFormatting sqref="B9:B30 K9:P30 B50:C65 B110:B131 D110:H131">
    <cfRule type="containsErrors" dxfId="225" priority="22">
      <formula>ISERROR(B9)</formula>
    </cfRule>
  </conditionalFormatting>
  <conditionalFormatting sqref="R9:T32">
    <cfRule type="containsErrors" dxfId="224" priority="16">
      <formula>ISERROR(R9)</formula>
    </cfRule>
  </conditionalFormatting>
  <conditionalFormatting sqref="A110:A131">
    <cfRule type="cellIs" dxfId="223" priority="14" operator="equal">
      <formula>0</formula>
    </cfRule>
  </conditionalFormatting>
  <conditionalFormatting sqref="B9:B30 K9:P30 B50:C65 R9:T30 B110:B131 D110:H131">
    <cfRule type="expression" dxfId="222" priority="21">
      <formula>$B9=$Y$4</formula>
    </cfRule>
  </conditionalFormatting>
  <conditionalFormatting sqref="A1:A69 A71:A104 A106:A139 A141:A1048576">
    <cfRule type="cellIs" dxfId="221" priority="15" operator="equal">
      <formula>0</formula>
    </cfRule>
    <cfRule type="containsErrors" dxfId="220" priority="23">
      <formula>ISERROR(A1)</formula>
    </cfRule>
  </conditionalFormatting>
  <conditionalFormatting sqref="D9:H30">
    <cfRule type="containsErrors" dxfId="219" priority="12">
      <formula>ISERROR(D9)</formula>
    </cfRule>
  </conditionalFormatting>
  <conditionalFormatting sqref="D9:H30">
    <cfRule type="expression" dxfId="218" priority="11">
      <formula>$B9=$Y$4</formula>
    </cfRule>
  </conditionalFormatting>
  <conditionalFormatting sqref="AF9:AG27">
    <cfRule type="containsErrors" dxfId="217" priority="10">
      <formula>ISERROR(AF9)</formula>
    </cfRule>
  </conditionalFormatting>
  <conditionalFormatting sqref="AF9:AG20 AG10:AG27">
    <cfRule type="expression" dxfId="216" priority="9">
      <formula>$B9=$W$4</formula>
    </cfRule>
  </conditionalFormatting>
  <conditionalFormatting sqref="I9:I30">
    <cfRule type="containsErrors" dxfId="215" priority="8">
      <formula>ISERROR(I9)</formula>
    </cfRule>
  </conditionalFormatting>
  <conditionalFormatting sqref="I9:I30">
    <cfRule type="expression" dxfId="214" priority="7">
      <formula>$B9=$Y$4</formula>
    </cfRule>
  </conditionalFormatting>
  <conditionalFormatting sqref="A70">
    <cfRule type="cellIs" dxfId="213" priority="5" operator="equal">
      <formula>0</formula>
    </cfRule>
    <cfRule type="containsErrors" dxfId="212" priority="6">
      <formula>ISERROR(A70)</formula>
    </cfRule>
  </conditionalFormatting>
  <conditionalFormatting sqref="A105">
    <cfRule type="cellIs" dxfId="211" priority="3" operator="equal">
      <formula>0</formula>
    </cfRule>
    <cfRule type="containsErrors" dxfId="210" priority="4">
      <formula>ISERROR(A105)</formula>
    </cfRule>
  </conditionalFormatting>
  <conditionalFormatting sqref="A140">
    <cfRule type="cellIs" dxfId="209" priority="1" operator="equal">
      <formula>0</formula>
    </cfRule>
    <cfRule type="containsErrors" dxfId="208" priority="2">
      <formula>ISERROR(A140)</formula>
    </cfRule>
  </conditionalFormatting>
  <hyperlinks>
    <hyperlink ref="B145:B146" location="Coverage!A1" display="Participating LA's"/>
    <hyperlink ref="B147:B148" location="IDACI!A1" display="IDACI"/>
    <hyperlink ref="B177:B178" location="Adoption!A1" display="Adoption"/>
    <hyperlink ref="B175:B176" location="'Looked After Children'!A1" display="Looked After Children"/>
    <hyperlink ref="B173:B174" location="'Court Applications'!A1" display="Court Applications"/>
    <hyperlink ref="B171:B172" location="'Child Protection Plans'!A1" display="Child Protection Plans"/>
    <hyperlink ref="B169:B170" location="'Initial CP Conferences'!A1" display="Initial Child Protection Conferences"/>
    <hyperlink ref="B167:B168" location="'Section 47 Enquiries'!A1" display="Section 47 Enquiries"/>
    <hyperlink ref="B165:B166" location="'Children in Need'!A1" display="Children in Need"/>
    <hyperlink ref="B163:B164" location="Assessments!A1" display="Assessments"/>
    <hyperlink ref="B161:B162" location="'Re-referrals'!A1" display="Re-referrals"/>
    <hyperlink ref="B159:B160" location="Referral_Source!A1" display="Referral Source"/>
    <hyperlink ref="B157:B158" location="Referrals!A1" display="Referrals"/>
    <hyperlink ref="B149:B150" location="Population!A1" display="Population"/>
    <hyperlink ref="B147:G148" location="IDACI!A1" display="IDACI"/>
    <hyperlink ref="B151:B152" location="CAF_EHA!A1" display="CAF (EHA's)"/>
    <hyperlink ref="B155:B156" location="CAF_EHA!A1" display="CAF (EHA's)"/>
    <hyperlink ref="B153:B154" location="CAF_EHA!A1" display="CAF (EHA's)"/>
    <hyperlink ref="B151:F152" location="EH_Referrals!A1" display="Early Help Referrals"/>
    <hyperlink ref="B153:F154" location="EH_Assessments!A1" display="Early Help Assessments"/>
    <hyperlink ref="B155:F156" location="EH_Clients!A1" display="Early Help Clients"/>
    <hyperlink ref="B177:G178" location="Adoption!A1" display="Permanenc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7" max="18" man="1"/>
    <brk id="70" max="20" man="1"/>
    <brk id="105" max="20" man="1"/>
  </rowBreaks>
  <ignoredErrors>
    <ignoredError sqref="A9:A30 A110:A133"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macro="[0]!CheckBox1_Click" altText="">
                <anchor>
                  <from>
                    <xdr:col>22</xdr:col>
                    <xdr:colOff>66675</xdr:colOff>
                    <xdr:row>38</xdr:row>
                    <xdr:rowOff>85725</xdr:rowOff>
                  </from>
                  <to>
                    <xdr:col>35</xdr:col>
                    <xdr:colOff>47625</xdr:colOff>
                    <xdr:row>40</xdr:row>
                    <xdr:rowOff>28575</xdr:rowOff>
                  </to>
                </anchor>
              </controlPr>
            </control>
          </mc:Choice>
        </mc:AlternateContent>
        <mc:AlternateContent xmlns:mc="http://schemas.openxmlformats.org/markup-compatibility/2006">
          <mc:Choice Requires="x14">
            <control shapeId="86018" r:id="rId5" name="Check Box 2">
              <controlPr defaultSize="0" autoFill="0" autoLine="0" autoPict="0" macro="[0]!CheckBox1_Click" altText="">
                <anchor>
                  <from>
                    <xdr:col>22</xdr:col>
                    <xdr:colOff>66675</xdr:colOff>
                    <xdr:row>39</xdr:row>
                    <xdr:rowOff>171450</xdr:rowOff>
                  </from>
                  <to>
                    <xdr:col>35</xdr:col>
                    <xdr:colOff>47625</xdr:colOff>
                    <xdr:row>41</xdr:row>
                    <xdr:rowOff>28575</xdr:rowOff>
                  </to>
                </anchor>
              </controlPr>
            </control>
          </mc:Choice>
        </mc:AlternateContent>
        <mc:AlternateContent xmlns:mc="http://schemas.openxmlformats.org/markup-compatibility/2006">
          <mc:Choice Requires="x14">
            <control shapeId="86019" r:id="rId6" name="Check Box 3">
              <controlPr defaultSize="0" autoFill="0" autoLine="0" autoPict="0" macro="[0]!CheckBox1_Click" altText="">
                <anchor>
                  <from>
                    <xdr:col>22</xdr:col>
                    <xdr:colOff>66675</xdr:colOff>
                    <xdr:row>40</xdr:row>
                    <xdr:rowOff>171450</xdr:rowOff>
                  </from>
                  <to>
                    <xdr:col>35</xdr:col>
                    <xdr:colOff>47625</xdr:colOff>
                    <xdr:row>42</xdr:row>
                    <xdr:rowOff>28575</xdr:rowOff>
                  </to>
                </anchor>
              </controlPr>
            </control>
          </mc:Choice>
        </mc:AlternateContent>
        <mc:AlternateContent xmlns:mc="http://schemas.openxmlformats.org/markup-compatibility/2006">
          <mc:Choice Requires="x14">
            <control shapeId="86020" r:id="rId7" name="Check Box 4">
              <controlPr defaultSize="0" autoFill="0" autoLine="0" autoPict="0" macro="[0]!CheckBox1_Click" altText="">
                <anchor>
                  <from>
                    <xdr:col>22</xdr:col>
                    <xdr:colOff>66675</xdr:colOff>
                    <xdr:row>41</xdr:row>
                    <xdr:rowOff>171450</xdr:rowOff>
                  </from>
                  <to>
                    <xdr:col>35</xdr:col>
                    <xdr:colOff>47625</xdr:colOff>
                    <xdr:row>43</xdr:row>
                    <xdr:rowOff>28575</xdr:rowOff>
                  </to>
                </anchor>
              </controlPr>
            </control>
          </mc:Choice>
        </mc:AlternateContent>
        <mc:AlternateContent xmlns:mc="http://schemas.openxmlformats.org/markup-compatibility/2006">
          <mc:Choice Requires="x14">
            <control shapeId="86021" r:id="rId8" name="Check Box 5">
              <controlPr defaultSize="0" autoFill="0" autoLine="0" autoPict="0" macro="[0]!CheckBox1_Click" altText="">
                <anchor>
                  <from>
                    <xdr:col>22</xdr:col>
                    <xdr:colOff>66675</xdr:colOff>
                    <xdr:row>42</xdr:row>
                    <xdr:rowOff>171450</xdr:rowOff>
                  </from>
                  <to>
                    <xdr:col>35</xdr:col>
                    <xdr:colOff>47625</xdr:colOff>
                    <xdr:row>44</xdr:row>
                    <xdr:rowOff>28575</xdr:rowOff>
                  </to>
                </anchor>
              </controlPr>
            </control>
          </mc:Choice>
        </mc:AlternateContent>
        <mc:AlternateContent xmlns:mc="http://schemas.openxmlformats.org/markup-compatibility/2006">
          <mc:Choice Requires="x14">
            <control shapeId="86022" r:id="rId9" name="Check Box 6">
              <controlPr defaultSize="0" autoFill="0" autoLine="0" autoPict="0" macro="[0]!CheckBox1_Click" altText="">
                <anchor>
                  <from>
                    <xdr:col>22</xdr:col>
                    <xdr:colOff>66675</xdr:colOff>
                    <xdr:row>43</xdr:row>
                    <xdr:rowOff>171450</xdr:rowOff>
                  </from>
                  <to>
                    <xdr:col>35</xdr:col>
                    <xdr:colOff>47625</xdr:colOff>
                    <xdr:row>45</xdr:row>
                    <xdr:rowOff>28575</xdr:rowOff>
                  </to>
                </anchor>
              </controlPr>
            </control>
          </mc:Choice>
        </mc:AlternateContent>
        <mc:AlternateContent xmlns:mc="http://schemas.openxmlformats.org/markup-compatibility/2006">
          <mc:Choice Requires="x14">
            <control shapeId="86023" r:id="rId10" name="Check Box 7">
              <controlPr defaultSize="0" autoFill="0" autoLine="0" autoPict="0" macro="[0]!CheckBox1_Click" altText="">
                <anchor>
                  <from>
                    <xdr:col>22</xdr:col>
                    <xdr:colOff>66675</xdr:colOff>
                    <xdr:row>44</xdr:row>
                    <xdr:rowOff>171450</xdr:rowOff>
                  </from>
                  <to>
                    <xdr:col>35</xdr:col>
                    <xdr:colOff>47625</xdr:colOff>
                    <xdr:row>46</xdr:row>
                    <xdr:rowOff>28575</xdr:rowOff>
                  </to>
                </anchor>
              </controlPr>
            </control>
          </mc:Choice>
        </mc:AlternateContent>
        <mc:AlternateContent xmlns:mc="http://schemas.openxmlformats.org/markup-compatibility/2006">
          <mc:Choice Requires="x14">
            <control shapeId="86024" r:id="rId11" name="Check Box 8">
              <controlPr defaultSize="0" autoFill="0" autoLine="0" autoPict="0" macro="[0]!CheckBox1_Click" altText="">
                <anchor>
                  <from>
                    <xdr:col>22</xdr:col>
                    <xdr:colOff>66675</xdr:colOff>
                    <xdr:row>45</xdr:row>
                    <xdr:rowOff>171450</xdr:rowOff>
                  </from>
                  <to>
                    <xdr:col>35</xdr:col>
                    <xdr:colOff>47625</xdr:colOff>
                    <xdr:row>47</xdr:row>
                    <xdr:rowOff>28575</xdr:rowOff>
                  </to>
                </anchor>
              </controlPr>
            </control>
          </mc:Choice>
        </mc:AlternateContent>
        <mc:AlternateContent xmlns:mc="http://schemas.openxmlformats.org/markup-compatibility/2006">
          <mc:Choice Requires="x14">
            <control shapeId="86025" r:id="rId12" name="Check Box 9">
              <controlPr defaultSize="0" autoFill="0" autoLine="0" autoPict="0" macro="[0]!CheckBox1_Click" altText="">
                <anchor>
                  <from>
                    <xdr:col>22</xdr:col>
                    <xdr:colOff>66675</xdr:colOff>
                    <xdr:row>46</xdr:row>
                    <xdr:rowOff>171450</xdr:rowOff>
                  </from>
                  <to>
                    <xdr:col>35</xdr:col>
                    <xdr:colOff>47625</xdr:colOff>
                    <xdr:row>48</xdr:row>
                    <xdr:rowOff>28575</xdr:rowOff>
                  </to>
                </anchor>
              </controlPr>
            </control>
          </mc:Choice>
        </mc:AlternateContent>
        <mc:AlternateContent xmlns:mc="http://schemas.openxmlformats.org/markup-compatibility/2006">
          <mc:Choice Requires="x14">
            <control shapeId="86026" r:id="rId13" name="Check Box 10">
              <controlPr defaultSize="0" autoFill="0" autoLine="0" autoPict="0" macro="[0]!CheckBox1_Click" altText="">
                <anchor>
                  <from>
                    <xdr:col>22</xdr:col>
                    <xdr:colOff>66675</xdr:colOff>
                    <xdr:row>47</xdr:row>
                    <xdr:rowOff>171450</xdr:rowOff>
                  </from>
                  <to>
                    <xdr:col>35</xdr:col>
                    <xdr:colOff>47625</xdr:colOff>
                    <xdr:row>49</xdr:row>
                    <xdr:rowOff>28575</xdr:rowOff>
                  </to>
                </anchor>
              </controlPr>
            </control>
          </mc:Choice>
        </mc:AlternateContent>
        <mc:AlternateContent xmlns:mc="http://schemas.openxmlformats.org/markup-compatibility/2006">
          <mc:Choice Requires="x14">
            <control shapeId="86027" r:id="rId14" name="Check Box 11">
              <controlPr defaultSize="0" autoFill="0" autoLine="0" autoPict="0" macro="[0]!CheckBox1_Click" altText="">
                <anchor>
                  <from>
                    <xdr:col>22</xdr:col>
                    <xdr:colOff>66675</xdr:colOff>
                    <xdr:row>48</xdr:row>
                    <xdr:rowOff>171450</xdr:rowOff>
                  </from>
                  <to>
                    <xdr:col>35</xdr:col>
                    <xdr:colOff>47625</xdr:colOff>
                    <xdr:row>50</xdr:row>
                    <xdr:rowOff>28575</xdr:rowOff>
                  </to>
                </anchor>
              </controlPr>
            </control>
          </mc:Choice>
        </mc:AlternateContent>
        <mc:AlternateContent xmlns:mc="http://schemas.openxmlformats.org/markup-compatibility/2006">
          <mc:Choice Requires="x14">
            <control shapeId="86028" r:id="rId15" name="Check Box 12">
              <controlPr defaultSize="0" autoFill="0" autoLine="0" autoPict="0" macro="[0]!CheckBox1_Click" altText="">
                <anchor>
                  <from>
                    <xdr:col>22</xdr:col>
                    <xdr:colOff>66675</xdr:colOff>
                    <xdr:row>49</xdr:row>
                    <xdr:rowOff>171450</xdr:rowOff>
                  </from>
                  <to>
                    <xdr:col>35</xdr:col>
                    <xdr:colOff>47625</xdr:colOff>
                    <xdr:row>51</xdr:row>
                    <xdr:rowOff>28575</xdr:rowOff>
                  </to>
                </anchor>
              </controlPr>
            </control>
          </mc:Choice>
        </mc:AlternateContent>
        <mc:AlternateContent xmlns:mc="http://schemas.openxmlformats.org/markup-compatibility/2006">
          <mc:Choice Requires="x14">
            <control shapeId="86029" r:id="rId16" name="Check Box 13">
              <controlPr defaultSize="0" autoFill="0" autoLine="0" autoPict="0" macro="[0]!CheckBox1_Click" altText="">
                <anchor>
                  <from>
                    <xdr:col>22</xdr:col>
                    <xdr:colOff>66675</xdr:colOff>
                    <xdr:row>50</xdr:row>
                    <xdr:rowOff>171450</xdr:rowOff>
                  </from>
                  <to>
                    <xdr:col>35</xdr:col>
                    <xdr:colOff>47625</xdr:colOff>
                    <xdr:row>52</xdr:row>
                    <xdr:rowOff>28575</xdr:rowOff>
                  </to>
                </anchor>
              </controlPr>
            </control>
          </mc:Choice>
        </mc:AlternateContent>
        <mc:AlternateContent xmlns:mc="http://schemas.openxmlformats.org/markup-compatibility/2006">
          <mc:Choice Requires="x14">
            <control shapeId="86030" r:id="rId17" name="Check Box 14">
              <controlPr defaultSize="0" autoFill="0" autoLine="0" autoPict="0" macro="[0]!CheckBox1_Click" altText="">
                <anchor>
                  <from>
                    <xdr:col>22</xdr:col>
                    <xdr:colOff>66675</xdr:colOff>
                    <xdr:row>51</xdr:row>
                    <xdr:rowOff>171450</xdr:rowOff>
                  </from>
                  <to>
                    <xdr:col>35</xdr:col>
                    <xdr:colOff>47625</xdr:colOff>
                    <xdr:row>53</xdr:row>
                    <xdr:rowOff>28575</xdr:rowOff>
                  </to>
                </anchor>
              </controlPr>
            </control>
          </mc:Choice>
        </mc:AlternateContent>
        <mc:AlternateContent xmlns:mc="http://schemas.openxmlformats.org/markup-compatibility/2006">
          <mc:Choice Requires="x14">
            <control shapeId="86031" r:id="rId18" name="Check Box 15">
              <controlPr defaultSize="0" autoFill="0" autoLine="0" autoPict="0" macro="[0]!CheckBox1_Click" altText="">
                <anchor>
                  <from>
                    <xdr:col>22</xdr:col>
                    <xdr:colOff>66675</xdr:colOff>
                    <xdr:row>52</xdr:row>
                    <xdr:rowOff>171450</xdr:rowOff>
                  </from>
                  <to>
                    <xdr:col>35</xdr:col>
                    <xdr:colOff>47625</xdr:colOff>
                    <xdr:row>54</xdr:row>
                    <xdr:rowOff>28575</xdr:rowOff>
                  </to>
                </anchor>
              </controlPr>
            </control>
          </mc:Choice>
        </mc:AlternateContent>
        <mc:AlternateContent xmlns:mc="http://schemas.openxmlformats.org/markup-compatibility/2006">
          <mc:Choice Requires="x14">
            <control shapeId="86032" r:id="rId19" name="Check Box 16">
              <controlPr defaultSize="0" autoFill="0" autoLine="0" autoPict="0" macro="[0]!CheckBox1_Click" altText="">
                <anchor>
                  <from>
                    <xdr:col>22</xdr:col>
                    <xdr:colOff>66675</xdr:colOff>
                    <xdr:row>53</xdr:row>
                    <xdr:rowOff>171450</xdr:rowOff>
                  </from>
                  <to>
                    <xdr:col>35</xdr:col>
                    <xdr:colOff>47625</xdr:colOff>
                    <xdr:row>55</xdr:row>
                    <xdr:rowOff>28575</xdr:rowOff>
                  </to>
                </anchor>
              </controlPr>
            </control>
          </mc:Choice>
        </mc:AlternateContent>
        <mc:AlternateContent xmlns:mc="http://schemas.openxmlformats.org/markup-compatibility/2006">
          <mc:Choice Requires="x14">
            <control shapeId="86033" r:id="rId20" name="Check Box 17">
              <controlPr defaultSize="0" autoFill="0" autoLine="0" autoPict="0" macro="[0]!CheckBox1_Click" altText="">
                <anchor>
                  <from>
                    <xdr:col>22</xdr:col>
                    <xdr:colOff>66675</xdr:colOff>
                    <xdr:row>56</xdr:row>
                    <xdr:rowOff>171450</xdr:rowOff>
                  </from>
                  <to>
                    <xdr:col>35</xdr:col>
                    <xdr:colOff>47625</xdr:colOff>
                    <xdr:row>58</xdr:row>
                    <xdr:rowOff>28575</xdr:rowOff>
                  </to>
                </anchor>
              </controlPr>
            </control>
          </mc:Choice>
        </mc:AlternateContent>
        <mc:AlternateContent xmlns:mc="http://schemas.openxmlformats.org/markup-compatibility/2006">
          <mc:Choice Requires="x14">
            <control shapeId="86034" r:id="rId21" name="Check Box 18">
              <controlPr defaultSize="0" autoFill="0" autoLine="0" autoPict="0" macro="[0]!CheckBox1_Click" altText="">
                <anchor>
                  <from>
                    <xdr:col>22</xdr:col>
                    <xdr:colOff>66675</xdr:colOff>
                    <xdr:row>57</xdr:row>
                    <xdr:rowOff>171450</xdr:rowOff>
                  </from>
                  <to>
                    <xdr:col>35</xdr:col>
                    <xdr:colOff>47625</xdr:colOff>
                    <xdr:row>59</xdr:row>
                    <xdr:rowOff>28575</xdr:rowOff>
                  </to>
                </anchor>
              </controlPr>
            </control>
          </mc:Choice>
        </mc:AlternateContent>
        <mc:AlternateContent xmlns:mc="http://schemas.openxmlformats.org/markup-compatibility/2006">
          <mc:Choice Requires="x14">
            <control shapeId="86035" r:id="rId22" name="Check Box 19">
              <controlPr defaultSize="0" autoFill="0" autoLine="0" autoPict="0" macro="[0]!CheckBox1_Click" altText="">
                <anchor>
                  <from>
                    <xdr:col>22</xdr:col>
                    <xdr:colOff>66675</xdr:colOff>
                    <xdr:row>58</xdr:row>
                    <xdr:rowOff>171450</xdr:rowOff>
                  </from>
                  <to>
                    <xdr:col>35</xdr:col>
                    <xdr:colOff>47625</xdr:colOff>
                    <xdr:row>60</xdr:row>
                    <xdr:rowOff>28575</xdr:rowOff>
                  </to>
                </anchor>
              </controlPr>
            </control>
          </mc:Choice>
        </mc:AlternateContent>
        <mc:AlternateContent xmlns:mc="http://schemas.openxmlformats.org/markup-compatibility/2006">
          <mc:Choice Requires="x14">
            <control shapeId="86036" r:id="rId23" name="Check Box 20">
              <controlPr defaultSize="0" autoFill="0" autoLine="0" autoPict="0" macro="[0]!CheckBox1_Click" altText="">
                <anchor>
                  <from>
                    <xdr:col>22</xdr:col>
                    <xdr:colOff>66675</xdr:colOff>
                    <xdr:row>59</xdr:row>
                    <xdr:rowOff>171450</xdr:rowOff>
                  </from>
                  <to>
                    <xdr:col>35</xdr:col>
                    <xdr:colOff>47625</xdr:colOff>
                    <xdr:row>61</xdr:row>
                    <xdr:rowOff>28575</xdr:rowOff>
                  </to>
                </anchor>
              </controlPr>
            </control>
          </mc:Choice>
        </mc:AlternateContent>
        <mc:AlternateContent xmlns:mc="http://schemas.openxmlformats.org/markup-compatibility/2006">
          <mc:Choice Requires="x14">
            <control shapeId="86037" r:id="rId24" name="Check Box 21">
              <controlPr defaultSize="0" autoFill="0" autoLine="0" autoPict="0" macro="[0]!CheckBox1_Click" altText="">
                <anchor>
                  <from>
                    <xdr:col>22</xdr:col>
                    <xdr:colOff>66675</xdr:colOff>
                    <xdr:row>60</xdr:row>
                    <xdr:rowOff>171450</xdr:rowOff>
                  </from>
                  <to>
                    <xdr:col>35</xdr:col>
                    <xdr:colOff>47625</xdr:colOff>
                    <xdr:row>62</xdr:row>
                    <xdr:rowOff>28575</xdr:rowOff>
                  </to>
                </anchor>
              </controlPr>
            </control>
          </mc:Choice>
        </mc:AlternateContent>
        <mc:AlternateContent xmlns:mc="http://schemas.openxmlformats.org/markup-compatibility/2006">
          <mc:Choice Requires="x14">
            <control shapeId="86038" r:id="rId25" name="Check Box 22">
              <controlPr defaultSize="0" autoFill="0" autoLine="0" autoPict="0" macro="[0]!CheckBox1_Click" altText="">
                <anchor>
                  <from>
                    <xdr:col>22</xdr:col>
                    <xdr:colOff>66675</xdr:colOff>
                    <xdr:row>54</xdr:row>
                    <xdr:rowOff>171450</xdr:rowOff>
                  </from>
                  <to>
                    <xdr:col>35</xdr:col>
                    <xdr:colOff>47625</xdr:colOff>
                    <xdr:row>56</xdr:row>
                    <xdr:rowOff>28575</xdr:rowOff>
                  </to>
                </anchor>
              </controlPr>
            </control>
          </mc:Choice>
        </mc:AlternateContent>
        <mc:AlternateContent xmlns:mc="http://schemas.openxmlformats.org/markup-compatibility/2006">
          <mc:Choice Requires="x14">
            <control shapeId="86039" r:id="rId26" name="Check Box 23">
              <controlPr defaultSize="0" autoFill="0" autoLine="0" autoPict="0" macro="[0]!CheckBox1_Click" altText="">
                <anchor>
                  <from>
                    <xdr:col>22</xdr:col>
                    <xdr:colOff>66675</xdr:colOff>
                    <xdr:row>55</xdr:row>
                    <xdr:rowOff>171450</xdr:rowOff>
                  </from>
                  <to>
                    <xdr:col>35</xdr:col>
                    <xdr:colOff>47625</xdr:colOff>
                    <xdr:row>57</xdr:row>
                    <xdr:rowOff>28575</xdr:rowOff>
                  </to>
                </anchor>
              </controlPr>
            </control>
          </mc:Choice>
        </mc:AlternateContent>
        <mc:AlternateContent xmlns:mc="http://schemas.openxmlformats.org/markup-compatibility/2006">
          <mc:Choice Requires="x14">
            <control shapeId="86040" r:id="rId27" name="Check Box 24">
              <controlPr defaultSize="0" autoFill="0" autoLine="0" autoPict="0" macro="[0]!CheckBox1_Click" altText="">
                <anchor>
                  <from>
                    <xdr:col>22</xdr:col>
                    <xdr:colOff>66675</xdr:colOff>
                    <xdr:row>61</xdr:row>
                    <xdr:rowOff>171450</xdr:rowOff>
                  </from>
                  <to>
                    <xdr:col>35</xdr:col>
                    <xdr:colOff>47625</xdr:colOff>
                    <xdr:row>63</xdr:row>
                    <xdr:rowOff>28575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dimension ref="A1:BL342"/>
  <sheetViews>
    <sheetView showRowColHeaders="0" zoomScaleNormal="100" workbookViewId="0"/>
  </sheetViews>
  <sheetFormatPr defaultColWidth="9.140625" defaultRowHeight="11.25" customHeight="1" x14ac:dyDescent="0.2"/>
  <cols>
    <col min="1" max="1" width="2.140625" style="80" customWidth="1"/>
    <col min="2" max="2" width="17.140625" style="80" customWidth="1"/>
    <col min="3" max="3" width="1.42578125" style="80" customWidth="1"/>
    <col min="4" max="8" width="7.42578125" style="80" customWidth="1"/>
    <col min="9" max="9" width="7.7109375" style="80" customWidth="1"/>
    <col min="10" max="10" width="1.42578125" style="106" customWidth="1"/>
    <col min="11" max="15" width="7.42578125" style="80" customWidth="1"/>
    <col min="16" max="16" width="7.140625" style="80" customWidth="1"/>
    <col min="17" max="17" width="1.42578125" style="80" customWidth="1"/>
    <col min="18" max="18" width="7.140625" style="80" customWidth="1"/>
    <col min="19" max="19" width="8.140625" style="80" customWidth="1"/>
    <col min="20" max="20" width="7.5703125" style="80" customWidth="1"/>
    <col min="21" max="21" width="2.140625" style="80" customWidth="1"/>
    <col min="22" max="22" width="6.42578125" style="87" customWidth="1"/>
    <col min="23" max="23" width="4.85546875" style="87" customWidth="1"/>
    <col min="24" max="24" width="17.85546875" style="88" hidden="1" customWidth="1"/>
    <col min="25" max="29" width="9.28515625" style="88" hidden="1" customWidth="1"/>
    <col min="30" max="30" width="8.5703125" style="88" hidden="1" customWidth="1"/>
    <col min="31" max="31" width="18.140625" style="88" hidden="1" customWidth="1"/>
    <col min="32" max="32" width="17" style="88" hidden="1" customWidth="1"/>
    <col min="33" max="33" width="5.7109375" style="88" hidden="1" customWidth="1"/>
    <col min="34" max="35" width="6.7109375" style="88" hidden="1" customWidth="1"/>
    <col min="36" max="36" width="6.7109375" style="80" hidden="1" customWidth="1"/>
    <col min="37" max="37" width="31.5703125" style="80" customWidth="1"/>
    <col min="38" max="38" width="17" style="80" hidden="1" customWidth="1"/>
    <col min="39" max="43" width="13.7109375" style="80" hidden="1" customWidth="1"/>
    <col min="44" max="64" width="9.140625" style="80" hidden="1" customWidth="1"/>
    <col min="65" max="65" width="0" style="80" hidden="1" customWidth="1"/>
    <col min="66" max="16384" width="9.140625" style="80"/>
  </cols>
  <sheetData>
    <row r="1" spans="1:45" ht="18.75" customHeight="1" x14ac:dyDescent="0.2">
      <c r="A1" s="129"/>
      <c r="B1" s="130"/>
      <c r="C1" s="130"/>
      <c r="D1" s="130"/>
      <c r="E1" s="130"/>
      <c r="F1" s="130"/>
      <c r="G1" s="130"/>
      <c r="H1" s="130"/>
      <c r="I1" s="130"/>
      <c r="J1" s="131"/>
      <c r="K1" s="130"/>
      <c r="L1" s="130"/>
      <c r="M1" s="130"/>
      <c r="N1" s="130"/>
      <c r="O1" s="130"/>
      <c r="P1" s="130"/>
      <c r="Q1" s="130"/>
      <c r="R1" s="130"/>
      <c r="S1" s="130"/>
      <c r="T1" s="130"/>
      <c r="U1" s="132"/>
      <c r="V1" s="306"/>
      <c r="W1" s="173"/>
      <c r="X1" s="206"/>
      <c r="Y1" s="206"/>
      <c r="Z1" s="206"/>
      <c r="AA1" s="206"/>
      <c r="AB1" s="206"/>
      <c r="AC1" s="206"/>
      <c r="AD1" s="206"/>
      <c r="AE1" s="206"/>
      <c r="AF1" s="206"/>
      <c r="AG1" s="206"/>
      <c r="AH1" s="206"/>
      <c r="AI1" s="206"/>
      <c r="AJ1" s="207"/>
      <c r="AK1" s="174"/>
    </row>
    <row r="2" spans="1:45" ht="18.75" customHeight="1" x14ac:dyDescent="0.2">
      <c r="A2" s="135"/>
      <c r="B2" s="145" t="s">
        <v>23</v>
      </c>
      <c r="C2" s="9"/>
      <c r="D2" s="9"/>
      <c r="E2" s="9"/>
      <c r="F2" s="9"/>
      <c r="G2" s="9"/>
      <c r="H2" s="9"/>
      <c r="I2" s="9"/>
      <c r="J2" s="13"/>
      <c r="K2" s="9"/>
      <c r="L2" s="9"/>
      <c r="M2" s="9"/>
      <c r="N2" s="9"/>
      <c r="O2" s="9"/>
      <c r="P2" s="9"/>
      <c r="Q2" s="9"/>
      <c r="R2" s="9"/>
      <c r="S2" s="9"/>
      <c r="T2" s="9"/>
      <c r="U2" s="134"/>
      <c r="V2" s="179"/>
      <c r="W2" s="168"/>
      <c r="AJ2" s="210"/>
      <c r="AK2" s="175"/>
    </row>
    <row r="3" spans="1:45" ht="18.75" customHeight="1" x14ac:dyDescent="0.2">
      <c r="A3" s="141"/>
      <c r="B3" s="142"/>
      <c r="C3" s="142"/>
      <c r="D3" s="142"/>
      <c r="E3" s="142"/>
      <c r="F3" s="142"/>
      <c r="G3" s="142"/>
      <c r="H3" s="142"/>
      <c r="I3" s="298"/>
      <c r="J3" s="143"/>
      <c r="K3" s="142"/>
      <c r="L3" s="142"/>
      <c r="M3" s="142"/>
      <c r="N3" s="142"/>
      <c r="O3" s="142"/>
      <c r="P3" s="142"/>
      <c r="Q3" s="142"/>
      <c r="R3" s="142"/>
      <c r="S3" s="298"/>
      <c r="T3" s="142"/>
      <c r="U3" s="144"/>
      <c r="V3" s="179"/>
      <c r="W3" s="168"/>
      <c r="AJ3" s="210"/>
      <c r="AK3" s="175"/>
    </row>
    <row r="4" spans="1:45" ht="11.25" customHeight="1" x14ac:dyDescent="0.2">
      <c r="A4" s="129"/>
      <c r="B4" s="130"/>
      <c r="C4" s="130"/>
      <c r="D4" s="130"/>
      <c r="E4" s="130"/>
      <c r="F4" s="130"/>
      <c r="G4" s="130"/>
      <c r="H4" s="130"/>
      <c r="I4" s="130"/>
      <c r="J4" s="131"/>
      <c r="K4" s="130"/>
      <c r="L4" s="130"/>
      <c r="M4" s="130"/>
      <c r="N4" s="130"/>
      <c r="O4" s="130"/>
      <c r="P4" s="130"/>
      <c r="Q4" s="130"/>
      <c r="R4" s="130"/>
      <c r="S4" s="130"/>
      <c r="T4" s="130"/>
      <c r="U4" s="132"/>
      <c r="V4" s="152"/>
      <c r="W4" s="168"/>
      <c r="X4" s="212" t="e">
        <f>VLOOKUP(Y4,$X$9:$Y$30,2,FALSE)</f>
        <v>#N/A</v>
      </c>
      <c r="Y4" s="212" t="str">
        <f>Home!$D$10</f>
        <v>(none)</v>
      </c>
      <c r="Z4" s="43" t="str">
        <f>"Selected LA- "&amp;Y4</f>
        <v>Selected LA- (none)</v>
      </c>
      <c r="AJ4" s="210"/>
      <c r="AK4" s="175"/>
    </row>
    <row r="5" spans="1:45" s="82" customFormat="1" ht="15" customHeight="1" x14ac:dyDescent="0.2">
      <c r="A5" s="136"/>
      <c r="B5" s="1013" t="s">
        <v>138</v>
      </c>
      <c r="C5" s="930"/>
      <c r="D5" s="930"/>
      <c r="E5" s="930"/>
      <c r="F5" s="930"/>
      <c r="G5" s="930"/>
      <c r="H5" s="930"/>
      <c r="I5" s="930"/>
      <c r="J5" s="930"/>
      <c r="K5" s="930"/>
      <c r="L5" s="930"/>
      <c r="M5" s="930"/>
      <c r="N5" s="930"/>
      <c r="O5" s="70"/>
      <c r="P5" s="70"/>
      <c r="Q5" s="70"/>
      <c r="R5" s="70"/>
      <c r="S5" s="70"/>
      <c r="T5" s="70"/>
      <c r="U5" s="137"/>
      <c r="V5" s="153"/>
      <c r="W5" s="169"/>
      <c r="X5" s="215"/>
      <c r="Y5" s="215"/>
      <c r="Z5" s="215"/>
      <c r="AA5" s="215"/>
      <c r="AB5" s="215"/>
      <c r="AC5" s="215"/>
      <c r="AD5" s="215"/>
      <c r="AE5" s="215"/>
      <c r="AF5" s="215"/>
      <c r="AG5" s="215"/>
      <c r="AH5" s="215"/>
      <c r="AI5" s="215"/>
      <c r="AJ5" s="215"/>
      <c r="AK5" s="176"/>
    </row>
    <row r="6" spans="1:45" ht="13.5" customHeight="1" x14ac:dyDescent="0.2">
      <c r="A6" s="135"/>
      <c r="B6" s="930"/>
      <c r="C6" s="930"/>
      <c r="D6" s="930"/>
      <c r="E6" s="930"/>
      <c r="F6" s="930"/>
      <c r="G6" s="930"/>
      <c r="H6" s="930"/>
      <c r="I6" s="930"/>
      <c r="J6" s="930"/>
      <c r="K6" s="930"/>
      <c r="L6" s="930"/>
      <c r="M6" s="930"/>
      <c r="N6" s="930"/>
      <c r="O6" s="70"/>
      <c r="P6" s="70"/>
      <c r="Q6" s="70"/>
      <c r="R6" s="70"/>
      <c r="S6" s="70"/>
      <c r="T6" s="70"/>
      <c r="U6" s="134"/>
      <c r="V6" s="152"/>
      <c r="W6" s="168"/>
      <c r="Y6" s="217"/>
      <c r="AJ6" s="210"/>
      <c r="AK6" s="175"/>
    </row>
    <row r="7" spans="1:45" s="101" customFormat="1" ht="21" customHeight="1" x14ac:dyDescent="0.2">
      <c r="A7" s="138"/>
      <c r="B7" s="1050" t="s">
        <v>215</v>
      </c>
      <c r="C7" s="97"/>
      <c r="D7" s="982" t="s">
        <v>88</v>
      </c>
      <c r="E7" s="1042"/>
      <c r="F7" s="1042"/>
      <c r="G7" s="1042"/>
      <c r="H7" s="1043"/>
      <c r="I7" s="1044" t="str">
        <f>"% Change "&amp;E8&amp;"-"&amp;RIGHT(H8,2)</f>
        <v>% Change 2015-18</v>
      </c>
      <c r="J7" s="115"/>
      <c r="K7" s="1046" t="s">
        <v>89</v>
      </c>
      <c r="L7" s="1047"/>
      <c r="M7" s="1047"/>
      <c r="N7" s="1047"/>
      <c r="O7" s="1047"/>
      <c r="P7" s="1048" t="str">
        <f>"SE Rank "&amp;O8</f>
        <v>SE Rank 2018</v>
      </c>
      <c r="Q7" s="70"/>
      <c r="R7" s="1039" t="str">
        <f>"Distance from Expected "&amp;H8</f>
        <v>Distance from Expected 2018</v>
      </c>
      <c r="S7" s="1040"/>
      <c r="T7" s="1041"/>
      <c r="U7" s="139"/>
      <c r="V7" s="154"/>
      <c r="W7" s="170"/>
      <c r="X7" s="232"/>
      <c r="Y7" s="232"/>
      <c r="Z7" s="233" t="s">
        <v>79</v>
      </c>
      <c r="AA7" s="217"/>
      <c r="AB7" s="217"/>
      <c r="AC7" s="226"/>
      <c r="AD7" s="226"/>
      <c r="AE7" s="217"/>
      <c r="AF7" s="234" t="s">
        <v>92</v>
      </c>
      <c r="AG7" s="217"/>
      <c r="AH7" s="217"/>
      <c r="AI7" s="217"/>
      <c r="AJ7" s="232"/>
      <c r="AK7" s="178"/>
    </row>
    <row r="8" spans="1:45" s="101" customFormat="1" ht="13.5" customHeight="1" x14ac:dyDescent="0.2">
      <c r="A8" s="138"/>
      <c r="B8" s="1051"/>
      <c r="C8" s="97"/>
      <c r="D8" s="393">
        <v>2014</v>
      </c>
      <c r="E8" s="393">
        <v>2015</v>
      </c>
      <c r="F8" s="393">
        <v>2016</v>
      </c>
      <c r="G8" s="393">
        <v>2017</v>
      </c>
      <c r="H8" s="394">
        <v>2018</v>
      </c>
      <c r="I8" s="1045"/>
      <c r="J8" s="115"/>
      <c r="K8" s="395">
        <f>D8</f>
        <v>2014</v>
      </c>
      <c r="L8" s="395">
        <f t="shared" ref="L8:O8" si="0">E8</f>
        <v>2015</v>
      </c>
      <c r="M8" s="395">
        <f t="shared" si="0"/>
        <v>2016</v>
      </c>
      <c r="N8" s="395">
        <f t="shared" si="0"/>
        <v>2017</v>
      </c>
      <c r="O8" s="395">
        <f t="shared" si="0"/>
        <v>2018</v>
      </c>
      <c r="P8" s="1049"/>
      <c r="Q8" s="70"/>
      <c r="R8" s="328" t="s">
        <v>78</v>
      </c>
      <c r="S8" s="375" t="s">
        <v>131</v>
      </c>
      <c r="T8" s="376" t="s">
        <v>132</v>
      </c>
      <c r="U8" s="139"/>
      <c r="V8" s="154"/>
      <c r="W8" s="170"/>
      <c r="X8" s="232"/>
      <c r="Y8" s="232"/>
      <c r="Z8" s="44">
        <f>K8</f>
        <v>2014</v>
      </c>
      <c r="AA8" s="44">
        <f>L8</f>
        <v>2015</v>
      </c>
      <c r="AB8" s="44">
        <f>M8</f>
        <v>2016</v>
      </c>
      <c r="AC8" s="44">
        <f>N8</f>
        <v>2017</v>
      </c>
      <c r="AD8" s="44">
        <f>O8</f>
        <v>2018</v>
      </c>
      <c r="AE8" s="217"/>
      <c r="AF8" s="217"/>
      <c r="AG8" s="217"/>
      <c r="AH8" s="217"/>
      <c r="AI8" s="217"/>
      <c r="AJ8" s="232"/>
      <c r="AK8" s="178"/>
    </row>
    <row r="9" spans="1:45" s="101" customFormat="1" ht="13.5" customHeight="1" x14ac:dyDescent="0.2">
      <c r="A9" s="533">
        <f>VLOOKUP(B9,Sheet1!$B$4:$C$25,2,FALSE)</f>
        <v>0</v>
      </c>
      <c r="B9" s="112" t="s">
        <v>0</v>
      </c>
      <c r="C9" s="97"/>
      <c r="D9" s="113">
        <f>IF(Year1_Bracknell_Forest Year1_Assessments="","",Year1_Bracknell_Forest Year1_Assessments)</f>
        <v>985</v>
      </c>
      <c r="E9" s="113">
        <f>IF(Year2_Bracknell_Forest Year2_Assessments="","",Year2_Bracknell_Forest Year2_Assessments)</f>
        <v>986</v>
      </c>
      <c r="F9" s="113">
        <f>IF(Year3_Bracknell_Forest Year3_Assessments="","",Year3_Bracknell_Forest Year3_Assessments)</f>
        <v>1099</v>
      </c>
      <c r="G9" s="113">
        <f>IF(Year4_Bracknell_Forest Year4_Assessments="","",Year4_Bracknell_Forest Year4_Assessments)</f>
        <v>1393</v>
      </c>
      <c r="H9" s="114">
        <f>IF(Year5_Bracknell_Forest Year5_Assessments="","",Year5_Bracknell_Forest Year5_Assessments)</f>
        <v>1670</v>
      </c>
      <c r="I9" s="392">
        <f>IF(ISNUMBER(H9),(H9-E9)/E9,"")</f>
        <v>0.69371196754563891</v>
      </c>
      <c r="J9" s="115"/>
      <c r="K9" s="116">
        <f>IF(ISNUMBER(D9),D9/Population!C8*10000,NA())</f>
        <v>363.46863468634689</v>
      </c>
      <c r="L9" s="116">
        <f>IF(ISNUMBER(E9),E9/Population!D8*10000,NA())</f>
        <v>354.67625899280574</v>
      </c>
      <c r="M9" s="116">
        <f>IF(ISNUMBER(F9),F9/Population!E8*10000,NA())</f>
        <v>389.71631205673754</v>
      </c>
      <c r="N9" s="116">
        <f>IF(ISNUMBER(G9),G9/Population!F8*10000,NA())</f>
        <v>494.42748633491874</v>
      </c>
      <c r="O9" s="117">
        <f>IF(ISNUMBER(H9),H9/Population!G8*10000,NA())</f>
        <v>594.92002422428845</v>
      </c>
      <c r="P9" s="397">
        <f>IF(ISNA(VLOOKUP(B9,$AF$9:$AH$27,3,FALSE)),"--",IF(ISNUMBER(H9),VLOOKUP(B9,$AF$9:$AH$27,3,FALSE),NA()))</f>
        <v>14</v>
      </c>
      <c r="Q9" s="70"/>
      <c r="R9" s="387">
        <f>IDACI!C9</f>
        <v>11</v>
      </c>
      <c r="S9" s="388">
        <f>(R9*$Y$68)+$Z$68</f>
        <v>425.90829000000002</v>
      </c>
      <c r="T9" s="389">
        <f>O9-S9</f>
        <v>169.01173422428843</v>
      </c>
      <c r="U9" s="139"/>
      <c r="V9" s="154"/>
      <c r="W9" s="170"/>
      <c r="X9" s="72" t="str">
        <f t="shared" ref="X9:X32" si="1">B9</f>
        <v>Bracknell Forest</v>
      </c>
      <c r="Y9" s="235">
        <v>1</v>
      </c>
      <c r="Z9" s="236">
        <f>IF(D9&gt;0,Population!C8,"")</f>
        <v>27100</v>
      </c>
      <c r="AA9" s="236">
        <f>IF(E9&gt;0,Population!D8,"")</f>
        <v>27800</v>
      </c>
      <c r="AB9" s="236">
        <f>IF(F9&gt;0,Population!E8,"")</f>
        <v>28200</v>
      </c>
      <c r="AC9" s="236">
        <f>IF(G9&gt;0,Population!F8,"")</f>
        <v>28174</v>
      </c>
      <c r="AD9" s="236">
        <f>IF(H9&gt;0,Population!G8,"")</f>
        <v>28071</v>
      </c>
      <c r="AE9" s="217"/>
      <c r="AF9" s="112" t="str">
        <f>B9</f>
        <v>Bracknell Forest</v>
      </c>
      <c r="AG9" s="262">
        <f>IFERROR(VLOOKUP(AF9,$B$9:$O$30,14,FALSE),"")</f>
        <v>594.92002422428845</v>
      </c>
      <c r="AH9" s="237">
        <f>RANK(AG9,$AG$9:$AG$27,1)</f>
        <v>14</v>
      </c>
      <c r="AI9" s="217"/>
      <c r="AJ9" s="232"/>
      <c r="AK9" s="178"/>
    </row>
    <row r="10" spans="1:45" s="101" customFormat="1" ht="13.5" customHeight="1" x14ac:dyDescent="0.2">
      <c r="A10" s="533">
        <f>VLOOKUP(B10,Sheet1!$B$4:$C$25,2,FALSE)</f>
        <v>0</v>
      </c>
      <c r="B10" s="112" t="s">
        <v>32</v>
      </c>
      <c r="C10" s="97"/>
      <c r="D10" s="113">
        <f>IF(Year1_Brighton_Hove Year1_Assessments="","",Year1_Brighton_Hove Year1_Assessments)</f>
        <v>2594</v>
      </c>
      <c r="E10" s="113">
        <f>IF(Year2_Brighton_Hove Year2_Assessments="","",Year2_Brighton_Hove Year2_Assessments)</f>
        <v>2770</v>
      </c>
      <c r="F10" s="113">
        <f>IF(Year3_Brighton_Hove Year3_Assessments="","",Year3_Brighton_Hove Year3_Assessments)</f>
        <v>2868</v>
      </c>
      <c r="G10" s="113">
        <f>IF(Year4_Brighton_Hove Year4_Assessments="","",Year4_Brighton_Hove Year4_Assessments)</f>
        <v>3020</v>
      </c>
      <c r="H10" s="114">
        <f>IF(Year5_Brighton_Hove Year5_Assessments="","",Year5_Brighton_Hove Year5_Assessments)</f>
        <v>2701</v>
      </c>
      <c r="I10" s="392">
        <f>IF(ISNUMBER(H10),(H10-E10)/E10,"")</f>
        <v>-2.4909747292418773E-2</v>
      </c>
      <c r="J10" s="115"/>
      <c r="K10" s="116">
        <f>IF(ISNUMBER(D10),D10/Population!C9*10000,NA())</f>
        <v>513.66336633663366</v>
      </c>
      <c r="L10" s="116">
        <f>IF(ISNUMBER(E10),E10/Population!D9*10000,NA())</f>
        <v>543.13725490196077</v>
      </c>
      <c r="M10" s="116">
        <f>IF(ISNUMBER(F10),F10/Population!E9*10000,NA())</f>
        <v>560.15625</v>
      </c>
      <c r="N10" s="116">
        <f>IF(ISNUMBER(G10),G10/Population!F9*10000,NA())</f>
        <v>588.91207269749032</v>
      </c>
      <c r="O10" s="117">
        <f>IF(ISNUMBER(H10),H10/Population!G9*10000,NA())</f>
        <v>529.80522155312769</v>
      </c>
      <c r="P10" s="397">
        <f t="shared" ref="P10:P32" si="2">IF(ISNA(VLOOKUP(B10,$AF$9:$AH$27,3,FALSE)),"--",IF(ISNUMBER(H10),VLOOKUP(B10,$AF$9:$AH$27,3,FALSE),NA()))</f>
        <v>11</v>
      </c>
      <c r="Q10" s="70"/>
      <c r="R10" s="387">
        <f>IDACI!C10</f>
        <v>18.3</v>
      </c>
      <c r="S10" s="388">
        <f t="shared" ref="S10:S32" si="3">(R10*$Y$68)+$Z$68</f>
        <v>514.74994700000002</v>
      </c>
      <c r="T10" s="389">
        <f t="shared" ref="T10:T32" si="4">O10-S10</f>
        <v>15.055274553127674</v>
      </c>
      <c r="U10" s="139"/>
      <c r="V10" s="154"/>
      <c r="W10" s="170"/>
      <c r="X10" s="72" t="str">
        <f t="shared" si="1"/>
        <v>Brighton &amp; Hove</v>
      </c>
      <c r="Y10" s="235">
        <v>2</v>
      </c>
      <c r="Z10" s="236">
        <f>IF(D10&gt;0,Population!C9,"")</f>
        <v>50500</v>
      </c>
      <c r="AA10" s="236">
        <f>IF(E10&gt;0,Population!D9,"")</f>
        <v>51000</v>
      </c>
      <c r="AB10" s="236">
        <f>IF(F10&gt;0,Population!E9,"")</f>
        <v>51200</v>
      </c>
      <c r="AC10" s="236">
        <f>IF(G10&gt;0,Population!F9,"")</f>
        <v>51281</v>
      </c>
      <c r="AD10" s="236">
        <f>IF(H10&gt;0,Population!G9,"")</f>
        <v>50981</v>
      </c>
      <c r="AE10" s="217"/>
      <c r="AF10" s="112" t="s">
        <v>32</v>
      </c>
      <c r="AG10" s="262">
        <f t="shared" ref="AG10:AG27" si="5">IFERROR(VLOOKUP(AF10,$B$9:$O$30,14,FALSE),"")</f>
        <v>529.80522155312769</v>
      </c>
      <c r="AH10" s="237">
        <f t="shared" ref="AH10:AH27" si="6">RANK(AG10,$AG$9:$AG$27,1)</f>
        <v>11</v>
      </c>
      <c r="AI10" s="217"/>
      <c r="AJ10" s="232"/>
      <c r="AK10" s="178"/>
    </row>
    <row r="11" spans="1:45" s="101" customFormat="1" ht="13.5" customHeight="1" x14ac:dyDescent="0.2">
      <c r="A11" s="533">
        <f>VLOOKUP(B11,Sheet1!$B$4:$C$25,2,FALSE)</f>
        <v>0</v>
      </c>
      <c r="B11" s="112" t="s">
        <v>9</v>
      </c>
      <c r="C11" s="97"/>
      <c r="D11" s="113">
        <f>IF(Year1_Buckinghamshire Year1_Assessments="","",Year1_Buckinghamshire Year1_Assessments)</f>
        <v>4505</v>
      </c>
      <c r="E11" s="113">
        <f>IF(Year2_Buckinghamshire Year2_Assessments="","",Year2_Buckinghamshire Year2_Assessments)</f>
        <v>6180</v>
      </c>
      <c r="F11" s="113">
        <f>IF(Year3_Buckinghamshire Year3_Assessments="","",Year3_Buckinghamshire Year3_Assessments)</f>
        <v>5597</v>
      </c>
      <c r="G11" s="113">
        <f>IF(Year4_Buckinghamshire Year4_Assessments="","",Year4_Buckinghamshire Year4_Assessments)</f>
        <v>6680</v>
      </c>
      <c r="H11" s="114">
        <f>IF(Year5_Buckinghamshire Year5_Assessments="","",Year5_Buckinghamshire Year5_Assessments)</f>
        <v>8366</v>
      </c>
      <c r="I11" s="392">
        <f t="shared" ref="I11:I32" si="7">IF(ISNUMBER(H11),(H11-E11)/E11,"")</f>
        <v>0.35372168284789646</v>
      </c>
      <c r="J11" s="115"/>
      <c r="K11" s="116">
        <f>IF(ISNUMBER(D11),D11/Population!C10*10000,NA())</f>
        <v>383.07823129251699</v>
      </c>
      <c r="L11" s="116">
        <f>IF(ISNUMBER(E11),E11/Population!D10*10000,NA())</f>
        <v>519.76450798990754</v>
      </c>
      <c r="M11" s="116">
        <f>IF(ISNUMBER(F11),F11/Population!E10*10000,NA())</f>
        <v>464.09618573797678</v>
      </c>
      <c r="N11" s="116">
        <f>IF(ISNUMBER(G11),G11/Population!F10*10000,NA())</f>
        <v>546.62247862198763</v>
      </c>
      <c r="O11" s="117">
        <f>IF(ISNUMBER(H11),H11/Population!G10*10000,NA())</f>
        <v>679.74812106439163</v>
      </c>
      <c r="P11" s="397">
        <f t="shared" si="2"/>
        <v>16</v>
      </c>
      <c r="Q11" s="70"/>
      <c r="R11" s="387">
        <f>IDACI!C11</f>
        <v>9.8000000000000007</v>
      </c>
      <c r="S11" s="388">
        <f t="shared" si="3"/>
        <v>411.30418200000003</v>
      </c>
      <c r="T11" s="389">
        <f t="shared" si="4"/>
        <v>268.4439390643916</v>
      </c>
      <c r="U11" s="139"/>
      <c r="V11" s="154"/>
      <c r="W11" s="170"/>
      <c r="X11" s="72" t="str">
        <f t="shared" si="1"/>
        <v>Buckinghamshire</v>
      </c>
      <c r="Y11" s="235">
        <v>3</v>
      </c>
      <c r="Z11" s="236">
        <f>IF(D11&gt;0,Population!C10,"")</f>
        <v>117600</v>
      </c>
      <c r="AA11" s="236">
        <f>IF(E11&gt;0,Population!D10,"")</f>
        <v>118900</v>
      </c>
      <c r="AB11" s="236">
        <f>IF(F11&gt;0,Population!E10,"")</f>
        <v>120600</v>
      </c>
      <c r="AC11" s="236">
        <f>IF(G11&gt;0,Population!F10,"")</f>
        <v>122205</v>
      </c>
      <c r="AD11" s="236">
        <f>IF(H11&gt;0,Population!G10,"")</f>
        <v>123075</v>
      </c>
      <c r="AE11" s="217"/>
      <c r="AF11" s="112" t="s">
        <v>9</v>
      </c>
      <c r="AG11" s="262">
        <f t="shared" si="5"/>
        <v>679.74812106439163</v>
      </c>
      <c r="AH11" s="237">
        <f t="shared" si="6"/>
        <v>16</v>
      </c>
      <c r="AI11" s="217"/>
      <c r="AJ11" s="232"/>
      <c r="AK11" s="178"/>
    </row>
    <row r="12" spans="1:45" s="101" customFormat="1" ht="13.5" customHeight="1" x14ac:dyDescent="0.2">
      <c r="A12" s="533">
        <f>VLOOKUP(B12,Sheet1!$B$4:$C$25,2,FALSE)</f>
        <v>0</v>
      </c>
      <c r="B12" s="112" t="s">
        <v>4</v>
      </c>
      <c r="C12" s="97"/>
      <c r="D12" s="113">
        <f>IF(Year1_East_Sussex Year1_Assessments="","",Year1_East_Sussex Year1_Assessments)</f>
        <v>3602</v>
      </c>
      <c r="E12" s="118">
        <f>IF(Year2_East_Sussex Year2_Assessments="","",Year2_East_Sussex Year2_Assessments)</f>
        <v>2684</v>
      </c>
      <c r="F12" s="113">
        <f>IF(Year3_East_Sussex Year3_Assessments="","",Year3_East_Sussex Year3_Assessments)</f>
        <v>2485</v>
      </c>
      <c r="G12" s="113">
        <f>IF(Year4_East_Sussex Year4_Assessments="","",Year4_East_Sussex Year4_Assessments)</f>
        <v>3143</v>
      </c>
      <c r="H12" s="114">
        <f>IF(Year5_East_Sussex Year5_Assessments="","",Year5_East_Sussex Year5_Assessments)</f>
        <v>3580</v>
      </c>
      <c r="I12" s="392">
        <f t="shared" si="7"/>
        <v>0.33383010432190763</v>
      </c>
      <c r="J12" s="115"/>
      <c r="K12" s="116">
        <f>IF(ISNUMBER(D12),D12/Population!C11*10000,NA())</f>
        <v>343.70229007633588</v>
      </c>
      <c r="L12" s="116">
        <f>IF(ISNUMBER(E12),E12/Population!D11*10000,NA())</f>
        <v>254.64895635673622</v>
      </c>
      <c r="M12" s="116">
        <f>IF(ISNUMBER(F12),F12/Population!E11*10000,NA())</f>
        <v>234.65533522190745</v>
      </c>
      <c r="N12" s="116">
        <f>IF(ISNUMBER(G12),G12/Population!F11*10000,NA())</f>
        <v>296.72497946621604</v>
      </c>
      <c r="O12" s="117">
        <f>IF(ISNUMBER(H12),H12/Population!G11*10000,NA())</f>
        <v>337.59253147248808</v>
      </c>
      <c r="P12" s="397">
        <f t="shared" si="2"/>
        <v>4</v>
      </c>
      <c r="Q12" s="70"/>
      <c r="R12" s="387">
        <f>IDACI!C12</f>
        <v>17.399999999999999</v>
      </c>
      <c r="S12" s="388">
        <f t="shared" si="3"/>
        <v>503.79686600000002</v>
      </c>
      <c r="T12" s="389">
        <f t="shared" si="4"/>
        <v>-166.20433452751195</v>
      </c>
      <c r="U12" s="139"/>
      <c r="V12" s="154"/>
      <c r="W12" s="170"/>
      <c r="X12" s="72" t="str">
        <f t="shared" si="1"/>
        <v>East Sussex</v>
      </c>
      <c r="Y12" s="235">
        <v>4</v>
      </c>
      <c r="Z12" s="236">
        <f>IF(D12&gt;0,Population!C11,"")</f>
        <v>104800</v>
      </c>
      <c r="AA12" s="236">
        <f>IF(E12&gt;0,Population!D11,"")</f>
        <v>105400</v>
      </c>
      <c r="AB12" s="236">
        <f>IF(F12&gt;0,Population!E11,"")</f>
        <v>105900</v>
      </c>
      <c r="AC12" s="236">
        <f>IF(G12&gt;0,Population!F11,"")</f>
        <v>105923</v>
      </c>
      <c r="AD12" s="236">
        <f>IF(H12&gt;0,Population!G11,"")</f>
        <v>106045</v>
      </c>
      <c r="AE12" s="217"/>
      <c r="AF12" s="112" t="s">
        <v>4</v>
      </c>
      <c r="AG12" s="262">
        <f t="shared" si="5"/>
        <v>337.59253147248808</v>
      </c>
      <c r="AH12" s="237">
        <f t="shared" si="6"/>
        <v>4</v>
      </c>
      <c r="AI12" s="217"/>
      <c r="AJ12" s="232"/>
      <c r="AK12" s="178"/>
    </row>
    <row r="13" spans="1:45" s="101" customFormat="1" ht="13.5" customHeight="1" x14ac:dyDescent="0.2">
      <c r="A13" s="533">
        <f>VLOOKUP(B13,Sheet1!$B$4:$C$25,2,FALSE)</f>
        <v>0</v>
      </c>
      <c r="B13" s="112" t="s">
        <v>6</v>
      </c>
      <c r="C13" s="97"/>
      <c r="D13" s="113">
        <f>IF(Year1_Hampshire Year1_Assessments="","",Year1_Hampshire Year1_Assessments)</f>
        <v>17211</v>
      </c>
      <c r="E13" s="113">
        <f>IF(Year2_Hampshire Year2_Assessments="","",Year2_Hampshire Year2_Assessments)</f>
        <v>17096</v>
      </c>
      <c r="F13" s="119">
        <f>IF(Year3_Hampshire Year3_Assessments="","",Year3_Hampshire Year3_Assessments)</f>
        <v>16931</v>
      </c>
      <c r="G13" s="119">
        <f>IF(Year4_Hampshire Year4_Assessments="","",Year4_Hampshire Year4_Assessments)</f>
        <v>19841</v>
      </c>
      <c r="H13" s="114">
        <f>IF(Year5_Hampshire Year5_Assessments="","",Year5_Hampshire Year5_Assessments)</f>
        <v>17660</v>
      </c>
      <c r="I13" s="392">
        <f t="shared" si="7"/>
        <v>3.2990173139915771E-2</v>
      </c>
      <c r="J13" s="115"/>
      <c r="K13" s="116">
        <f>IF(ISNUMBER(D13),D13/Population!C12*10000,NA())</f>
        <v>610.53565094004966</v>
      </c>
      <c r="L13" s="116">
        <f>IF(ISNUMBER(E13),E13/Population!D12*10000,NA())</f>
        <v>607.31793960923619</v>
      </c>
      <c r="M13" s="116">
        <f>IF(ISNUMBER(F13),F13/Population!E12*10000,NA())</f>
        <v>600.60305072720826</v>
      </c>
      <c r="N13" s="116">
        <f>IF(ISNUMBER(G13),G13/Population!F12*10000,NA())</f>
        <v>701.61355913024113</v>
      </c>
      <c r="O13" s="117">
        <f>IF(ISNUMBER(H13),H13/Population!G12*10000,NA())</f>
        <v>623.33665120678825</v>
      </c>
      <c r="P13" s="397">
        <f t="shared" si="2"/>
        <v>15</v>
      </c>
      <c r="Q13" s="70"/>
      <c r="R13" s="387">
        <f>IDACI!C13</f>
        <v>11.799999999999999</v>
      </c>
      <c r="S13" s="388">
        <f t="shared" si="3"/>
        <v>435.644362</v>
      </c>
      <c r="T13" s="389">
        <f t="shared" si="4"/>
        <v>187.69228920678825</v>
      </c>
      <c r="U13" s="139"/>
      <c r="V13" s="154"/>
      <c r="W13" s="170"/>
      <c r="X13" s="72" t="str">
        <f t="shared" si="1"/>
        <v>Hampshire</v>
      </c>
      <c r="Y13" s="235">
        <v>5</v>
      </c>
      <c r="Z13" s="236">
        <f>IF(D13&gt;0,Population!C12,"")</f>
        <v>281900</v>
      </c>
      <c r="AA13" s="236">
        <f>IF(E13&gt;0,Population!D12,"")</f>
        <v>281500</v>
      </c>
      <c r="AB13" s="236">
        <f>IF(F13&gt;0,Population!E12,"")</f>
        <v>281900</v>
      </c>
      <c r="AC13" s="236">
        <f>IF(G13&gt;0,Population!F12,"")</f>
        <v>282791</v>
      </c>
      <c r="AD13" s="236">
        <f>IF(H13&gt;0,Population!G12,"")</f>
        <v>283314</v>
      </c>
      <c r="AE13" s="217"/>
      <c r="AF13" s="112" t="s">
        <v>6</v>
      </c>
      <c r="AG13" s="262">
        <f t="shared" si="5"/>
        <v>623.33665120678825</v>
      </c>
      <c r="AH13" s="237">
        <f t="shared" si="6"/>
        <v>15</v>
      </c>
      <c r="AI13" s="217"/>
      <c r="AJ13" s="232"/>
      <c r="AK13" s="178"/>
    </row>
    <row r="14" spans="1:45" s="101" customFormat="1" ht="13.5" customHeight="1" x14ac:dyDescent="0.2">
      <c r="A14" s="533">
        <f>VLOOKUP(B14,Sheet1!$B$4:$C$25,2,FALSE)</f>
        <v>0</v>
      </c>
      <c r="B14" s="112" t="s">
        <v>1</v>
      </c>
      <c r="C14" s="97"/>
      <c r="D14" s="113">
        <f>IF(Year1_Isle_of_Wight Year1_Assessments="","",Year1_Isle_of_Wight Year1_Assessments)</f>
        <v>1775</v>
      </c>
      <c r="E14" s="113">
        <f>IF(Year2_Isle_of_Wight Year2_Assessments="","",Year2_Isle_of_Wight Year2_Assessments)</f>
        <v>2048</v>
      </c>
      <c r="F14" s="113">
        <f>IF(Year3_Isle_of_Wight Year3_Assessments="","",Year3_Isle_of_Wight Year3_Assessments)</f>
        <v>2395</v>
      </c>
      <c r="G14" s="113">
        <f>IF(Year4_Isle_of_Wight Year4_Assessments="","",Year4_Isle_of_Wight Year4_Assessments)</f>
        <v>2691</v>
      </c>
      <c r="H14" s="114">
        <f>IF(Year5_Isle_of_Wight Year5_Assessments="","",Year5_Isle_of_Wight Year5_Assessments)</f>
        <v>2679</v>
      </c>
      <c r="I14" s="392">
        <f t="shared" si="7"/>
        <v>0.30810546875</v>
      </c>
      <c r="J14" s="115"/>
      <c r="K14" s="116">
        <f>IF(ISNUMBER(D14),D14/Population!C13*10000,NA())</f>
        <v>687.98449612403101</v>
      </c>
      <c r="L14" s="116">
        <f>IF(ISNUMBER(E14),E14/Population!D13*10000,NA())</f>
        <v>803.13725490196077</v>
      </c>
      <c r="M14" s="116">
        <f>IF(ISNUMBER(F14),F14/Population!E13*10000,NA())</f>
        <v>946.64031620553351</v>
      </c>
      <c r="N14" s="116">
        <f>IF(ISNUMBER(G14),G14/Population!F13*10000,NA())</f>
        <v>1067.8571428571429</v>
      </c>
      <c r="O14" s="117">
        <f>IF(ISNUMBER(H14),H14/Population!G13*10000,NA())</f>
        <v>1069.247655158651</v>
      </c>
      <c r="P14" s="397">
        <f t="shared" si="2"/>
        <v>19</v>
      </c>
      <c r="Q14" s="70"/>
      <c r="R14" s="387">
        <f>IDACI!C14</f>
        <v>20.399999999999999</v>
      </c>
      <c r="S14" s="388">
        <f t="shared" si="3"/>
        <v>540.30713600000001</v>
      </c>
      <c r="T14" s="389">
        <f t="shared" si="4"/>
        <v>528.940519158651</v>
      </c>
      <c r="U14" s="139"/>
      <c r="V14" s="154"/>
      <c r="W14" s="170"/>
      <c r="X14" s="72" t="str">
        <f t="shared" si="1"/>
        <v>Isle of Wight</v>
      </c>
      <c r="Y14" s="235">
        <v>6</v>
      </c>
      <c r="Z14" s="236">
        <f>IF(D14&gt;0,Population!C13,"")</f>
        <v>25800</v>
      </c>
      <c r="AA14" s="236">
        <f>IF(E14&gt;0,Population!D13,"")</f>
        <v>25500</v>
      </c>
      <c r="AB14" s="236">
        <f>IF(F14&gt;0,Population!E13,"")</f>
        <v>25300</v>
      </c>
      <c r="AC14" s="236">
        <f>IF(G14&gt;0,Population!F13,"")</f>
        <v>25200</v>
      </c>
      <c r="AD14" s="236">
        <f>IF(H14&gt;0,Population!G13,"")</f>
        <v>25055</v>
      </c>
      <c r="AE14" s="217"/>
      <c r="AF14" s="112" t="s">
        <v>1</v>
      </c>
      <c r="AG14" s="262">
        <f t="shared" si="5"/>
        <v>1069.247655158651</v>
      </c>
      <c r="AH14" s="237">
        <f t="shared" si="6"/>
        <v>19</v>
      </c>
      <c r="AI14" s="217"/>
      <c r="AJ14" s="232"/>
      <c r="AK14" s="178"/>
      <c r="AS14" s="101" t="s">
        <v>104</v>
      </c>
    </row>
    <row r="15" spans="1:45" s="101" customFormat="1" ht="13.5" customHeight="1" x14ac:dyDescent="0.2">
      <c r="A15" s="533">
        <f>VLOOKUP(B15,Sheet1!$B$4:$C$25,2,FALSE)</f>
        <v>0</v>
      </c>
      <c r="B15" s="112" t="s">
        <v>10</v>
      </c>
      <c r="C15" s="97"/>
      <c r="D15" s="113">
        <f>IF(Year1_Kent Year1_Assessments="","",Year1_Kent Year1_Assessments)</f>
        <v>20946</v>
      </c>
      <c r="E15" s="113">
        <f>IF(Year2_Kent Year2_Assessments="","",Year2_Kent Year2_Assessments)</f>
        <v>15802</v>
      </c>
      <c r="F15" s="113">
        <f>IF(Year3_Kent Year3_Assessments="","",Year3_Kent Year3_Assessments)</f>
        <v>16440</v>
      </c>
      <c r="G15" s="113">
        <f>IF(Year4_Kent Year4_Assessments="","",Year4_Kent Year4_Assessments)</f>
        <v>16366</v>
      </c>
      <c r="H15" s="114">
        <f>IF(Year5_Kent Year5_Assessments="","",Year5_Kent Year5_Assessments)</f>
        <v>18827</v>
      </c>
      <c r="I15" s="392">
        <f t="shared" si="7"/>
        <v>0.19143146437159853</v>
      </c>
      <c r="J15" s="115"/>
      <c r="K15" s="116">
        <f>IF(ISNUMBER(D15),D15/Population!C14*10000,NA())</f>
        <v>643.30466830466833</v>
      </c>
      <c r="L15" s="116">
        <f>IF(ISNUMBER(E15),E15/Population!D14*10000,NA())</f>
        <v>481.32805360950351</v>
      </c>
      <c r="M15" s="116">
        <f>IF(ISNUMBER(F15),F15/Population!E14*10000,NA())</f>
        <v>497.57869249394673</v>
      </c>
      <c r="N15" s="116">
        <f>IF(ISNUMBER(G15),G15/Population!F14*10000,NA())</f>
        <v>491.40506538155506</v>
      </c>
      <c r="O15" s="117">
        <f>IF(ISNUMBER(H15),H15/Population!G14*10000,NA())</f>
        <v>560.1773334523491</v>
      </c>
      <c r="P15" s="397">
        <f t="shared" si="2"/>
        <v>12</v>
      </c>
      <c r="Q15" s="70"/>
      <c r="R15" s="387">
        <f>IDACI!C15</f>
        <v>17.8</v>
      </c>
      <c r="S15" s="388">
        <f t="shared" si="3"/>
        <v>508.66490199999998</v>
      </c>
      <c r="T15" s="389">
        <f t="shared" si="4"/>
        <v>51.512431452349119</v>
      </c>
      <c r="U15" s="139"/>
      <c r="V15" s="154"/>
      <c r="W15" s="170"/>
      <c r="X15" s="72" t="str">
        <f t="shared" si="1"/>
        <v>Kent</v>
      </c>
      <c r="Y15" s="235">
        <v>7</v>
      </c>
      <c r="Z15" s="236">
        <f>IF(D15&gt;0,Population!C14,"")</f>
        <v>325600</v>
      </c>
      <c r="AA15" s="236">
        <f>IF(E15&gt;0,Population!D14,"")</f>
        <v>328300</v>
      </c>
      <c r="AB15" s="236">
        <f>IF(F15&gt;0,Population!E14,"")</f>
        <v>330400</v>
      </c>
      <c r="AC15" s="236">
        <f>IF(G15&gt;0,Population!F14,"")</f>
        <v>333045</v>
      </c>
      <c r="AD15" s="236">
        <f>IF(H15&gt;0,Population!G14,"")</f>
        <v>336090</v>
      </c>
      <c r="AE15" s="217"/>
      <c r="AF15" s="112" t="s">
        <v>10</v>
      </c>
      <c r="AG15" s="262">
        <f t="shared" si="5"/>
        <v>560.1773334523491</v>
      </c>
      <c r="AH15" s="237">
        <f t="shared" si="6"/>
        <v>12</v>
      </c>
      <c r="AI15" s="217"/>
      <c r="AJ15" s="232"/>
      <c r="AK15" s="178"/>
    </row>
    <row r="16" spans="1:45" s="101" customFormat="1" ht="13.5" customHeight="1" x14ac:dyDescent="0.2">
      <c r="A16" s="533">
        <f>VLOOKUP(B16,Sheet1!$B$4:$C$25,2,FALSE)</f>
        <v>0</v>
      </c>
      <c r="B16" s="112" t="s">
        <v>2</v>
      </c>
      <c r="C16" s="97"/>
      <c r="D16" s="113">
        <f>IF(Year1_Medway Year1_Assessments="","",Year1_Medway Year1_Assessments)</f>
        <v>3801</v>
      </c>
      <c r="E16" s="329">
        <f>IF(Year2_Medway Year2_Assessments="","",Year2_Medway Year2_Assessments)</f>
        <v>3699</v>
      </c>
      <c r="F16" s="329">
        <f>IF(Year3_Medway Year3_Assessments="","",Year3_Medway Year3_Assessments)</f>
        <v>3114</v>
      </c>
      <c r="G16" s="329">
        <f>IF(Year4_Medway Year4_Assessments="","",Year4_Medway Year4_Assessments)</f>
        <v>2818</v>
      </c>
      <c r="H16" s="330">
        <f>IF(Year5_Medway Year5_Assessments="","",Year5_Medway Year5_Assessments)</f>
        <v>2509</v>
      </c>
      <c r="I16" s="392">
        <f t="shared" si="7"/>
        <v>-0.32170856988375235</v>
      </c>
      <c r="J16" s="115"/>
      <c r="K16" s="116">
        <f>IF(ISNUMBER(D16),D16/Population!C15*10000,NA())</f>
        <v>617.04545454545462</v>
      </c>
      <c r="L16" s="116">
        <f>IF(ISNUMBER(E16),E16/Population!D15*10000,NA())</f>
        <v>591.84</v>
      </c>
      <c r="M16" s="116">
        <f>IF(ISNUMBER(F16),F16/Population!E15*10000,NA())</f>
        <v>492.72151898734177</v>
      </c>
      <c r="N16" s="116">
        <f>IF(ISNUMBER(G16),G16/Population!F15*10000,NA())</f>
        <v>442.40702073881033</v>
      </c>
      <c r="O16" s="117">
        <f>IF(ISNUMBER(H16),H16/Population!G15*10000,NA())</f>
        <v>392.38071407347167</v>
      </c>
      <c r="P16" s="397">
        <f t="shared" si="2"/>
        <v>6</v>
      </c>
      <c r="Q16" s="70"/>
      <c r="R16" s="387">
        <f>IDACI!C16</f>
        <v>22</v>
      </c>
      <c r="S16" s="388">
        <f t="shared" si="3"/>
        <v>559.77927999999997</v>
      </c>
      <c r="T16" s="389">
        <f t="shared" si="4"/>
        <v>-167.39856592652831</v>
      </c>
      <c r="U16" s="139"/>
      <c r="V16" s="154"/>
      <c r="W16" s="170"/>
      <c r="X16" s="72" t="str">
        <f t="shared" si="1"/>
        <v>Medway</v>
      </c>
      <c r="Y16" s="235">
        <v>8</v>
      </c>
      <c r="Z16" s="236">
        <f>IF(D16&gt;0,Population!C15,"")</f>
        <v>61600</v>
      </c>
      <c r="AA16" s="236">
        <f>IF(E16&gt;0,Population!D15,"")</f>
        <v>62500</v>
      </c>
      <c r="AB16" s="236">
        <f>IF(F16&gt;0,Population!E15,"")</f>
        <v>63200</v>
      </c>
      <c r="AC16" s="236">
        <f>IF(G16&gt;0,Population!F15,"")</f>
        <v>63697</v>
      </c>
      <c r="AD16" s="236">
        <f>IF(H16&gt;0,Population!G15,"")</f>
        <v>63943</v>
      </c>
      <c r="AE16" s="217"/>
      <c r="AF16" s="112" t="s">
        <v>2</v>
      </c>
      <c r="AG16" s="262">
        <f t="shared" si="5"/>
        <v>392.38071407347167</v>
      </c>
      <c r="AH16" s="237">
        <f t="shared" si="6"/>
        <v>6</v>
      </c>
      <c r="AI16" s="217"/>
      <c r="AJ16" s="232"/>
      <c r="AK16" s="178"/>
    </row>
    <row r="17" spans="1:37" s="101" customFormat="1" ht="13.5" customHeight="1" x14ac:dyDescent="0.2">
      <c r="A17" s="533">
        <f>VLOOKUP(B17,Sheet1!$B$4:$C$25,2,FALSE)</f>
        <v>0</v>
      </c>
      <c r="B17" s="112" t="s">
        <v>11</v>
      </c>
      <c r="C17" s="97"/>
      <c r="D17" s="113">
        <f>IF(Year1_Milton_Keynes Year1_Assessments="","",Year1_Milton_Keynes Year1_Assessments)</f>
        <v>2737</v>
      </c>
      <c r="E17" s="113">
        <f>IF(Year2_Milton_Keynes Year2_Assessments="","",Year2_Milton_Keynes Year2_Assessments)</f>
        <v>2000</v>
      </c>
      <c r="F17" s="113">
        <f>IF(Year3_Milton_Keynes Year3_Assessments="","",Year3_Milton_Keynes Year3_Assessments)</f>
        <v>2087</v>
      </c>
      <c r="G17" s="113">
        <f>IF(Year4_Milton_Keynes Year4_Assessments="","",Year4_Milton_Keynes Year4_Assessments)</f>
        <v>2517</v>
      </c>
      <c r="H17" s="114">
        <f>IF(Year5_Milton_Keynes Year5_Assessments="","",Year5_Milton_Keynes Year5_Assessments)</f>
        <v>2213</v>
      </c>
      <c r="I17" s="392">
        <f t="shared" si="7"/>
        <v>0.1065</v>
      </c>
      <c r="J17" s="115"/>
      <c r="K17" s="116">
        <f>IF(ISNUMBER(D17),D17/Population!C16*10000,NA())</f>
        <v>427.65625</v>
      </c>
      <c r="L17" s="116">
        <f>IF(ISNUMBER(E17),E17/Population!D16*10000,NA())</f>
        <v>306.74846625766872</v>
      </c>
      <c r="M17" s="116">
        <f>IF(ISNUMBER(F17),F17/Population!E16*10000,NA())</f>
        <v>315.7337367624811</v>
      </c>
      <c r="N17" s="116">
        <f>IF(ISNUMBER(G17),G17/Population!F16*10000,NA())</f>
        <v>374.85479403091773</v>
      </c>
      <c r="O17" s="117">
        <f>IF(ISNUMBER(H17),H17/Population!G16*10000,NA())</f>
        <v>327.13941490383905</v>
      </c>
      <c r="P17" s="397">
        <f t="shared" si="2"/>
        <v>3</v>
      </c>
      <c r="Q17" s="70"/>
      <c r="R17" s="387">
        <f>IDACI!C17</f>
        <v>19.7</v>
      </c>
      <c r="S17" s="388">
        <f t="shared" si="3"/>
        <v>531.78807299999994</v>
      </c>
      <c r="T17" s="389">
        <f t="shared" si="4"/>
        <v>-204.64865809616089</v>
      </c>
      <c r="U17" s="139"/>
      <c r="V17" s="154"/>
      <c r="W17" s="170"/>
      <c r="X17" s="72" t="str">
        <f t="shared" si="1"/>
        <v>Milton Keynes</v>
      </c>
      <c r="Y17" s="235">
        <v>9</v>
      </c>
      <c r="Z17" s="236">
        <f>IF(D17&gt;0,Population!C16,"")</f>
        <v>64000</v>
      </c>
      <c r="AA17" s="236">
        <f>IF(E17&gt;0,Population!D16,"")</f>
        <v>65200</v>
      </c>
      <c r="AB17" s="236">
        <f>IF(F17&gt;0,Population!E16,"")</f>
        <v>66100</v>
      </c>
      <c r="AC17" s="236">
        <f>IF(G17&gt;0,Population!F16,"")</f>
        <v>67146</v>
      </c>
      <c r="AD17" s="236">
        <f>IF(H17&gt;0,Population!G16,"")</f>
        <v>67647</v>
      </c>
      <c r="AE17" s="217"/>
      <c r="AF17" s="112" t="s">
        <v>11</v>
      </c>
      <c r="AG17" s="262">
        <f t="shared" si="5"/>
        <v>327.13941490383905</v>
      </c>
      <c r="AH17" s="237">
        <f t="shared" si="6"/>
        <v>3</v>
      </c>
      <c r="AI17" s="217"/>
      <c r="AJ17" s="232"/>
      <c r="AK17" s="178"/>
    </row>
    <row r="18" spans="1:37" s="101" customFormat="1" ht="13.5" customHeight="1" x14ac:dyDescent="0.2">
      <c r="A18" s="533">
        <f>VLOOKUP(B18,Sheet1!$B$4:$C$25,2,FALSE)</f>
        <v>0</v>
      </c>
      <c r="B18" s="112" t="s">
        <v>12</v>
      </c>
      <c r="C18" s="97"/>
      <c r="D18" s="113">
        <f>IF(Year1_Oxfordshire Year1_Assessments="","",Year1_Oxfordshire Year1_Assessments)</f>
        <v>5202</v>
      </c>
      <c r="E18" s="113">
        <f>IF(Year2_Oxfordshire Year2_Assessments="","",Year2_Oxfordshire Year2_Assessments)</f>
        <v>3767</v>
      </c>
      <c r="F18" s="113">
        <f>IF(Year3_Oxfordshire Year3_Assessments="","",Year3_Oxfordshire Year3_Assessments)</f>
        <v>5516</v>
      </c>
      <c r="G18" s="113">
        <f>IF(Year4_Oxfordshire Year4_Assessments="","",Year4_Oxfordshire Year4_Assessments)</f>
        <v>6720</v>
      </c>
      <c r="H18" s="114">
        <f>IF(Year5_Oxfordshire Year5_Assessments="","",Year5_Oxfordshire Year5_Assessments)</f>
        <v>5790</v>
      </c>
      <c r="I18" s="392">
        <f t="shared" si="7"/>
        <v>0.53703212105123443</v>
      </c>
      <c r="J18" s="115"/>
      <c r="K18" s="116">
        <f>IF(ISNUMBER(D18),D18/Population!C17*10000,NA())</f>
        <v>370.77690662865285</v>
      </c>
      <c r="L18" s="116">
        <f>IF(ISNUMBER(E18),E18/Population!D17*10000,NA())</f>
        <v>266.78470254957506</v>
      </c>
      <c r="M18" s="116">
        <f>IF(ISNUMBER(F18),F18/Population!E17*10000,NA())</f>
        <v>388.99858956276444</v>
      </c>
      <c r="N18" s="116">
        <f>IF(ISNUMBER(G18),G18/Population!F17*10000,NA())</f>
        <v>470.26879500619322</v>
      </c>
      <c r="O18" s="117">
        <f>IF(ISNUMBER(H18),H18/Population!G17*10000,NA())</f>
        <v>403.64183932405678</v>
      </c>
      <c r="P18" s="397">
        <f t="shared" si="2"/>
        <v>7</v>
      </c>
      <c r="Q18" s="70"/>
      <c r="R18" s="387">
        <f>IDACI!C18</f>
        <v>11.799999999999999</v>
      </c>
      <c r="S18" s="388">
        <f t="shared" si="3"/>
        <v>435.644362</v>
      </c>
      <c r="T18" s="389">
        <f t="shared" si="4"/>
        <v>-32.002522675943226</v>
      </c>
      <c r="U18" s="139"/>
      <c r="V18" s="154"/>
      <c r="W18" s="170"/>
      <c r="X18" s="72" t="str">
        <f t="shared" si="1"/>
        <v>Oxfordshire</v>
      </c>
      <c r="Y18" s="235">
        <v>10</v>
      </c>
      <c r="Z18" s="236">
        <f>IF(D18&gt;0,Population!C17,"")</f>
        <v>140300</v>
      </c>
      <c r="AA18" s="236">
        <f>IF(E18&gt;0,Population!D17,"")</f>
        <v>141200</v>
      </c>
      <c r="AB18" s="236">
        <f>IF(F18&gt;0,Population!E17,"")</f>
        <v>141800</v>
      </c>
      <c r="AC18" s="236">
        <f>IF(G18&gt;0,Population!F17,"")</f>
        <v>142897</v>
      </c>
      <c r="AD18" s="236">
        <f>IF(H18&gt;0,Population!G17,"")</f>
        <v>143444</v>
      </c>
      <c r="AE18" s="217"/>
      <c r="AF18" s="112" t="s">
        <v>12</v>
      </c>
      <c r="AG18" s="262">
        <f t="shared" si="5"/>
        <v>403.64183932405678</v>
      </c>
      <c r="AH18" s="237">
        <f t="shared" si="6"/>
        <v>7</v>
      </c>
      <c r="AI18" s="217"/>
      <c r="AJ18" s="232"/>
      <c r="AK18" s="178"/>
    </row>
    <row r="19" spans="1:37" s="101" customFormat="1" ht="13.5" customHeight="1" x14ac:dyDescent="0.2">
      <c r="A19" s="533">
        <f>VLOOKUP(B19,Sheet1!$B$4:$C$25,2,FALSE)</f>
        <v>0</v>
      </c>
      <c r="B19" s="112" t="s">
        <v>13</v>
      </c>
      <c r="C19" s="97"/>
      <c r="D19" s="113">
        <f>IF(Year1_Portsmouth Year1_Assessments="","",Year1_Portsmouth Year1_Assessments)</f>
        <v>3160</v>
      </c>
      <c r="E19" s="113">
        <f>IF(Year2_Portsmouth Year2_Assessments="","",Year2_Portsmouth Year2_Assessments)</f>
        <v>1453</v>
      </c>
      <c r="F19" s="113">
        <f>IF(Year3_Portsmouth Year3_Assessments="","",Year3_Portsmouth Year3_Assessments)</f>
        <v>1865</v>
      </c>
      <c r="G19" s="113">
        <f>IF(Year4_Portsmouth Year4_Assessments="","",Year4_Portsmouth Year4_Assessments)</f>
        <v>2950</v>
      </c>
      <c r="H19" s="114">
        <f>IF(Year5_Portsmouth Year5_Assessments="","",Year5_Portsmouth Year5_Assessments)</f>
        <v>3190</v>
      </c>
      <c r="I19" s="392">
        <f t="shared" si="7"/>
        <v>1.1954576737783895</v>
      </c>
      <c r="J19" s="115"/>
      <c r="K19" s="116">
        <f>IF(ISNUMBER(D19),D19/Population!C18*10000,NA())</f>
        <v>741.78403755868533</v>
      </c>
      <c r="L19" s="116">
        <f>IF(ISNUMBER(E19),E19/Population!D18*10000,NA())</f>
        <v>334.79262672811058</v>
      </c>
      <c r="M19" s="116">
        <f>IF(ISNUMBER(F19),F19/Population!E18*10000,NA())</f>
        <v>425.79908675799089</v>
      </c>
      <c r="N19" s="116">
        <f>IF(ISNUMBER(G19),G19/Population!F18*10000,NA())</f>
        <v>670.4545454545455</v>
      </c>
      <c r="O19" s="117">
        <f>IF(ISNUMBER(H19),H19/Population!G18*10000,NA())</f>
        <v>721.85010861694423</v>
      </c>
      <c r="P19" s="397">
        <f t="shared" si="2"/>
        <v>17</v>
      </c>
      <c r="Q19" s="70"/>
      <c r="R19" s="387">
        <f>IDACI!C19</f>
        <v>23.799999999999997</v>
      </c>
      <c r="S19" s="388">
        <f t="shared" si="3"/>
        <v>581.68544199999997</v>
      </c>
      <c r="T19" s="389">
        <f t="shared" si="4"/>
        <v>140.16466661694426</v>
      </c>
      <c r="U19" s="139"/>
      <c r="V19" s="154"/>
      <c r="W19" s="170"/>
      <c r="X19" s="72" t="str">
        <f t="shared" si="1"/>
        <v>Portsmouth</v>
      </c>
      <c r="Y19" s="235">
        <v>11</v>
      </c>
      <c r="Z19" s="236">
        <f>IF(D19&gt;0,Population!C18,"")</f>
        <v>42600</v>
      </c>
      <c r="AA19" s="236">
        <f>IF(E19&gt;0,Population!D18,"")</f>
        <v>43400</v>
      </c>
      <c r="AB19" s="236">
        <f>IF(F19&gt;0,Population!E18,"")</f>
        <v>43800</v>
      </c>
      <c r="AC19" s="236">
        <f>IF(G19&gt;0,Population!F18,"")</f>
        <v>44000</v>
      </c>
      <c r="AD19" s="236">
        <f>IF(H19&gt;0,Population!G18,"")</f>
        <v>44192</v>
      </c>
      <c r="AE19" s="217"/>
      <c r="AF19" s="112" t="s">
        <v>13</v>
      </c>
      <c r="AG19" s="262">
        <f t="shared" si="5"/>
        <v>721.85010861694423</v>
      </c>
      <c r="AH19" s="237">
        <f t="shared" si="6"/>
        <v>17</v>
      </c>
      <c r="AI19" s="217"/>
      <c r="AJ19" s="232"/>
      <c r="AK19" s="178"/>
    </row>
    <row r="20" spans="1:37" s="101" customFormat="1" ht="13.5" customHeight="1" x14ac:dyDescent="0.2">
      <c r="A20" s="533">
        <f>VLOOKUP(B20,Sheet1!$B$4:$C$25,2,FALSE)</f>
        <v>0</v>
      </c>
      <c r="B20" s="112" t="s">
        <v>3</v>
      </c>
      <c r="C20" s="97"/>
      <c r="D20" s="113">
        <f>IF(Year1_Reading Year1_Assessments="","",Year1_Reading Year1_Assessments)</f>
        <v>2129</v>
      </c>
      <c r="E20" s="113">
        <f>IF(Year2_Reading Year2_Assessments="","",Year2_Reading Year2_Assessments)</f>
        <v>1197</v>
      </c>
      <c r="F20" s="113">
        <f>IF(Year3_Reading Year3_Assessments="","",Year3_Reading Year3_Assessments)</f>
        <v>2171</v>
      </c>
      <c r="G20" s="113">
        <f>IF(Year4_Reading Year4_Assessments="","",Year4_Reading Year4_Assessments)</f>
        <v>2945</v>
      </c>
      <c r="H20" s="114">
        <f>IF(Year5_Reading Year5_Assessments="","",Year5_Reading Year5_Assessments)</f>
        <v>2791</v>
      </c>
      <c r="I20" s="392">
        <f t="shared" si="7"/>
        <v>1.3316624895572264</v>
      </c>
      <c r="J20" s="115"/>
      <c r="K20" s="116">
        <f>IF(ISNUMBER(D20),D20/Population!C19*10000,NA())</f>
        <v>613.54466858789624</v>
      </c>
      <c r="L20" s="116">
        <f>IF(ISNUMBER(E20),E20/Population!D19*10000,NA())</f>
        <v>333.42618384401112</v>
      </c>
      <c r="M20" s="116">
        <f>IF(ISNUMBER(F20),F20/Population!E19*10000,NA())</f>
        <v>596.42857142857144</v>
      </c>
      <c r="N20" s="116">
        <f>IF(ISNUMBER(G20),G20/Population!F19*10000,NA())</f>
        <v>803.74443928932078</v>
      </c>
      <c r="O20" s="117">
        <f>IF(ISNUMBER(H20),H20/Population!G19*10000,NA())</f>
        <v>752.43307362575149</v>
      </c>
      <c r="P20" s="397">
        <f t="shared" si="2"/>
        <v>18</v>
      </c>
      <c r="Q20" s="70"/>
      <c r="R20" s="387">
        <f>IDACI!C20</f>
        <v>19.8</v>
      </c>
      <c r="S20" s="388">
        <f t="shared" si="3"/>
        <v>533.00508200000002</v>
      </c>
      <c r="T20" s="389">
        <f t="shared" si="4"/>
        <v>219.42799162575147</v>
      </c>
      <c r="U20" s="139"/>
      <c r="V20" s="154"/>
      <c r="W20" s="170"/>
      <c r="X20" s="72" t="str">
        <f t="shared" si="1"/>
        <v>Reading</v>
      </c>
      <c r="Y20" s="235">
        <v>12</v>
      </c>
      <c r="Z20" s="236">
        <f>IF(D20&gt;0,Population!C19,"")</f>
        <v>34700</v>
      </c>
      <c r="AA20" s="236">
        <f>IF(E20&gt;0,Population!D19,"")</f>
        <v>35900</v>
      </c>
      <c r="AB20" s="236">
        <f>IF(F20&gt;0,Population!E19,"")</f>
        <v>36400</v>
      </c>
      <c r="AC20" s="236">
        <f>IF(G20&gt;0,Population!F19,"")</f>
        <v>36641</v>
      </c>
      <c r="AD20" s="236">
        <f>IF(H20&gt;0,Population!G19,"")</f>
        <v>37093</v>
      </c>
      <c r="AE20" s="217"/>
      <c r="AF20" s="112" t="s">
        <v>3</v>
      </c>
      <c r="AG20" s="262">
        <f t="shared" si="5"/>
        <v>752.43307362575149</v>
      </c>
      <c r="AH20" s="237">
        <f t="shared" si="6"/>
        <v>18</v>
      </c>
      <c r="AI20" s="217"/>
      <c r="AJ20" s="232"/>
      <c r="AK20" s="178"/>
    </row>
    <row r="21" spans="1:37" s="101" customFormat="1" ht="13.5" customHeight="1" x14ac:dyDescent="0.2">
      <c r="A21" s="533">
        <f>VLOOKUP(B21,Sheet1!$B$4:$C$25,2,FALSE)</f>
        <v>0</v>
      </c>
      <c r="B21" s="112" t="s">
        <v>14</v>
      </c>
      <c r="C21" s="97"/>
      <c r="D21" s="113">
        <f>IF(Year1_Slough Year1_Assessments="","",Year1_Slough Year1_Assessments)</f>
        <v>3455</v>
      </c>
      <c r="E21" s="113">
        <f>IF(Year2_Slough Year2_Assessments="","",Year2_Slough Year2_Assessments)</f>
        <v>1879</v>
      </c>
      <c r="F21" s="113">
        <f>IF(Year3_Slough Year3_Assessments="","",Year3_Slough Year3_Assessments)</f>
        <v>2588</v>
      </c>
      <c r="G21" s="113">
        <f>IF(Year4_Slough Year4_Assessments="","",Year4_Slough Year4_Assessments)</f>
        <v>2339</v>
      </c>
      <c r="H21" s="114">
        <f>IF(Year5_Slough Year5_Assessments="","",Year5_Slough Year5_Assessments)</f>
        <v>1541</v>
      </c>
      <c r="I21" s="392">
        <f t="shared" si="7"/>
        <v>-0.1798829164449175</v>
      </c>
      <c r="J21" s="115"/>
      <c r="K21" s="116">
        <f>IF(ISNUMBER(D21),D21/Population!C20*10000,NA())</f>
        <v>888.17480719794344</v>
      </c>
      <c r="L21" s="116">
        <f>IF(ISNUMBER(E21),E21/Population!D20*10000,NA())</f>
        <v>470.92731829573938</v>
      </c>
      <c r="M21" s="116">
        <f>IF(ISNUMBER(F21),F21/Population!E20*10000,NA())</f>
        <v>637.4384236453202</v>
      </c>
      <c r="N21" s="116">
        <f>IF(ISNUMBER(G21),G21/Population!F20*10000,NA())</f>
        <v>564.89397671835002</v>
      </c>
      <c r="O21" s="117">
        <f>IF(ISNUMBER(H21),H21/Population!G20*10000,NA())</f>
        <v>365.33902323376009</v>
      </c>
      <c r="P21" s="397">
        <f t="shared" si="2"/>
        <v>5</v>
      </c>
      <c r="Q21" s="70"/>
      <c r="R21" s="387">
        <f>IDACI!C21</f>
        <v>19.5</v>
      </c>
      <c r="S21" s="388">
        <f t="shared" si="3"/>
        <v>529.35405500000002</v>
      </c>
      <c r="T21" s="389">
        <f t="shared" si="4"/>
        <v>-164.01503176623993</v>
      </c>
      <c r="U21" s="139"/>
      <c r="V21" s="154"/>
      <c r="W21" s="170"/>
      <c r="X21" s="72" t="str">
        <f t="shared" si="1"/>
        <v>Slough</v>
      </c>
      <c r="Y21" s="235">
        <v>13</v>
      </c>
      <c r="Z21" s="236">
        <f>IF(D21&gt;0,Population!C20,"")</f>
        <v>38900</v>
      </c>
      <c r="AA21" s="236">
        <f>IF(E21&gt;0,Population!D20,"")</f>
        <v>39900</v>
      </c>
      <c r="AB21" s="236">
        <f>IF(F21&gt;0,Population!E20,"")</f>
        <v>40600</v>
      </c>
      <c r="AC21" s="236">
        <f>IF(G21&gt;0,Population!F20,"")</f>
        <v>41406</v>
      </c>
      <c r="AD21" s="236">
        <f>IF(H21&gt;0,Population!G20,"")</f>
        <v>42180</v>
      </c>
      <c r="AE21" s="217"/>
      <c r="AF21" s="112" t="s">
        <v>14</v>
      </c>
      <c r="AG21" s="262">
        <f t="shared" si="5"/>
        <v>365.33902323376009</v>
      </c>
      <c r="AH21" s="237">
        <f t="shared" si="6"/>
        <v>5</v>
      </c>
      <c r="AI21" s="217"/>
      <c r="AJ21" s="232"/>
      <c r="AK21" s="178"/>
    </row>
    <row r="22" spans="1:37" s="101" customFormat="1" ht="13.5" customHeight="1" x14ac:dyDescent="0.2">
      <c r="A22" s="533">
        <f>VLOOKUP(B22,Sheet1!$B$4:$C$25,2,FALSE)</f>
        <v>0</v>
      </c>
      <c r="B22" s="112" t="s">
        <v>93</v>
      </c>
      <c r="C22" s="97"/>
      <c r="D22" s="113">
        <f>IF(Year1_Somerset Year1_Assessments="","",Year1_Somerset Year1_Assessments)</f>
        <v>6536</v>
      </c>
      <c r="E22" s="113">
        <f>IF(Year2_Somerset Year2_Assessments="","",Year2_Somerset Year2_Assessments)</f>
        <v>4524</v>
      </c>
      <c r="F22" s="113">
        <f>IF(Year3_Somerset Year3_Assessments="","",Year3_Somerset Year3_Assessments)</f>
        <v>4413</v>
      </c>
      <c r="G22" s="113">
        <f>IF(Year4_Somerset Year4_Assessments="","",Year4_Somerset Year4_Assessments)</f>
        <v>4944</v>
      </c>
      <c r="H22" s="114">
        <f>IF(Year5_Somerset Year5_Assessments="","",Year5_Somerset Year5_Assessments)</f>
        <v>5585</v>
      </c>
      <c r="I22" s="392">
        <f t="shared" si="7"/>
        <v>0.23452696728558797</v>
      </c>
      <c r="J22" s="115"/>
      <c r="K22" s="116">
        <f>IF(ISNUMBER(D22),D22/Population!C21*10000,NA())</f>
        <v>600.73529411764707</v>
      </c>
      <c r="L22" s="116">
        <f>IF(ISNUMBER(E22),E22/Population!D21*10000,NA())</f>
        <v>415.42699724517905</v>
      </c>
      <c r="M22" s="116">
        <f>IF(ISNUMBER(F22),F22/Population!E21*10000,NA())</f>
        <v>404.12087912087912</v>
      </c>
      <c r="N22" s="116">
        <f>IF(ISNUMBER(G22),G22/Population!F21*10000,NA())</f>
        <v>450.86041018813211</v>
      </c>
      <c r="O22" s="117">
        <f>IF(ISNUMBER(H22),H22/Population!G21*10000,NA())</f>
        <v>507.33984956941975</v>
      </c>
      <c r="P22" s="422" t="str">
        <f t="shared" si="2"/>
        <v>--</v>
      </c>
      <c r="Q22" s="70"/>
      <c r="R22" s="387">
        <f>IDACI!C22</f>
        <v>14.8</v>
      </c>
      <c r="S22" s="388">
        <f t="shared" si="3"/>
        <v>472.15463199999999</v>
      </c>
      <c r="T22" s="389">
        <f t="shared" si="4"/>
        <v>35.185217569419763</v>
      </c>
      <c r="U22" s="139"/>
      <c r="V22" s="154"/>
      <c r="W22" s="170"/>
      <c r="X22" s="72" t="str">
        <f t="shared" si="1"/>
        <v>Somerset</v>
      </c>
      <c r="Y22" s="235">
        <v>14</v>
      </c>
      <c r="Z22" s="236">
        <f>IF(D22&gt;0,Population!C21,"")</f>
        <v>108800</v>
      </c>
      <c r="AA22" s="236">
        <f>IF(E22&gt;0,Population!D21,"")</f>
        <v>108900</v>
      </c>
      <c r="AB22" s="236">
        <f>IF(F22&gt;0,Population!E21,"")</f>
        <v>109200</v>
      </c>
      <c r="AC22" s="236">
        <f>IF(G22&gt;0,Population!F21,"")</f>
        <v>109657</v>
      </c>
      <c r="AD22" s="236">
        <f>IF(H22&gt;0,Population!G21,"")</f>
        <v>110084</v>
      </c>
      <c r="AE22" s="217"/>
      <c r="AF22" s="112" t="s">
        <v>15</v>
      </c>
      <c r="AG22" s="262">
        <f t="shared" si="5"/>
        <v>460.78918596560976</v>
      </c>
      <c r="AH22" s="237">
        <f t="shared" si="6"/>
        <v>8</v>
      </c>
      <c r="AI22" s="217"/>
      <c r="AJ22" s="232"/>
      <c r="AK22" s="178"/>
    </row>
    <row r="23" spans="1:37" s="101" customFormat="1" ht="13.5" customHeight="1" x14ac:dyDescent="0.2">
      <c r="A23" s="533">
        <f>VLOOKUP(B23,Sheet1!$B$4:$C$25,2,FALSE)</f>
        <v>0</v>
      </c>
      <c r="B23" s="112" t="s">
        <v>15</v>
      </c>
      <c r="C23" s="97"/>
      <c r="D23" s="118" t="str">
        <f>IF(Year1_Southampton Year1_Assessments="","",Year1_Southampton Year1_Assessments)</f>
        <v/>
      </c>
      <c r="E23" s="118">
        <f>IF(Year2_Southampton Year2_Assessments="","",Year2_Southampton Year2_Assessments)</f>
        <v>2109</v>
      </c>
      <c r="F23" s="113">
        <f>IF(Year3_Southampton Year3_Assessments="","",Year3_Southampton Year3_Assessments)</f>
        <v>3035</v>
      </c>
      <c r="G23" s="113">
        <f>IF(Year4_Southampton Year4_Assessments="","",Year4_Southampton Year4_Assessments)</f>
        <v>2655</v>
      </c>
      <c r="H23" s="114">
        <f>IF(Year5_Southampton Year5_Assessments="","",Year5_Southampton Year5_Assessments)</f>
        <v>2318</v>
      </c>
      <c r="I23" s="392">
        <f t="shared" si="7"/>
        <v>9.90990990990991E-2</v>
      </c>
      <c r="J23" s="115"/>
      <c r="K23" s="116" t="e">
        <f>IF(ISNUMBER(D23),D23/Population!C22*10000,NA())</f>
        <v>#N/A</v>
      </c>
      <c r="L23" s="116">
        <f>IF(ISNUMBER(E23),E23/Population!D22*10000,NA())</f>
        <v>433.95061728395063</v>
      </c>
      <c r="M23" s="116">
        <f>IF(ISNUMBER(F23),F23/Population!E22*10000,NA())</f>
        <v>616.869918699187</v>
      </c>
      <c r="N23" s="116">
        <f>IF(ISNUMBER(G23),G23/Population!F22*10000,NA())</f>
        <v>532.05346586240762</v>
      </c>
      <c r="O23" s="117">
        <f>IF(ISNUMBER(H23),H23/Population!G22*10000,NA())</f>
        <v>460.78918596560976</v>
      </c>
      <c r="P23" s="397">
        <f t="shared" si="2"/>
        <v>8</v>
      </c>
      <c r="Q23" s="70"/>
      <c r="R23" s="387">
        <f>IDACI!C23</f>
        <v>25</v>
      </c>
      <c r="S23" s="388">
        <f t="shared" si="3"/>
        <v>596.28954999999996</v>
      </c>
      <c r="T23" s="389">
        <f t="shared" si="4"/>
        <v>-135.5003640343902</v>
      </c>
      <c r="U23" s="139"/>
      <c r="V23" s="154"/>
      <c r="W23" s="170"/>
      <c r="X23" s="72" t="str">
        <f t="shared" si="1"/>
        <v>Southampton</v>
      </c>
      <c r="Y23" s="235">
        <v>15</v>
      </c>
      <c r="Z23" s="236">
        <f>IF(D23&gt;0,Population!C22,"")</f>
        <v>47400</v>
      </c>
      <c r="AA23" s="236">
        <f>IF(E23&gt;0,Population!D22,"")</f>
        <v>48600</v>
      </c>
      <c r="AB23" s="236">
        <f>IF(F23&gt;0,Population!E22,"")</f>
        <v>49200</v>
      </c>
      <c r="AC23" s="236">
        <f>IF(G23&gt;0,Population!F22,"")</f>
        <v>49901</v>
      </c>
      <c r="AD23" s="236">
        <f>IF(H23&gt;0,Population!G22,"")</f>
        <v>50305</v>
      </c>
      <c r="AE23" s="217"/>
      <c r="AF23" s="112" t="s">
        <v>7</v>
      </c>
      <c r="AG23" s="262">
        <f t="shared" si="5"/>
        <v>483.2408136608978</v>
      </c>
      <c r="AH23" s="237">
        <f t="shared" si="6"/>
        <v>9</v>
      </c>
      <c r="AI23" s="217"/>
      <c r="AJ23" s="232"/>
      <c r="AK23" s="178"/>
    </row>
    <row r="24" spans="1:37" s="101" customFormat="1" ht="13.5" customHeight="1" x14ac:dyDescent="0.2">
      <c r="A24" s="533">
        <f>VLOOKUP(B24,Sheet1!$B$4:$C$25,2,FALSE)</f>
        <v>0</v>
      </c>
      <c r="B24" s="112" t="s">
        <v>7</v>
      </c>
      <c r="C24" s="97"/>
      <c r="D24" s="113">
        <f>IF(Year1_Surrey Year1_Assessments="","",Year1_Surrey Year1_Assessments)</f>
        <v>11426</v>
      </c>
      <c r="E24" s="113">
        <f>IF(Year2_Surrey Year2_Assessments="","",Year2_Surrey Year2_Assessments)</f>
        <v>8993</v>
      </c>
      <c r="F24" s="113">
        <f>IF(Year3_Surrey Year3_Assessments="","",Year3_Surrey Year3_Assessments)</f>
        <v>12174</v>
      </c>
      <c r="G24" s="113">
        <f>IF(Year4_Surrey Year4_Assessments="","",Year4_Surrey Year4_Assessments)</f>
        <v>12022</v>
      </c>
      <c r="H24" s="114">
        <f>IF(Year5_Surrey Year5_Assessments="","",Year5_Surrey Year5_Assessments)</f>
        <v>12579</v>
      </c>
      <c r="I24" s="392">
        <f t="shared" si="7"/>
        <v>0.39875458690092291</v>
      </c>
      <c r="J24" s="115"/>
      <c r="K24" s="116">
        <f>IF(ISNUMBER(D24),D24/Population!C23*10000,NA())</f>
        <v>453.41269841269843</v>
      </c>
      <c r="L24" s="116">
        <f>IF(ISNUMBER(E24),E24/Population!D23*10000,NA())</f>
        <v>353.22073841319718</v>
      </c>
      <c r="M24" s="116">
        <f>IF(ISNUMBER(F24),F24/Population!E23*10000,NA())</f>
        <v>474.80499219968794</v>
      </c>
      <c r="N24" s="116">
        <f>IF(ISNUMBER(G24),G24/Population!F23*10000,NA())</f>
        <v>464.17167633851869</v>
      </c>
      <c r="O24" s="117">
        <f>IF(ISNUMBER(H24),H24/Population!G23*10000,NA())</f>
        <v>483.2408136608978</v>
      </c>
      <c r="P24" s="397">
        <f t="shared" si="2"/>
        <v>9</v>
      </c>
      <c r="Q24" s="70"/>
      <c r="R24" s="387">
        <f>IDACI!C24</f>
        <v>9.7000000000000011</v>
      </c>
      <c r="S24" s="388">
        <f t="shared" si="3"/>
        <v>410.08717300000001</v>
      </c>
      <c r="T24" s="389">
        <f t="shared" si="4"/>
        <v>73.153640660897793</v>
      </c>
      <c r="U24" s="139"/>
      <c r="V24" s="154"/>
      <c r="W24" s="170"/>
      <c r="X24" s="72" t="str">
        <f t="shared" si="1"/>
        <v>Surrey</v>
      </c>
      <c r="Y24" s="235">
        <v>16</v>
      </c>
      <c r="Z24" s="236">
        <f>IF(D24&gt;0,Population!C23,"")</f>
        <v>252000</v>
      </c>
      <c r="AA24" s="236">
        <f>IF(E24&gt;0,Population!D23,"")</f>
        <v>254600</v>
      </c>
      <c r="AB24" s="236">
        <f>IF(F24&gt;0,Population!E23,"")</f>
        <v>256400</v>
      </c>
      <c r="AC24" s="236">
        <f>IF(G24&gt;0,Population!F23,"")</f>
        <v>258999</v>
      </c>
      <c r="AD24" s="236">
        <f>IF(H24&gt;0,Population!G23,"")</f>
        <v>260305</v>
      </c>
      <c r="AE24" s="217"/>
      <c r="AF24" s="112" t="s">
        <v>16</v>
      </c>
      <c r="AG24" s="262">
        <f t="shared" si="5"/>
        <v>497.34562727018721</v>
      </c>
      <c r="AH24" s="237">
        <f t="shared" si="6"/>
        <v>10</v>
      </c>
      <c r="AI24" s="217"/>
      <c r="AJ24" s="232"/>
      <c r="AK24" s="178"/>
    </row>
    <row r="25" spans="1:37" s="101" customFormat="1" ht="13.5" customHeight="1" x14ac:dyDescent="0.2">
      <c r="A25" s="533">
        <f>VLOOKUP(B25,Sheet1!$B$4:$C$25,2,FALSE)</f>
        <v>0</v>
      </c>
      <c r="B25" s="112" t="s">
        <v>116</v>
      </c>
      <c r="C25" s="97"/>
      <c r="D25" s="113">
        <f>IF(Year1_Swindon Year1_Assessments="","",Year1_Swindon Year1_Assessments)</f>
        <v>2297</v>
      </c>
      <c r="E25" s="113">
        <f>IF(Year2_Swindon Year2_Assessments="","",Year2_Swindon Year2_Assessments)</f>
        <v>2649</v>
      </c>
      <c r="F25" s="113">
        <f>IF(Year3_Swindon Year3_Assessments="","",Year3_Swindon Year3_Assessments)</f>
        <v>3139</v>
      </c>
      <c r="G25" s="113">
        <f>IF(Year4_Swindon Year4_Assessments="","",Year4_Swindon Year4_Assessments)</f>
        <v>2994</v>
      </c>
      <c r="H25" s="114">
        <f>IF(Year5_Swindon Year5_Assessments="","",Year5_Swindon Year5_Assessments)</f>
        <v>3151</v>
      </c>
      <c r="I25" s="392">
        <f t="shared" si="7"/>
        <v>0.1895054737636844</v>
      </c>
      <c r="J25" s="115"/>
      <c r="K25" s="116">
        <f>IF(ISNUMBER(D25),D25/Population!C24*10000,NA())</f>
        <v>479.54070981210856</v>
      </c>
      <c r="L25" s="116">
        <f>IF(ISNUMBER(E25),E25/Population!D24*10000,NA())</f>
        <v>545.06172839506166</v>
      </c>
      <c r="M25" s="116">
        <f>IF(ISNUMBER(F25),F25/Population!E24*10000,NA())</f>
        <v>640.61224489795916</v>
      </c>
      <c r="N25" s="116">
        <f>IF(ISNUMBER(G25),G25/Population!F24*10000,NA())</f>
        <v>605.313169706037</v>
      </c>
      <c r="O25" s="117">
        <f>IF(ISNUMBER(H25),H25/Population!G24*10000,NA())</f>
        <v>631.15936223059055</v>
      </c>
      <c r="P25" s="422" t="str">
        <f t="shared" si="2"/>
        <v>--</v>
      </c>
      <c r="Q25" s="70"/>
      <c r="R25" s="387">
        <f>IDACI!C25</f>
        <v>17.2</v>
      </c>
      <c r="S25" s="388">
        <f t="shared" si="3"/>
        <v>501.36284799999999</v>
      </c>
      <c r="T25" s="389">
        <f t="shared" si="4"/>
        <v>129.79651423059056</v>
      </c>
      <c r="U25" s="139"/>
      <c r="V25" s="154"/>
      <c r="W25" s="170"/>
      <c r="X25" s="72" t="str">
        <f t="shared" si="1"/>
        <v>Swindon</v>
      </c>
      <c r="Y25" s="235">
        <v>17</v>
      </c>
      <c r="Z25" s="236">
        <f>IF(D25&gt;0,Population!C24,"")</f>
        <v>47900</v>
      </c>
      <c r="AA25" s="236">
        <f>IF(E25&gt;0,Population!D24,"")</f>
        <v>48600</v>
      </c>
      <c r="AB25" s="236">
        <f>IF(F25&gt;0,Population!E24,"")</f>
        <v>49000</v>
      </c>
      <c r="AC25" s="236">
        <f>IF(G25&gt;0,Population!F24,"")</f>
        <v>49462</v>
      </c>
      <c r="AD25" s="236">
        <f>IF(H25&gt;0,Population!G24,"")</f>
        <v>49924</v>
      </c>
      <c r="AE25" s="217"/>
      <c r="AF25" s="112" t="s">
        <v>5</v>
      </c>
      <c r="AG25" s="262">
        <f t="shared" si="5"/>
        <v>577.32815484675177</v>
      </c>
      <c r="AH25" s="237">
        <f t="shared" si="6"/>
        <v>13</v>
      </c>
      <c r="AI25" s="217"/>
      <c r="AJ25" s="232"/>
      <c r="AK25" s="178"/>
    </row>
    <row r="26" spans="1:37" s="101" customFormat="1" ht="13.5" customHeight="1" x14ac:dyDescent="0.2">
      <c r="A26" s="533">
        <f>VLOOKUP(B26,Sheet1!$B$4:$C$25,2,FALSE)</f>
        <v>0</v>
      </c>
      <c r="B26" s="112" t="s">
        <v>117</v>
      </c>
      <c r="C26" s="97"/>
      <c r="D26" s="113">
        <f>IF(Year1_Torbay Year1_Assessments="","",Year1_Torbay Year1_Assessments)</f>
        <v>2408</v>
      </c>
      <c r="E26" s="113">
        <f>IF(Year2_Torbay Year2_Assessments="","",Year2_Torbay Year2_Assessments)</f>
        <v>1488</v>
      </c>
      <c r="F26" s="113">
        <f>IF(Year3_Torbay Year3_Assessments="","",Year3_Torbay Year3_Assessments)</f>
        <v>1558</v>
      </c>
      <c r="G26" s="113">
        <f>IF(Year4_Torbay Year4_Assessments="","",Year4_Torbay Year4_Assessments)</f>
        <v>1012</v>
      </c>
      <c r="H26" s="114">
        <f>IF(Year5_Torbay Year5_Assessments="","",Year5_Torbay Year5_Assessments)</f>
        <v>1885</v>
      </c>
      <c r="I26" s="392">
        <f t="shared" si="7"/>
        <v>0.26680107526881719</v>
      </c>
      <c r="J26" s="115"/>
      <c r="K26" s="116">
        <f>IF(ISNUMBER(D26),D26/Population!C25*10000,NA())</f>
        <v>970.96774193548379</v>
      </c>
      <c r="L26" s="116">
        <f>IF(ISNUMBER(E26),E26/Population!D25*10000,NA())</f>
        <v>592.82868525896413</v>
      </c>
      <c r="M26" s="116">
        <f>IF(ISNUMBER(F26),F26/Population!E25*10000,NA())</f>
        <v>618.2539682539682</v>
      </c>
      <c r="N26" s="116">
        <f>IF(ISNUMBER(G26),G26/Population!F25*10000,NA())</f>
        <v>398.84917037796083</v>
      </c>
      <c r="O26" s="117">
        <f>IF(ISNUMBER(H26),H26/Population!G25*10000,NA())</f>
        <v>741.62961797222329</v>
      </c>
      <c r="P26" s="422" t="str">
        <f t="shared" si="2"/>
        <v>--</v>
      </c>
      <c r="Q26" s="70"/>
      <c r="R26" s="387">
        <f>IDACI!C26</f>
        <v>24.1</v>
      </c>
      <c r="S26" s="388">
        <f t="shared" si="3"/>
        <v>585.33646900000008</v>
      </c>
      <c r="T26" s="389">
        <f t="shared" si="4"/>
        <v>156.29314897222321</v>
      </c>
      <c r="U26" s="139"/>
      <c r="V26" s="154"/>
      <c r="W26" s="170"/>
      <c r="X26" s="72" t="str">
        <f t="shared" si="1"/>
        <v>Torbay</v>
      </c>
      <c r="Y26" s="235">
        <v>18</v>
      </c>
      <c r="Z26" s="236">
        <f>IF(D26&gt;0,Population!C25,"")</f>
        <v>24800</v>
      </c>
      <c r="AA26" s="236">
        <f>IF(E26&gt;0,Population!D25,"")</f>
        <v>25100</v>
      </c>
      <c r="AB26" s="236">
        <f>IF(F26&gt;0,Population!E25,"")</f>
        <v>25200</v>
      </c>
      <c r="AC26" s="236">
        <f>IF(G26&gt;0,Population!F25,"")</f>
        <v>25373</v>
      </c>
      <c r="AD26" s="236">
        <f>IF(H26&gt;0,Population!G25,"")</f>
        <v>25417</v>
      </c>
      <c r="AE26" s="217"/>
      <c r="AF26" s="112" t="s">
        <v>31</v>
      </c>
      <c r="AG26" s="262">
        <f t="shared" si="5"/>
        <v>269.85328365160689</v>
      </c>
      <c r="AH26" s="237">
        <f t="shared" si="6"/>
        <v>1</v>
      </c>
      <c r="AI26" s="217"/>
      <c r="AJ26" s="232"/>
      <c r="AK26" s="178"/>
    </row>
    <row r="27" spans="1:37" s="101" customFormat="1" ht="13.5" customHeight="1" x14ac:dyDescent="0.2">
      <c r="A27" s="533">
        <f>VLOOKUP(B27,Sheet1!$B$4:$C$25,2,FALSE)</f>
        <v>0</v>
      </c>
      <c r="B27" s="112" t="s">
        <v>16</v>
      </c>
      <c r="C27" s="97"/>
      <c r="D27" s="113">
        <f>IF(Year1_West_Berkshire Year1_Assessments="","",Year1_West_Berkshire Year1_Assessments)</f>
        <v>1497</v>
      </c>
      <c r="E27" s="118">
        <f>IF(Year2_West_Berkshire Year2_Assessments="","",Year2_West_Berkshire Year2_Assessments)</f>
        <v>887</v>
      </c>
      <c r="F27" s="113">
        <f>IF(Year3_West_Berkshire Year3_Assessments="","",Year3_West_Berkshire Year3_Assessments)</f>
        <v>1434</v>
      </c>
      <c r="G27" s="113">
        <f>IF(Year4_West_Berkshire Year4_Assessments="","",Year4_West_Berkshire Year4_Assessments)</f>
        <v>1503</v>
      </c>
      <c r="H27" s="114">
        <f>IF(Year5_West_Berkshire Year5_Assessments="","",Year5_West_Berkshire Year5_Assessments)</f>
        <v>1780</v>
      </c>
      <c r="I27" s="392">
        <f t="shared" si="7"/>
        <v>1.0067643742953776</v>
      </c>
      <c r="J27" s="115"/>
      <c r="K27" s="116">
        <f>IF(ISNUMBER(D27),D27/Population!C26*10000,NA())</f>
        <v>419.32773109243698</v>
      </c>
      <c r="L27" s="116">
        <f>IF(ISNUMBER(E27),E27/Population!D26*10000,NA())</f>
        <v>249.15730337078651</v>
      </c>
      <c r="M27" s="116">
        <f>IF(ISNUMBER(F27),F27/Population!E26*10000,NA())</f>
        <v>401.68067226890759</v>
      </c>
      <c r="N27" s="116">
        <f>IF(ISNUMBER(G27),G27/Population!F26*10000,NA())</f>
        <v>418.30174501127158</v>
      </c>
      <c r="O27" s="117">
        <f>IF(ISNUMBER(H27),H27/Population!G26*10000,NA())</f>
        <v>497.34562727018721</v>
      </c>
      <c r="P27" s="397">
        <f t="shared" si="2"/>
        <v>10</v>
      </c>
      <c r="Q27" s="70"/>
      <c r="R27" s="387">
        <f>IDACI!C27</f>
        <v>10.4</v>
      </c>
      <c r="S27" s="388">
        <f t="shared" si="3"/>
        <v>418.60623600000002</v>
      </c>
      <c r="T27" s="389">
        <f t="shared" si="4"/>
        <v>78.739391270187184</v>
      </c>
      <c r="U27" s="139"/>
      <c r="V27" s="154"/>
      <c r="W27" s="170"/>
      <c r="X27" s="72" t="str">
        <f t="shared" si="1"/>
        <v>West Berkshire</v>
      </c>
      <c r="Y27" s="235">
        <v>19</v>
      </c>
      <c r="Z27" s="236">
        <f>IF(D27&gt;0,Population!C26,"")</f>
        <v>35700</v>
      </c>
      <c r="AA27" s="236">
        <f>IF(E27&gt;0,Population!D26,"")</f>
        <v>35600</v>
      </c>
      <c r="AB27" s="236">
        <f>IF(F27&gt;0,Population!E26,"")</f>
        <v>35700</v>
      </c>
      <c r="AC27" s="236">
        <f>IF(G27&gt;0,Population!F26,"")</f>
        <v>35931</v>
      </c>
      <c r="AD27" s="236">
        <f>IF(H27&gt;0,Population!G26,"")</f>
        <v>35790</v>
      </c>
      <c r="AE27" s="232"/>
      <c r="AF27" s="112" t="s">
        <v>17</v>
      </c>
      <c r="AG27" s="262">
        <f t="shared" si="5"/>
        <v>283.18949925068472</v>
      </c>
      <c r="AH27" s="237">
        <f t="shared" si="6"/>
        <v>2</v>
      </c>
      <c r="AI27" s="217"/>
      <c r="AJ27" s="232"/>
      <c r="AK27" s="178"/>
    </row>
    <row r="28" spans="1:37" s="101" customFormat="1" ht="13.5" customHeight="1" x14ac:dyDescent="0.2">
      <c r="A28" s="533">
        <f>VLOOKUP(B28,Sheet1!$B$4:$C$25,2,FALSE)</f>
        <v>0</v>
      </c>
      <c r="B28" s="112" t="s">
        <v>5</v>
      </c>
      <c r="C28" s="97"/>
      <c r="D28" s="113">
        <f>IF(Year1_West_Sussex Year1_Assessments="","",Year1_West_Sussex Year1_Assessments)</f>
        <v>7222</v>
      </c>
      <c r="E28" s="118">
        <f>IF(Year2_West_Sussex Year2_Assessments="","",Year2_West_Sussex Year2_Assessments)</f>
        <v>5185</v>
      </c>
      <c r="F28" s="113">
        <f>IF(Year3_West_Sussex Year3_Assessments="","",Year3_West_Sussex Year3_Assessments)</f>
        <v>7465</v>
      </c>
      <c r="G28" s="113">
        <f>IF(Year4_West_Sussex Year4_Assessments="","",Year4_West_Sussex Year4_Assessments)</f>
        <v>7633</v>
      </c>
      <c r="H28" s="114">
        <f>IF(Year5_West_Sussex Year5_Assessments="","",Year5_West_Sussex Year5_Assessments)</f>
        <v>10004</v>
      </c>
      <c r="I28" s="392">
        <f t="shared" si="7"/>
        <v>0.92941176470588238</v>
      </c>
      <c r="J28" s="115"/>
      <c r="K28" s="116">
        <f>IF(ISNUMBER(D28),D28/Population!C27*10000,NA())</f>
        <v>432.45508982035926</v>
      </c>
      <c r="L28" s="116">
        <f>IF(ISNUMBER(E28),E28/Population!D27*10000,NA())</f>
        <v>307.16824644549763</v>
      </c>
      <c r="M28" s="116">
        <f>IF(ISNUMBER(F28),F28/Population!E27*10000,NA())</f>
        <v>438.08685446009389</v>
      </c>
      <c r="N28" s="116">
        <f>IF(ISNUMBER(G28),G28/Population!F27*10000,NA())</f>
        <v>444.39657430965116</v>
      </c>
      <c r="O28" s="117">
        <f>IF(ISNUMBER(H28),H28/Population!G27*10000,NA())</f>
        <v>577.32815484675177</v>
      </c>
      <c r="P28" s="397">
        <f t="shared" si="2"/>
        <v>13</v>
      </c>
      <c r="Q28" s="70"/>
      <c r="R28" s="387">
        <f>IDACI!C28</f>
        <v>12.9</v>
      </c>
      <c r="S28" s="388">
        <f t="shared" si="3"/>
        <v>449.03146100000004</v>
      </c>
      <c r="T28" s="389">
        <f t="shared" si="4"/>
        <v>128.29669384675174</v>
      </c>
      <c r="U28" s="139"/>
      <c r="V28" s="154"/>
      <c r="W28" s="170"/>
      <c r="X28" s="72" t="str">
        <f t="shared" si="1"/>
        <v>West Sussex</v>
      </c>
      <c r="Y28" s="235">
        <v>20</v>
      </c>
      <c r="Z28" s="236">
        <f>IF(D28&gt;0,Population!C27,"")</f>
        <v>167000</v>
      </c>
      <c r="AA28" s="236">
        <f>IF(E28&gt;0,Population!D27,"")</f>
        <v>168800</v>
      </c>
      <c r="AB28" s="236">
        <f>IF(F28&gt;0,Population!E27,"")</f>
        <v>170400</v>
      </c>
      <c r="AC28" s="236">
        <f>IF(G28&gt;0,Population!F27,"")</f>
        <v>171761</v>
      </c>
      <c r="AD28" s="236">
        <f>IF(H28&gt;0,Population!G27,"")</f>
        <v>173281</v>
      </c>
      <c r="AE28" s="232"/>
      <c r="AF28" s="232"/>
      <c r="AG28" s="232"/>
      <c r="AH28" s="217"/>
      <c r="AI28" s="217"/>
      <c r="AJ28" s="232"/>
      <c r="AK28" s="178"/>
    </row>
    <row r="29" spans="1:37" s="101" customFormat="1" ht="13.5" customHeight="1" x14ac:dyDescent="0.2">
      <c r="A29" s="533">
        <f>VLOOKUP(B29,Sheet1!$B$4:$C$25,2,FALSE)</f>
        <v>0</v>
      </c>
      <c r="B29" s="112" t="s">
        <v>31</v>
      </c>
      <c r="C29" s="97"/>
      <c r="D29" s="118">
        <f>IF(Year1_Windsor_Maidenhead Year1_Assessments="","",Year1_Windsor_Maidenhead Year1_Assessments)</f>
        <v>845</v>
      </c>
      <c r="E29" s="113">
        <f>IF(Year2_Windsor_Maidenhead Year2_Assessments="","",Year2_Windsor_Maidenhead Year2_Assessments)</f>
        <v>779</v>
      </c>
      <c r="F29" s="113">
        <f>IF(Year3_Windsor_Maidenhead Year3_Assessments="","",Year3_Windsor_Maidenhead Year3_Assessments)</f>
        <v>924</v>
      </c>
      <c r="G29" s="113">
        <f>IF(Year4_Windsor_Maidenhead Year4_Assessments="","",Year4_Windsor_Maidenhead Year4_Assessments)</f>
        <v>668</v>
      </c>
      <c r="H29" s="114">
        <f>IF(Year5_Windsor_Maidenhead Year5_Assessments="","",Year5_Windsor_Maidenhead Year5_Assessments)</f>
        <v>927</v>
      </c>
      <c r="I29" s="392">
        <f t="shared" si="7"/>
        <v>0.18998716302952504</v>
      </c>
      <c r="J29" s="115"/>
      <c r="K29" s="116">
        <f>IF(ISNUMBER(D29),D29/Population!C28*10000,NA())</f>
        <v>253.75375375375376</v>
      </c>
      <c r="L29" s="116">
        <f>IF(ISNUMBER(E29),E29/Population!D28*10000,NA())</f>
        <v>233.23353293413174</v>
      </c>
      <c r="M29" s="116">
        <f>IF(ISNUMBER(F29),F29/Population!E28*10000,NA())</f>
        <v>274.18397626112761</v>
      </c>
      <c r="N29" s="116">
        <f>IF(ISNUMBER(G29),G29/Population!F28*10000,NA())</f>
        <v>195.45880149812734</v>
      </c>
      <c r="O29" s="117">
        <f>IF(ISNUMBER(H29),H29/Population!G28*10000,NA())</f>
        <v>269.85328365160689</v>
      </c>
      <c r="P29" s="397">
        <f t="shared" si="2"/>
        <v>1</v>
      </c>
      <c r="Q29" s="70"/>
      <c r="R29" s="387">
        <f>IDACI!C29</f>
        <v>8.4</v>
      </c>
      <c r="S29" s="388">
        <f t="shared" si="3"/>
        <v>394.26605600000005</v>
      </c>
      <c r="T29" s="389">
        <f t="shared" si="4"/>
        <v>-124.41277234839316</v>
      </c>
      <c r="U29" s="139"/>
      <c r="V29" s="154"/>
      <c r="W29" s="170"/>
      <c r="X29" s="72" t="str">
        <f t="shared" si="1"/>
        <v>Windsor &amp; Maidenhead</v>
      </c>
      <c r="Y29" s="235">
        <v>21</v>
      </c>
      <c r="Z29" s="236">
        <f>IF(D29&gt;0,Population!C28,"")</f>
        <v>33300</v>
      </c>
      <c r="AA29" s="236">
        <f>IF(E29&gt;0,Population!D28,"")</f>
        <v>33400</v>
      </c>
      <c r="AB29" s="236">
        <f>IF(F29&gt;0,Population!E28,"")</f>
        <v>33700</v>
      </c>
      <c r="AC29" s="236">
        <f>IF(G29&gt;0,Population!F28,"")</f>
        <v>34176</v>
      </c>
      <c r="AD29" s="236">
        <f>IF(H29&gt;0,Population!G28,"")</f>
        <v>34352</v>
      </c>
      <c r="AE29" s="232"/>
      <c r="AF29" s="232"/>
      <c r="AG29" s="232"/>
      <c r="AH29" s="217"/>
      <c r="AI29" s="217"/>
      <c r="AJ29" s="232"/>
      <c r="AK29" s="178"/>
    </row>
    <row r="30" spans="1:37" s="101" customFormat="1" ht="13.5" customHeight="1" x14ac:dyDescent="0.2">
      <c r="A30" s="533">
        <f>VLOOKUP(B30,Sheet1!$B$4:$C$25,2,FALSE)</f>
        <v>0</v>
      </c>
      <c r="B30" s="112" t="s">
        <v>17</v>
      </c>
      <c r="C30" s="97"/>
      <c r="D30" s="118">
        <f>IF(Year1_Wokingham Year1_Assessments="","",Year1_Wokingham Year1_Assessments)</f>
        <v>1199</v>
      </c>
      <c r="E30" s="113">
        <f>IF(Year2_Wokingham Year2_Assessments="","",Year2_Wokingham Year2_Assessments)</f>
        <v>887</v>
      </c>
      <c r="F30" s="113">
        <f>IF(Year3_Wokingham Year3_Assessments="","",Year3_Wokingham Year3_Assessments)</f>
        <v>1128</v>
      </c>
      <c r="G30" s="113">
        <f>IF(Year4_Wokingham Year4_Assessments="","",Year4_Wokingham Year4_Assessments)</f>
        <v>875</v>
      </c>
      <c r="H30" s="114">
        <f>IF(Year5_Wokingham Year5_Assessments="","",Year5_Wokingham Year5_Assessments)</f>
        <v>1096</v>
      </c>
      <c r="I30" s="392">
        <f t="shared" si="7"/>
        <v>0.23562570462232243</v>
      </c>
      <c r="J30" s="115"/>
      <c r="K30" s="116">
        <f>IF(ISNUMBER(D30),D30/Population!C29*10000,NA())</f>
        <v>331.21546961325964</v>
      </c>
      <c r="L30" s="116">
        <f>IF(ISNUMBER(E30),E30/Population!D29*10000,NA())</f>
        <v>240.37940379403793</v>
      </c>
      <c r="M30" s="116">
        <f>IF(ISNUMBER(F30),F30/Population!E29*10000,NA())</f>
        <v>302.41286863270778</v>
      </c>
      <c r="N30" s="116">
        <f>IF(ISNUMBER(G30),G30/Population!F29*10000,NA())</f>
        <v>230.14808385281043</v>
      </c>
      <c r="O30" s="117">
        <f>IF(ISNUMBER(H30),H30/Population!G29*10000,NA())</f>
        <v>283.18949925068472</v>
      </c>
      <c r="P30" s="397">
        <f t="shared" si="2"/>
        <v>2</v>
      </c>
      <c r="Q30" s="70"/>
      <c r="R30" s="387">
        <f>IDACI!C30</f>
        <v>6.8000000000000007</v>
      </c>
      <c r="S30" s="388">
        <f t="shared" si="3"/>
        <v>374.79391200000003</v>
      </c>
      <c r="T30" s="389">
        <f t="shared" si="4"/>
        <v>-91.604412749315316</v>
      </c>
      <c r="U30" s="139"/>
      <c r="V30" s="154"/>
      <c r="W30" s="170"/>
      <c r="X30" s="72" t="str">
        <f t="shared" si="1"/>
        <v>Wokingham</v>
      </c>
      <c r="Y30" s="235">
        <v>22</v>
      </c>
      <c r="Z30" s="236">
        <f>IF(D30&gt;0,Population!C29,"")</f>
        <v>36200</v>
      </c>
      <c r="AA30" s="236">
        <f>IF(E30&gt;0,Population!D29,"")</f>
        <v>36900</v>
      </c>
      <c r="AB30" s="236">
        <f>IF(F30&gt;0,Population!E29,"")</f>
        <v>37300</v>
      </c>
      <c r="AC30" s="236">
        <f>IF(G30&gt;0,Population!F29,"")</f>
        <v>38019</v>
      </c>
      <c r="AD30" s="236">
        <f>IF(H30&gt;0,Population!G29,"")</f>
        <v>38702</v>
      </c>
      <c r="AE30" s="232"/>
      <c r="AF30" s="232"/>
      <c r="AG30" s="232"/>
      <c r="AH30" s="217"/>
      <c r="AI30" s="217"/>
      <c r="AJ30" s="232"/>
      <c r="AK30" s="178"/>
    </row>
    <row r="31" spans="1:37" s="101" customFormat="1" ht="13.5" customHeight="1" x14ac:dyDescent="0.2">
      <c r="A31" s="138"/>
      <c r="B31" s="146" t="s">
        <v>74</v>
      </c>
      <c r="C31" s="97"/>
      <c r="D31" s="147">
        <f>IF(Year1_SouthEast Year1_Assessments="","",Year1_SouthEast Year1_Assessments)</f>
        <v>94291</v>
      </c>
      <c r="E31" s="147">
        <f>IF(Year2_SouthEast Year2_Assessments="","",Year2_SouthEast Year2_Assessments)</f>
        <v>80400</v>
      </c>
      <c r="F31" s="147">
        <f>IF(Year3_SouthEast Year3_Assessments="","",Year3_SouthEast Year3_Assessments)</f>
        <v>91320</v>
      </c>
      <c r="G31" s="147">
        <f>IF(Year4_SouthEast Year4_Assessments="","",Year4_SouthEast Year4_Assessments)</f>
        <v>98780</v>
      </c>
      <c r="H31" s="148">
        <f>IF(Year5_SouthEast Year5_Assessments="","",Year5_SouthEast Year5_Assessments)</f>
        <v>102220</v>
      </c>
      <c r="I31" s="407">
        <f t="shared" si="7"/>
        <v>0.27139303482587063</v>
      </c>
      <c r="J31" s="115"/>
      <c r="K31" s="149">
        <f>IF(ISNUMBER(D31),D31/Z31*10000,NA())</f>
        <v>499.74030103879579</v>
      </c>
      <c r="L31" s="149">
        <f>IF(ISNUMBER(E31),E31/AA31*10000,NA())</f>
        <v>422.22455624409201</v>
      </c>
      <c r="M31" s="149">
        <f t="shared" ref="M31:O31" si="8">IF(ISNUMBER(F31),F31/AB31*10000,NA())</f>
        <v>476.09613680204365</v>
      </c>
      <c r="N31" s="149">
        <f t="shared" si="8"/>
        <v>510.96812372070457</v>
      </c>
      <c r="O31" s="150">
        <f t="shared" si="8"/>
        <v>525.85956329271835</v>
      </c>
      <c r="P31" s="383" t="str">
        <f t="shared" si="2"/>
        <v>--</v>
      </c>
      <c r="Q31" s="70"/>
      <c r="R31" s="385">
        <f>IDACI!C31</f>
        <v>14.45223640702325</v>
      </c>
      <c r="S31" s="149">
        <f t="shared" si="3"/>
        <v>467.92231777474956</v>
      </c>
      <c r="T31" s="390">
        <f t="shared" si="4"/>
        <v>57.93724551796879</v>
      </c>
      <c r="U31" s="139"/>
      <c r="V31" s="154"/>
      <c r="W31" s="170"/>
      <c r="X31" s="72" t="str">
        <f t="shared" si="1"/>
        <v>South East</v>
      </c>
      <c r="Y31" s="235">
        <v>23</v>
      </c>
      <c r="Z31" s="236">
        <f>IF(D31&gt;0,Population!C30,"")</f>
        <v>1886800</v>
      </c>
      <c r="AA31" s="236">
        <f>IF(E31&gt;0,Population!D30,"")</f>
        <v>1904200</v>
      </c>
      <c r="AB31" s="236">
        <f>IF(F31&gt;0,Population!E30,"")</f>
        <v>1918100</v>
      </c>
      <c r="AC31" s="236">
        <f>IF(G31&gt;0,Population!F30,"")</f>
        <v>1933193</v>
      </c>
      <c r="AD31" s="236">
        <f>SUM(AD9:AD21,AD23:AD24,AD27:AD30)</f>
        <v>1943865</v>
      </c>
      <c r="AE31" s="232"/>
      <c r="AF31" s="232"/>
      <c r="AG31" s="232"/>
      <c r="AH31" s="217"/>
      <c r="AI31" s="217"/>
      <c r="AJ31" s="232"/>
      <c r="AK31" s="178"/>
    </row>
    <row r="32" spans="1:37" s="101" customFormat="1" ht="13.5" customHeight="1" x14ac:dyDescent="0.2">
      <c r="A32" s="324"/>
      <c r="B32" s="370" t="s">
        <v>130</v>
      </c>
      <c r="C32" s="97"/>
      <c r="D32" s="371">
        <f>IF(Year1_England Year1_Assessments="","",Year1_England Year1_Assessments)</f>
        <v>654450</v>
      </c>
      <c r="E32" s="371">
        <f>IF(Year2_England Year2_Assessments="","",Year2_England Year2_Assessments)</f>
        <v>550810</v>
      </c>
      <c r="F32" s="371">
        <f>IF(Year3_England Year3_Assessments="","",Year3_England Year3_Assessments)</f>
        <v>571640</v>
      </c>
      <c r="G32" s="371">
        <f>IF(Year4_England Year4_Assessments="","",Year4_England Year4_Assessments)</f>
        <v>606920</v>
      </c>
      <c r="H32" s="372">
        <f>IF(Year5_England Year5_Assessments="","",Year5_England Year5_Assessments)</f>
        <v>631090</v>
      </c>
      <c r="I32" s="408">
        <f t="shared" si="7"/>
        <v>0.145748987854251</v>
      </c>
      <c r="J32" s="115"/>
      <c r="K32" s="373">
        <f>IF(ISNUMBER(D32),D32/Population!C31*10000,NA())</f>
        <v>570.13302668374149</v>
      </c>
      <c r="L32" s="373">
        <f>IF(ISNUMBER(E32),E32/Population!D31*10000,NA())</f>
        <v>475.17620366296575</v>
      </c>
      <c r="M32" s="373">
        <f>IF(ISNUMBER(F32),F32/Population!E31*10000,NA())</f>
        <v>489.50581868315362</v>
      </c>
      <c r="N32" s="373">
        <f>IF(ISNUMBER(G32),G32/Population!F31*10000,NA())</f>
        <v>514.98153161779737</v>
      </c>
      <c r="O32" s="374">
        <f>IF(ISNUMBER(H32),H32/Population!G31*10000,NA())</f>
        <v>531.80440444841918</v>
      </c>
      <c r="P32" s="384" t="str">
        <f t="shared" si="2"/>
        <v>--</v>
      </c>
      <c r="Q32" s="70"/>
      <c r="R32" s="386">
        <f>IDACI!C32</f>
        <v>19.902611588091716</v>
      </c>
      <c r="S32" s="373">
        <f t="shared" si="3"/>
        <v>534.2538742621191</v>
      </c>
      <c r="T32" s="709">
        <f t="shared" si="4"/>
        <v>-2.4494698136999205</v>
      </c>
      <c r="U32" s="139"/>
      <c r="V32" s="154"/>
      <c r="W32" s="170"/>
      <c r="X32" s="72" t="str">
        <f t="shared" si="1"/>
        <v>England</v>
      </c>
      <c r="Y32" s="235">
        <v>24</v>
      </c>
      <c r="Z32" s="236">
        <f>IF(D32&gt;0,Population!C31,"")</f>
        <v>11478900</v>
      </c>
      <c r="AA32" s="236">
        <f>IF(E32&gt;0,Population!D31,"")</f>
        <v>11591700</v>
      </c>
      <c r="AB32" s="236">
        <f>IF(F32&gt;0,Population!E31,"")</f>
        <v>11677900</v>
      </c>
      <c r="AC32" s="236">
        <f>IF(G32&gt;0,Population!F31,"")</f>
        <v>11785277</v>
      </c>
      <c r="AD32" s="236">
        <f>IF(H32&gt;0,Population!G31,"")</f>
        <v>11866957</v>
      </c>
      <c r="AE32" s="232"/>
      <c r="AF32" s="232"/>
      <c r="AG32" s="232"/>
      <c r="AH32" s="217"/>
      <c r="AI32" s="217"/>
      <c r="AJ32" s="232"/>
      <c r="AK32" s="178"/>
    </row>
    <row r="33" spans="1:64" s="88" customFormat="1" ht="13.5" customHeight="1" x14ac:dyDescent="0.2">
      <c r="A33" s="135"/>
      <c r="B33" s="140" t="s">
        <v>90</v>
      </c>
      <c r="C33" s="64"/>
      <c r="D33" s="64"/>
      <c r="E33" s="64"/>
      <c r="F33" s="64"/>
      <c r="G33" s="64"/>
      <c r="H33" s="64"/>
      <c r="I33" s="64"/>
      <c r="J33" s="64"/>
      <c r="K33" s="64"/>
      <c r="L33" s="64"/>
      <c r="M33" s="64"/>
      <c r="N33" s="64"/>
      <c r="O33" s="64"/>
      <c r="P33" s="151" t="s">
        <v>111</v>
      </c>
      <c r="R33" s="64"/>
      <c r="S33" s="64"/>
      <c r="T33" s="64"/>
      <c r="U33" s="134"/>
      <c r="V33" s="152"/>
      <c r="W33" s="168"/>
      <c r="X33" s="87"/>
      <c r="Y33" s="210"/>
      <c r="Z33" s="210"/>
      <c r="AA33" s="210"/>
      <c r="AB33" s="210"/>
      <c r="AC33" s="210"/>
      <c r="AD33" s="210"/>
      <c r="AE33" s="210"/>
      <c r="AF33" s="210"/>
      <c r="AG33" s="210"/>
      <c r="AJ33" s="210"/>
      <c r="AK33" s="179"/>
    </row>
    <row r="34" spans="1:64" s="88" customFormat="1" ht="29.25" customHeight="1" x14ac:dyDescent="0.2">
      <c r="A34" s="135"/>
      <c r="B34" s="1024"/>
      <c r="C34" s="1025"/>
      <c r="D34" s="1025"/>
      <c r="E34" s="1025"/>
      <c r="F34" s="1025"/>
      <c r="G34" s="1025"/>
      <c r="H34" s="1025"/>
      <c r="I34" s="1025"/>
      <c r="J34" s="1025"/>
      <c r="K34" s="1025"/>
      <c r="L34" s="1025"/>
      <c r="M34" s="1025"/>
      <c r="N34" s="1025"/>
      <c r="O34" s="1025"/>
      <c r="P34" s="1025"/>
      <c r="Q34" s="1025"/>
      <c r="R34" s="1025"/>
      <c r="S34" s="1025"/>
      <c r="T34" s="1026"/>
      <c r="U34" s="134"/>
      <c r="V34" s="152"/>
      <c r="W34" s="168"/>
      <c r="X34" s="87"/>
      <c r="Y34" s="210"/>
      <c r="Z34" s="210"/>
      <c r="AA34" s="210"/>
      <c r="AB34" s="210"/>
      <c r="AC34" s="210"/>
      <c r="AD34" s="210"/>
      <c r="AE34" s="210"/>
      <c r="AF34" s="210"/>
      <c r="AG34" s="210"/>
      <c r="AJ34" s="210"/>
      <c r="AK34" s="175"/>
      <c r="AL34" s="80"/>
      <c r="AM34" s="80"/>
      <c r="AN34" s="80"/>
      <c r="AO34" s="80"/>
      <c r="AP34" s="80"/>
      <c r="AQ34" s="80"/>
      <c r="AR34" s="80"/>
    </row>
    <row r="35" spans="1:64" s="88" customFormat="1" ht="7.5" customHeight="1" x14ac:dyDescent="0.2">
      <c r="A35" s="135"/>
      <c r="B35" s="18"/>
      <c r="C35" s="18"/>
      <c r="D35" s="17"/>
      <c r="E35" s="17"/>
      <c r="F35" s="17"/>
      <c r="G35" s="17"/>
      <c r="H35" s="17"/>
      <c r="I35" s="17"/>
      <c r="J35" s="13"/>
      <c r="K35" s="19"/>
      <c r="L35" s="19"/>
      <c r="M35" s="19"/>
      <c r="N35" s="19"/>
      <c r="O35" s="19"/>
      <c r="P35" s="19"/>
      <c r="Q35" s="19"/>
      <c r="R35" s="19"/>
      <c r="S35" s="19"/>
      <c r="T35" s="20"/>
      <c r="U35" s="134"/>
      <c r="V35" s="152"/>
      <c r="W35" s="168"/>
      <c r="Y35" s="217"/>
      <c r="AJ35" s="210"/>
      <c r="AK35" s="175"/>
      <c r="AL35" s="80"/>
      <c r="AM35" s="80"/>
      <c r="AN35" s="80"/>
      <c r="AO35" s="80"/>
      <c r="AP35" s="80"/>
      <c r="AQ35" s="80"/>
      <c r="AR35" s="80"/>
    </row>
    <row r="36" spans="1:64" s="88" customFormat="1" ht="15" customHeight="1" x14ac:dyDescent="0.2">
      <c r="A36" s="1010"/>
      <c r="B36" s="1018"/>
      <c r="C36" s="1018"/>
      <c r="D36" s="1018"/>
      <c r="E36" s="1018"/>
      <c r="F36" s="1018"/>
      <c r="G36" s="1018"/>
      <c r="H36" s="1018"/>
      <c r="I36" s="1018"/>
      <c r="J36" s="1018"/>
      <c r="K36" s="1018"/>
      <c r="L36" s="1018"/>
      <c r="M36" s="1018"/>
      <c r="N36" s="1018"/>
      <c r="O36" s="1018"/>
      <c r="P36" s="1018"/>
      <c r="Q36" s="1018"/>
      <c r="R36" s="1018"/>
      <c r="S36" s="1018"/>
      <c r="T36" s="1018"/>
      <c r="U36" s="1019"/>
      <c r="V36" s="152"/>
      <c r="W36" s="168"/>
      <c r="Y36" s="217"/>
      <c r="AK36" s="179"/>
      <c r="AM36" s="88">
        <v>10</v>
      </c>
      <c r="AN36" s="88">
        <v>11</v>
      </c>
      <c r="AO36" s="88">
        <v>12</v>
      </c>
      <c r="AP36" s="88">
        <v>13</v>
      </c>
      <c r="AQ36" s="88">
        <v>14</v>
      </c>
      <c r="AS36" s="88">
        <v>3</v>
      </c>
      <c r="AT36" s="25">
        <v>4</v>
      </c>
      <c r="AU36" s="25">
        <v>5</v>
      </c>
      <c r="AV36" s="25">
        <v>6</v>
      </c>
      <c r="AW36" s="24">
        <v>7</v>
      </c>
      <c r="AX36" s="88">
        <v>3</v>
      </c>
      <c r="AY36" s="25">
        <v>4</v>
      </c>
      <c r="AZ36" s="25">
        <v>5</v>
      </c>
      <c r="BA36" s="25">
        <v>6</v>
      </c>
      <c r="BB36" s="24">
        <v>7</v>
      </c>
      <c r="BC36" s="88">
        <v>3</v>
      </c>
      <c r="BD36" s="25">
        <v>4</v>
      </c>
      <c r="BE36" s="25">
        <v>5</v>
      </c>
      <c r="BF36" s="25">
        <v>6</v>
      </c>
      <c r="BG36" s="24">
        <v>7</v>
      </c>
      <c r="BH36" s="88">
        <v>3</v>
      </c>
      <c r="BI36" s="25">
        <v>4</v>
      </c>
      <c r="BJ36" s="25">
        <v>5</v>
      </c>
      <c r="BK36" s="25">
        <v>6</v>
      </c>
      <c r="BL36" s="24">
        <v>7</v>
      </c>
    </row>
    <row r="37" spans="1:64" s="88" customFormat="1" ht="11.25" customHeight="1" x14ac:dyDescent="0.2">
      <c r="A37" s="1020" t="str">
        <f>Home!$A$35</f>
        <v>LA's provide quarterly data on the condition that it is used by the benchmarking group for internal reporting only. Please DO NOT share other LA's data with any external partners or the public</v>
      </c>
      <c r="B37" s="1021"/>
      <c r="C37" s="1021"/>
      <c r="D37" s="1021"/>
      <c r="E37" s="1021"/>
      <c r="F37" s="1021"/>
      <c r="G37" s="1021"/>
      <c r="H37" s="1021"/>
      <c r="I37" s="1022"/>
      <c r="J37" s="1021"/>
      <c r="K37" s="1021"/>
      <c r="L37" s="1021"/>
      <c r="M37" s="1021"/>
      <c r="N37" s="1021"/>
      <c r="O37" s="1021"/>
      <c r="P37" s="1021"/>
      <c r="Q37" s="1021"/>
      <c r="R37" s="1021"/>
      <c r="S37" s="1022"/>
      <c r="T37" s="1021"/>
      <c r="U37" s="1023"/>
      <c r="V37" s="152"/>
      <c r="W37" s="168"/>
      <c r="Y37" s="217"/>
      <c r="AJ37" s="210"/>
      <c r="AK37" s="178"/>
      <c r="AL37" s="101"/>
      <c r="AM37" s="352" t="s">
        <v>89</v>
      </c>
      <c r="AN37" s="353"/>
      <c r="AO37" s="353"/>
      <c r="AP37" s="353"/>
      <c r="AQ37" s="353"/>
      <c r="AR37" s="352" t="s">
        <v>95</v>
      </c>
      <c r="AS37" s="56" t="s">
        <v>145</v>
      </c>
      <c r="AT37" s="25"/>
      <c r="AU37" s="25"/>
      <c r="AV37" s="25"/>
      <c r="AW37" s="24"/>
      <c r="AX37" s="56" t="s">
        <v>219</v>
      </c>
      <c r="AY37" s="25"/>
      <c r="AZ37" s="25"/>
      <c r="BA37" s="25"/>
      <c r="BB37" s="24"/>
      <c r="BC37" s="24"/>
      <c r="BD37" s="24"/>
    </row>
    <row r="38" spans="1:64" s="88" customFormat="1" ht="11.25" customHeight="1" x14ac:dyDescent="0.2">
      <c r="A38" s="129"/>
      <c r="B38" s="130"/>
      <c r="C38" s="130"/>
      <c r="D38" s="130"/>
      <c r="E38" s="130"/>
      <c r="F38" s="130"/>
      <c r="G38" s="130"/>
      <c r="H38" s="130"/>
      <c r="I38" s="130"/>
      <c r="J38" s="131"/>
      <c r="K38" s="130"/>
      <c r="L38" s="130"/>
      <c r="M38" s="130"/>
      <c r="N38" s="130"/>
      <c r="O38" s="130"/>
      <c r="P38" s="130"/>
      <c r="Q38" s="130"/>
      <c r="R38" s="130"/>
      <c r="S38" s="130"/>
      <c r="T38" s="130"/>
      <c r="U38" s="132"/>
      <c r="V38" s="152"/>
      <c r="W38" s="167" t="s">
        <v>102</v>
      </c>
      <c r="X38" s="224"/>
      <c r="Y38" s="224"/>
      <c r="Z38" s="224"/>
      <c r="AA38" s="224"/>
      <c r="AB38" s="224"/>
      <c r="AJ38" s="210"/>
      <c r="AK38" s="178"/>
      <c r="AL38" s="101"/>
      <c r="AM38" s="352"/>
      <c r="AN38" s="352"/>
      <c r="AO38" s="352"/>
      <c r="AP38" s="352"/>
      <c r="AQ38" s="352"/>
      <c r="AR38" s="353"/>
      <c r="AS38" s="352"/>
      <c r="AT38" s="352"/>
      <c r="AU38" s="352"/>
      <c r="AV38" s="352"/>
      <c r="AW38" s="352"/>
      <c r="AX38" s="537"/>
      <c r="AY38" s="537"/>
      <c r="AZ38" s="537"/>
      <c r="BA38" s="537"/>
      <c r="BB38" s="537"/>
      <c r="BC38" s="1089" t="s">
        <v>218</v>
      </c>
      <c r="BD38" s="1089"/>
      <c r="BE38" s="1089"/>
      <c r="BF38" s="1089"/>
      <c r="BG38" s="1089"/>
      <c r="BH38" s="1089" t="s">
        <v>217</v>
      </c>
      <c r="BI38" s="1089"/>
      <c r="BJ38" s="1089"/>
      <c r="BK38" s="1089"/>
      <c r="BL38" s="1089"/>
    </row>
    <row r="39" spans="1:64" s="88" customFormat="1" ht="7.5" customHeight="1" x14ac:dyDescent="0.25">
      <c r="A39" s="133"/>
      <c r="B39" s="9"/>
      <c r="C39" s="9"/>
      <c r="D39" s="9"/>
      <c r="E39" s="9"/>
      <c r="F39" s="9"/>
      <c r="G39" s="9"/>
      <c r="H39" s="9"/>
      <c r="I39" s="9"/>
      <c r="J39" s="13"/>
      <c r="K39" s="9"/>
      <c r="L39" s="9"/>
      <c r="M39" s="9"/>
      <c r="N39" s="9"/>
      <c r="O39" s="9"/>
      <c r="P39" s="9"/>
      <c r="Q39" s="9"/>
      <c r="R39" s="9"/>
      <c r="S39" s="9"/>
      <c r="T39" s="9"/>
      <c r="U39" s="134"/>
      <c r="V39" s="152"/>
      <c r="W39" s="326"/>
      <c r="X39" s="259" t="s">
        <v>30</v>
      </c>
      <c r="Y39" s="259" t="s">
        <v>8</v>
      </c>
      <c r="Z39" s="259" t="s">
        <v>103</v>
      </c>
      <c r="AA39" s="1033" t="s">
        <v>76</v>
      </c>
      <c r="AB39" s="1033" t="s">
        <v>77</v>
      </c>
      <c r="AK39" s="178"/>
      <c r="AL39" s="101"/>
      <c r="AM39" s="352">
        <f>D8</f>
        <v>2014</v>
      </c>
      <c r="AN39" s="352">
        <f>E8</f>
        <v>2015</v>
      </c>
      <c r="AO39" s="352">
        <f>F8</f>
        <v>2016</v>
      </c>
      <c r="AP39" s="352">
        <f>G8</f>
        <v>2017</v>
      </c>
      <c r="AQ39" s="352">
        <f>H8</f>
        <v>2018</v>
      </c>
      <c r="AR39" s="353"/>
      <c r="AS39" s="412" t="s">
        <v>140</v>
      </c>
      <c r="AT39" s="412" t="s">
        <v>141</v>
      </c>
      <c r="AU39" s="412" t="s">
        <v>142</v>
      </c>
      <c r="AV39" s="412" t="s">
        <v>143</v>
      </c>
      <c r="AW39" s="413" t="s">
        <v>144</v>
      </c>
      <c r="AX39" s="545">
        <f t="shared" ref="AX39:BA39" si="9">D8</f>
        <v>2014</v>
      </c>
      <c r="AY39" s="545">
        <f t="shared" si="9"/>
        <v>2015</v>
      </c>
      <c r="AZ39" s="545">
        <f t="shared" si="9"/>
        <v>2016</v>
      </c>
      <c r="BA39" s="545">
        <f t="shared" si="9"/>
        <v>2017</v>
      </c>
      <c r="BB39" s="537">
        <f>H8</f>
        <v>2018</v>
      </c>
      <c r="BC39" s="537">
        <f>AX39</f>
        <v>2014</v>
      </c>
      <c r="BD39" s="545">
        <f t="shared" ref="BD39:BG39" si="10">AY39</f>
        <v>2015</v>
      </c>
      <c r="BE39" s="545">
        <f t="shared" si="10"/>
        <v>2016</v>
      </c>
      <c r="BF39" s="545">
        <f t="shared" si="10"/>
        <v>2017</v>
      </c>
      <c r="BG39" s="545">
        <f t="shared" si="10"/>
        <v>2018</v>
      </c>
      <c r="BH39" s="537">
        <f>BC39</f>
        <v>2014</v>
      </c>
      <c r="BI39" s="545">
        <f t="shared" ref="BI39:BL39" si="11">BD39</f>
        <v>2015</v>
      </c>
      <c r="BJ39" s="545">
        <f t="shared" si="11"/>
        <v>2016</v>
      </c>
      <c r="BK39" s="545">
        <f t="shared" si="11"/>
        <v>2017</v>
      </c>
      <c r="BL39" s="545">
        <f t="shared" si="11"/>
        <v>2018</v>
      </c>
    </row>
    <row r="40" spans="1:64" s="88" customFormat="1" ht="14.25" customHeight="1" x14ac:dyDescent="0.2">
      <c r="A40" s="135"/>
      <c r="B40" s="9"/>
      <c r="C40" s="9"/>
      <c r="D40" s="9"/>
      <c r="E40" s="9"/>
      <c r="F40" s="9"/>
      <c r="G40" s="9"/>
      <c r="H40" s="9"/>
      <c r="I40" s="9"/>
      <c r="J40" s="13"/>
      <c r="K40" s="9"/>
      <c r="L40" s="9"/>
      <c r="M40" s="9"/>
      <c r="N40" s="9"/>
      <c r="O40" s="9"/>
      <c r="P40" s="9"/>
      <c r="Q40" s="9"/>
      <c r="R40" s="9"/>
      <c r="S40" s="9"/>
      <c r="T40" s="9"/>
      <c r="U40" s="134"/>
      <c r="V40" s="152"/>
      <c r="W40" s="326"/>
      <c r="X40" s="45" t="e">
        <f ca="1">OFFSET(B8,$X$4,0)</f>
        <v>#N/A</v>
      </c>
      <c r="Y40" s="238" t="e">
        <f ca="1">OFFSET(R7,(VLOOKUP(X40,$Y$41:$Z$62,2,FALSE)),0)</f>
        <v>#N/A</v>
      </c>
      <c r="Z40" s="238" t="e">
        <f ca="1">(OFFSET(O7,(VLOOKUP(X40,$Y$41:$Z$62,2,FALSE)),0))</f>
        <v>#N/A</v>
      </c>
      <c r="AA40" s="1034"/>
      <c r="AB40" s="1034"/>
      <c r="AJ40" s="642" t="b">
        <v>1</v>
      </c>
      <c r="AK40" s="178" t="s">
        <v>0</v>
      </c>
      <c r="AL40" s="101" t="str">
        <f t="shared" ref="AL40:AL63" si="12">IF(AJ40=TRUE,B9,"")</f>
        <v>Bracknell Forest</v>
      </c>
      <c r="AM40" s="164">
        <f t="shared" ref="AM40:AQ49" si="13">VLOOKUP($AL40,$B$9:$O$32,AM$36,FALSE)</f>
        <v>363.46863468634689</v>
      </c>
      <c r="AN40" s="164">
        <f t="shared" si="13"/>
        <v>354.67625899280574</v>
      </c>
      <c r="AO40" s="164">
        <f t="shared" si="13"/>
        <v>389.71631205673754</v>
      </c>
      <c r="AP40" s="164">
        <f t="shared" si="13"/>
        <v>494.42748633491874</v>
      </c>
      <c r="AQ40" s="164">
        <f t="shared" si="13"/>
        <v>594.92002422428845</v>
      </c>
      <c r="AR40" s="165">
        <f>VLOOKUP(AL40,$B$9:$T$32,17,FALSE)</f>
        <v>11</v>
      </c>
      <c r="AS40" s="398">
        <f t="shared" ref="AS40:AW49" si="14">VLOOKUP($AL40,$B$145:$H$168,AS$36,FALSE)</f>
        <v>0.17425149700598802</v>
      </c>
      <c r="AT40" s="398">
        <f t="shared" si="14"/>
        <v>0.2221556886227545</v>
      </c>
      <c r="AU40" s="398">
        <f t="shared" si="14"/>
        <v>0.18982035928143712</v>
      </c>
      <c r="AV40" s="398">
        <f t="shared" si="14"/>
        <v>0.31856287425149699</v>
      </c>
      <c r="AW40" s="398">
        <f t="shared" si="14"/>
        <v>9.5209580838323357E-2</v>
      </c>
      <c r="AX40" s="398" t="e">
        <f>VLOOKUP($AL40,$B$110:$H$133,AX$36,FALSE)</f>
        <v>#N/A</v>
      </c>
      <c r="AY40" s="398">
        <f t="shared" ref="AY40:BB55" si="15">VLOOKUP($AL40,$B$110:$H$133,AY$36,FALSE)</f>
        <v>0.99079754601226999</v>
      </c>
      <c r="AZ40" s="398">
        <f t="shared" si="15"/>
        <v>0.96542311191992725</v>
      </c>
      <c r="BA40" s="398">
        <f t="shared" si="15"/>
        <v>0.89727011494252873</v>
      </c>
      <c r="BB40" s="398">
        <f t="shared" si="15"/>
        <v>0.90479041916167668</v>
      </c>
      <c r="BC40" s="398" t="e">
        <f>VLOOKUP($AL40,#REF!,BC$36,FALSE)</f>
        <v>#REF!</v>
      </c>
      <c r="BD40" s="398" t="e">
        <f>VLOOKUP($AL40,#REF!,BD$36,FALSE)</f>
        <v>#REF!</v>
      </c>
      <c r="BE40" s="398" t="e">
        <f>VLOOKUP($AL40,#REF!,BE$36,FALSE)</f>
        <v>#REF!</v>
      </c>
      <c r="BF40" s="398" t="e">
        <f>VLOOKUP($AL40,#REF!,BF$36,FALSE)</f>
        <v>#REF!</v>
      </c>
      <c r="BG40" s="398" t="e">
        <f>VLOOKUP($AL40,#REF!,BG$36,FALSE)</f>
        <v>#REF!</v>
      </c>
      <c r="BH40" s="398" t="e">
        <f>VLOOKUP($AL40,#REF!,BH$36,FALSE)</f>
        <v>#REF!</v>
      </c>
      <c r="BI40" s="398" t="e">
        <f>VLOOKUP($AL40,#REF!,BI$36,FALSE)</f>
        <v>#REF!</v>
      </c>
      <c r="BJ40" s="398" t="e">
        <f>VLOOKUP($AL40,#REF!,BJ$36,FALSE)</f>
        <v>#REF!</v>
      </c>
      <c r="BK40" s="398" t="e">
        <f>VLOOKUP($AL40,#REF!,BK$36,FALSE)</f>
        <v>#REF!</v>
      </c>
      <c r="BL40" s="398" t="e">
        <f>VLOOKUP($AL40,#REF!,BL$36,FALSE)</f>
        <v>#REF!</v>
      </c>
    </row>
    <row r="41" spans="1:64" s="88" customFormat="1" ht="14.25" customHeight="1" x14ac:dyDescent="0.2">
      <c r="A41" s="135"/>
      <c r="B41" s="9"/>
      <c r="C41" s="9"/>
      <c r="D41" s="9"/>
      <c r="E41" s="9"/>
      <c r="F41" s="9"/>
      <c r="G41" s="9"/>
      <c r="H41" s="9"/>
      <c r="I41" s="9"/>
      <c r="J41" s="13"/>
      <c r="K41" s="9"/>
      <c r="L41" s="9"/>
      <c r="M41" s="9"/>
      <c r="N41" s="9"/>
      <c r="O41" s="9"/>
      <c r="P41" s="9"/>
      <c r="Q41" s="9"/>
      <c r="R41" s="9"/>
      <c r="S41" s="9"/>
      <c r="T41" s="9"/>
      <c r="U41" s="134"/>
      <c r="V41" s="152"/>
      <c r="W41" s="326"/>
      <c r="X41" s="45">
        <v>1</v>
      </c>
      <c r="Y41" s="50" t="str">
        <f t="shared" ref="Y41:Y64" si="16">B9</f>
        <v>Bracknell Forest</v>
      </c>
      <c r="Z41" s="45">
        <v>2</v>
      </c>
      <c r="AA41" s="46">
        <f>IF(H9&gt;0,IDACI!D9,0)</f>
        <v>23799</v>
      </c>
      <c r="AB41" s="46">
        <f>IF(H9&gt;0,IDACI!E9,0)</f>
        <v>2617.89</v>
      </c>
      <c r="AJ41" s="642" t="b">
        <v>1</v>
      </c>
      <c r="AK41" s="178" t="s">
        <v>32</v>
      </c>
      <c r="AL41" s="101" t="str">
        <f t="shared" si="12"/>
        <v>Brighton &amp; Hove</v>
      </c>
      <c r="AM41" s="164">
        <f t="shared" si="13"/>
        <v>513.66336633663366</v>
      </c>
      <c r="AN41" s="164">
        <f t="shared" si="13"/>
        <v>543.13725490196077</v>
      </c>
      <c r="AO41" s="164">
        <f t="shared" si="13"/>
        <v>560.15625</v>
      </c>
      <c r="AP41" s="164">
        <f t="shared" si="13"/>
        <v>588.91207269749032</v>
      </c>
      <c r="AQ41" s="164">
        <f t="shared" si="13"/>
        <v>529.80522155312769</v>
      </c>
      <c r="AR41" s="165">
        <f t="shared" ref="AR41:AR63" si="17">VLOOKUP(AL41,$B$9:$T$31,17,FALSE)</f>
        <v>18.3</v>
      </c>
      <c r="AS41" s="398">
        <f t="shared" si="14"/>
        <v>0.18326545723805998</v>
      </c>
      <c r="AT41" s="398">
        <f t="shared" si="14"/>
        <v>0.1388374676045909</v>
      </c>
      <c r="AU41" s="398">
        <f t="shared" si="14"/>
        <v>0.26952980377637914</v>
      </c>
      <c r="AV41" s="398">
        <f t="shared" si="14"/>
        <v>0.29692706405035174</v>
      </c>
      <c r="AW41" s="398">
        <f t="shared" si="14"/>
        <v>0.1114402073306183</v>
      </c>
      <c r="AX41" s="398" t="e">
        <f t="shared" ref="AX41:BB63" si="18">VLOOKUP($AL41,$B$110:$H$133,AX$36,FALSE)</f>
        <v>#N/A</v>
      </c>
      <c r="AY41" s="398">
        <f t="shared" si="15"/>
        <v>0.53104693140794224</v>
      </c>
      <c r="AZ41" s="398">
        <f t="shared" si="15"/>
        <v>0.48814504881450488</v>
      </c>
      <c r="BA41" s="398">
        <f t="shared" si="15"/>
        <v>0.70331125827814567</v>
      </c>
      <c r="BB41" s="398">
        <f t="shared" si="15"/>
        <v>0.88855979266938168</v>
      </c>
      <c r="BC41" s="398" t="e">
        <f>VLOOKUP($AL41,#REF!,BC$36,FALSE)</f>
        <v>#REF!</v>
      </c>
      <c r="BD41" s="398" t="e">
        <f>VLOOKUP($AL41,#REF!,BD$36,FALSE)</f>
        <v>#REF!</v>
      </c>
      <c r="BE41" s="398" t="e">
        <f>VLOOKUP($AL41,#REF!,BE$36,FALSE)</f>
        <v>#REF!</v>
      </c>
      <c r="BF41" s="398" t="e">
        <f>VLOOKUP($AL41,#REF!,BF$36,FALSE)</f>
        <v>#REF!</v>
      </c>
      <c r="BG41" s="398" t="e">
        <f>VLOOKUP($AL41,#REF!,BG$36,FALSE)</f>
        <v>#REF!</v>
      </c>
      <c r="BH41" s="398" t="e">
        <f>VLOOKUP($AL41,#REF!,BH$36,FALSE)</f>
        <v>#REF!</v>
      </c>
      <c r="BI41" s="398" t="e">
        <f>VLOOKUP($AL41,#REF!,BI$36,FALSE)</f>
        <v>#REF!</v>
      </c>
      <c r="BJ41" s="398" t="e">
        <f>VLOOKUP($AL41,#REF!,BJ$36,FALSE)</f>
        <v>#REF!</v>
      </c>
      <c r="BK41" s="398" t="e">
        <f>VLOOKUP($AL41,#REF!,BK$36,FALSE)</f>
        <v>#REF!</v>
      </c>
      <c r="BL41" s="398" t="e">
        <f>VLOOKUP($AL41,#REF!,BL$36,FALSE)</f>
        <v>#REF!</v>
      </c>
    </row>
    <row r="42" spans="1:64" ht="14.25" customHeight="1" x14ac:dyDescent="0.2">
      <c r="A42" s="135"/>
      <c r="B42" s="9"/>
      <c r="C42" s="9"/>
      <c r="D42" s="9"/>
      <c r="E42" s="9"/>
      <c r="F42" s="9"/>
      <c r="G42" s="9"/>
      <c r="H42" s="9"/>
      <c r="I42" s="9"/>
      <c r="J42" s="13"/>
      <c r="K42" s="9"/>
      <c r="L42" s="9"/>
      <c r="M42" s="9"/>
      <c r="N42" s="9"/>
      <c r="O42" s="9"/>
      <c r="P42" s="9"/>
      <c r="Q42" s="9"/>
      <c r="R42" s="9"/>
      <c r="S42" s="9"/>
      <c r="T42" s="9"/>
      <c r="U42" s="134"/>
      <c r="V42" s="152"/>
      <c r="W42" s="326"/>
      <c r="X42" s="45">
        <v>2</v>
      </c>
      <c r="Y42" s="50" t="str">
        <f t="shared" si="16"/>
        <v>Brighton &amp; Hove</v>
      </c>
      <c r="Z42" s="45">
        <v>3</v>
      </c>
      <c r="AA42" s="46">
        <f>IF(H10&gt;0,IDACI!D10,0)</f>
        <v>44814</v>
      </c>
      <c r="AB42" s="46">
        <f>IF(H10&gt;0,IDACI!E10,0)</f>
        <v>8200.9619999999995</v>
      </c>
      <c r="AJ42" s="642" t="b">
        <v>1</v>
      </c>
      <c r="AK42" s="178" t="s">
        <v>9</v>
      </c>
      <c r="AL42" s="101" t="str">
        <f t="shared" si="12"/>
        <v>Buckinghamshire</v>
      </c>
      <c r="AM42" s="164">
        <f t="shared" si="13"/>
        <v>383.07823129251699</v>
      </c>
      <c r="AN42" s="164">
        <f t="shared" si="13"/>
        <v>519.76450798990754</v>
      </c>
      <c r="AO42" s="164">
        <f t="shared" si="13"/>
        <v>464.09618573797678</v>
      </c>
      <c r="AP42" s="164">
        <f t="shared" si="13"/>
        <v>546.62247862198763</v>
      </c>
      <c r="AQ42" s="164">
        <f t="shared" si="13"/>
        <v>679.74812106439163</v>
      </c>
      <c r="AR42" s="165">
        <f t="shared" si="17"/>
        <v>9.8000000000000007</v>
      </c>
      <c r="AS42" s="398">
        <f t="shared" si="14"/>
        <v>0.17391824049725077</v>
      </c>
      <c r="AT42" s="398">
        <f t="shared" si="14"/>
        <v>0.13028926607697824</v>
      </c>
      <c r="AU42" s="398">
        <f t="shared" si="14"/>
        <v>0.21742768348075545</v>
      </c>
      <c r="AV42" s="398">
        <f t="shared" si="14"/>
        <v>0.32153956490557017</v>
      </c>
      <c r="AW42" s="398">
        <f t="shared" si="14"/>
        <v>0.15682524503944537</v>
      </c>
      <c r="AX42" s="398" t="e">
        <f t="shared" si="18"/>
        <v>#N/A</v>
      </c>
      <c r="AY42" s="398">
        <f t="shared" si="15"/>
        <v>0.82847896440129454</v>
      </c>
      <c r="AZ42" s="398">
        <f t="shared" si="15"/>
        <v>0.87296766124709668</v>
      </c>
      <c r="BA42" s="398">
        <f t="shared" si="15"/>
        <v>0.92904191616766463</v>
      </c>
      <c r="BB42" s="398">
        <f t="shared" si="15"/>
        <v>0.84317475496055461</v>
      </c>
      <c r="BC42" s="398" t="e">
        <f>VLOOKUP($AL42,#REF!,BC$36,FALSE)</f>
        <v>#REF!</v>
      </c>
      <c r="BD42" s="398" t="e">
        <f>VLOOKUP($AL42,#REF!,BD$36,FALSE)</f>
        <v>#REF!</v>
      </c>
      <c r="BE42" s="398" t="e">
        <f>VLOOKUP($AL42,#REF!,BE$36,FALSE)</f>
        <v>#REF!</v>
      </c>
      <c r="BF42" s="398" t="e">
        <f>VLOOKUP($AL42,#REF!,BF$36,FALSE)</f>
        <v>#REF!</v>
      </c>
      <c r="BG42" s="398" t="e">
        <f>VLOOKUP($AL42,#REF!,BG$36,FALSE)</f>
        <v>#REF!</v>
      </c>
      <c r="BH42" s="398" t="e">
        <f>VLOOKUP($AL42,#REF!,BH$36,FALSE)</f>
        <v>#REF!</v>
      </c>
      <c r="BI42" s="398" t="e">
        <f>VLOOKUP($AL42,#REF!,BI$36,FALSE)</f>
        <v>#REF!</v>
      </c>
      <c r="BJ42" s="398" t="e">
        <f>VLOOKUP($AL42,#REF!,BJ$36,FALSE)</f>
        <v>#REF!</v>
      </c>
      <c r="BK42" s="398" t="e">
        <f>VLOOKUP($AL42,#REF!,BK$36,FALSE)</f>
        <v>#REF!</v>
      </c>
      <c r="BL42" s="398" t="e">
        <f>VLOOKUP($AL42,#REF!,BL$36,FALSE)</f>
        <v>#REF!</v>
      </c>
    </row>
    <row r="43" spans="1:64" ht="14.25" customHeight="1" x14ac:dyDescent="0.2">
      <c r="A43" s="135"/>
      <c r="B43" s="9"/>
      <c r="C43" s="9"/>
      <c r="D43" s="9"/>
      <c r="E43" s="9"/>
      <c r="F43" s="9"/>
      <c r="G43" s="9"/>
      <c r="H43" s="9"/>
      <c r="I43" s="9"/>
      <c r="J43" s="13"/>
      <c r="K43" s="14"/>
      <c r="L43" s="14"/>
      <c r="M43" s="14"/>
      <c r="N43" s="14"/>
      <c r="O43" s="15"/>
      <c r="P43" s="15"/>
      <c r="Q43" s="15"/>
      <c r="R43" s="15"/>
      <c r="S43" s="15"/>
      <c r="T43" s="15"/>
      <c r="U43" s="134"/>
      <c r="V43" s="152"/>
      <c r="W43" s="326"/>
      <c r="X43" s="45">
        <v>3</v>
      </c>
      <c r="Y43" s="50" t="str">
        <f t="shared" si="16"/>
        <v>Buckinghamshire</v>
      </c>
      <c r="Z43" s="45">
        <v>4</v>
      </c>
      <c r="AA43" s="46">
        <f>IF(H11&gt;0,IDACI!D11,0)</f>
        <v>103548</v>
      </c>
      <c r="AB43" s="46">
        <f>IF(H11&gt;0,IDACI!E11,0)</f>
        <v>10147.704</v>
      </c>
      <c r="AJ43" s="642" t="b">
        <v>1</v>
      </c>
      <c r="AK43" s="178" t="s">
        <v>4</v>
      </c>
      <c r="AL43" s="101" t="str">
        <f t="shared" si="12"/>
        <v>East Sussex</v>
      </c>
      <c r="AM43" s="164">
        <f t="shared" si="13"/>
        <v>343.70229007633588</v>
      </c>
      <c r="AN43" s="164">
        <f t="shared" si="13"/>
        <v>254.64895635673622</v>
      </c>
      <c r="AO43" s="164">
        <f t="shared" si="13"/>
        <v>234.65533522190745</v>
      </c>
      <c r="AP43" s="164">
        <f t="shared" si="13"/>
        <v>296.72497946621604</v>
      </c>
      <c r="AQ43" s="164">
        <f t="shared" si="13"/>
        <v>337.59253147248808</v>
      </c>
      <c r="AR43" s="165">
        <f t="shared" si="17"/>
        <v>17.399999999999999</v>
      </c>
      <c r="AS43" s="398">
        <f t="shared" si="14"/>
        <v>8.5195530726256977E-2</v>
      </c>
      <c r="AT43" s="398">
        <f t="shared" si="14"/>
        <v>0.1430167597765363</v>
      </c>
      <c r="AU43" s="398">
        <f t="shared" si="14"/>
        <v>0.15502793296089384</v>
      </c>
      <c r="AV43" s="398">
        <f t="shared" si="14"/>
        <v>0.22318435754189944</v>
      </c>
      <c r="AW43" s="398">
        <f t="shared" si="14"/>
        <v>0.3935754189944134</v>
      </c>
      <c r="AX43" s="398" t="e">
        <f t="shared" si="18"/>
        <v>#N/A</v>
      </c>
      <c r="AY43" s="398">
        <f t="shared" si="15"/>
        <v>0.5167660208643815</v>
      </c>
      <c r="AZ43" s="398">
        <f t="shared" si="15"/>
        <v>0.53883299798792761</v>
      </c>
      <c r="BA43" s="398">
        <f t="shared" si="15"/>
        <v>0.65892459433662109</v>
      </c>
      <c r="BB43" s="398">
        <f t="shared" si="15"/>
        <v>0.6064245810055866</v>
      </c>
      <c r="BC43" s="398" t="e">
        <f>VLOOKUP($AL43,#REF!,BC$36,FALSE)</f>
        <v>#REF!</v>
      </c>
      <c r="BD43" s="398" t="e">
        <f>VLOOKUP($AL43,#REF!,BD$36,FALSE)</f>
        <v>#REF!</v>
      </c>
      <c r="BE43" s="398" t="e">
        <f>VLOOKUP($AL43,#REF!,BE$36,FALSE)</f>
        <v>#REF!</v>
      </c>
      <c r="BF43" s="398" t="e">
        <f>VLOOKUP($AL43,#REF!,BF$36,FALSE)</f>
        <v>#REF!</v>
      </c>
      <c r="BG43" s="398" t="e">
        <f>VLOOKUP($AL43,#REF!,BG$36,FALSE)</f>
        <v>#REF!</v>
      </c>
      <c r="BH43" s="398" t="e">
        <f>VLOOKUP($AL43,#REF!,BH$36,FALSE)</f>
        <v>#REF!</v>
      </c>
      <c r="BI43" s="398" t="e">
        <f>VLOOKUP($AL43,#REF!,BI$36,FALSE)</f>
        <v>#REF!</v>
      </c>
      <c r="BJ43" s="398" t="e">
        <f>VLOOKUP($AL43,#REF!,BJ$36,FALSE)</f>
        <v>#REF!</v>
      </c>
      <c r="BK43" s="398" t="e">
        <f>VLOOKUP($AL43,#REF!,BK$36,FALSE)</f>
        <v>#REF!</v>
      </c>
      <c r="BL43" s="398" t="e">
        <f>VLOOKUP($AL43,#REF!,BL$36,FALSE)</f>
        <v>#REF!</v>
      </c>
    </row>
    <row r="44" spans="1:64" s="82" customFormat="1" ht="14.25" customHeight="1" x14ac:dyDescent="0.2">
      <c r="A44" s="136"/>
      <c r="B44" s="256"/>
      <c r="C44" s="256"/>
      <c r="D44" s="257"/>
      <c r="E44" s="257"/>
      <c r="F44" s="257"/>
      <c r="G44" s="257"/>
      <c r="H44" s="257"/>
      <c r="I44" s="257"/>
      <c r="J44" s="16"/>
      <c r="K44" s="9"/>
      <c r="L44" s="9"/>
      <c r="M44" s="9"/>
      <c r="N44" s="9"/>
      <c r="O44" s="9"/>
      <c r="P44" s="9"/>
      <c r="Q44" s="9"/>
      <c r="R44" s="9"/>
      <c r="S44" s="9"/>
      <c r="T44" s="9"/>
      <c r="U44" s="137"/>
      <c r="V44" s="153"/>
      <c r="W44" s="327"/>
      <c r="X44" s="45">
        <v>4</v>
      </c>
      <c r="Y44" s="50" t="str">
        <f t="shared" si="16"/>
        <v>East Sussex</v>
      </c>
      <c r="Z44" s="45">
        <v>5</v>
      </c>
      <c r="AA44" s="46">
        <f>IF(H12&gt;0,IDACI!D12,0)</f>
        <v>91918</v>
      </c>
      <c r="AB44" s="46">
        <f>IF(H12&gt;0,IDACI!E12,0)</f>
        <v>15993.731999999998</v>
      </c>
      <c r="AC44" s="88"/>
      <c r="AD44" s="88"/>
      <c r="AE44" s="88"/>
      <c r="AF44" s="88"/>
      <c r="AG44" s="88"/>
      <c r="AH44" s="88"/>
      <c r="AI44" s="88"/>
      <c r="AJ44" s="642" t="b">
        <v>1</v>
      </c>
      <c r="AK44" s="178" t="s">
        <v>6</v>
      </c>
      <c r="AL44" s="101" t="str">
        <f t="shared" si="12"/>
        <v>Hampshire</v>
      </c>
      <c r="AM44" s="164">
        <f t="shared" si="13"/>
        <v>610.53565094004966</v>
      </c>
      <c r="AN44" s="164">
        <f t="shared" si="13"/>
        <v>607.31793960923619</v>
      </c>
      <c r="AO44" s="164">
        <f t="shared" si="13"/>
        <v>600.60305072720826</v>
      </c>
      <c r="AP44" s="164">
        <f t="shared" si="13"/>
        <v>701.61355913024113</v>
      </c>
      <c r="AQ44" s="164">
        <f t="shared" si="13"/>
        <v>623.33665120678825</v>
      </c>
      <c r="AR44" s="165">
        <f t="shared" si="17"/>
        <v>11.799999999999999</v>
      </c>
      <c r="AS44" s="398">
        <f t="shared" si="14"/>
        <v>0.29909399773499434</v>
      </c>
      <c r="AT44" s="398">
        <f t="shared" si="14"/>
        <v>0.41800679501698756</v>
      </c>
      <c r="AU44" s="398">
        <f t="shared" si="14"/>
        <v>0.10203850509626274</v>
      </c>
      <c r="AV44" s="398">
        <f t="shared" si="14"/>
        <v>9.2865232163080402E-2</v>
      </c>
      <c r="AW44" s="398">
        <f t="shared" si="14"/>
        <v>8.7995469988674968E-2</v>
      </c>
      <c r="AX44" s="398" t="e">
        <f t="shared" si="18"/>
        <v>#N/A</v>
      </c>
      <c r="AY44" s="398">
        <f t="shared" si="15"/>
        <v>0.79404539073467473</v>
      </c>
      <c r="AZ44" s="398">
        <f t="shared" si="15"/>
        <v>0.88252318232827354</v>
      </c>
      <c r="BA44" s="398">
        <f t="shared" si="15"/>
        <v>0.89637619071619379</v>
      </c>
      <c r="BB44" s="398">
        <f t="shared" si="15"/>
        <v>0.91200453001132498</v>
      </c>
      <c r="BC44" s="398" t="e">
        <f>VLOOKUP($AL44,#REF!,BC$36,FALSE)</f>
        <v>#REF!</v>
      </c>
      <c r="BD44" s="398" t="e">
        <f>VLOOKUP($AL44,#REF!,BD$36,FALSE)</f>
        <v>#REF!</v>
      </c>
      <c r="BE44" s="398" t="e">
        <f>VLOOKUP($AL44,#REF!,BE$36,FALSE)</f>
        <v>#REF!</v>
      </c>
      <c r="BF44" s="398" t="e">
        <f>VLOOKUP($AL44,#REF!,BF$36,FALSE)</f>
        <v>#REF!</v>
      </c>
      <c r="BG44" s="398" t="e">
        <f>VLOOKUP($AL44,#REF!,BG$36,FALSE)</f>
        <v>#REF!</v>
      </c>
      <c r="BH44" s="398" t="e">
        <f>VLOOKUP($AL44,#REF!,BH$36,FALSE)</f>
        <v>#REF!</v>
      </c>
      <c r="BI44" s="398" t="e">
        <f>VLOOKUP($AL44,#REF!,BI$36,FALSE)</f>
        <v>#REF!</v>
      </c>
      <c r="BJ44" s="398" t="e">
        <f>VLOOKUP($AL44,#REF!,BJ$36,FALSE)</f>
        <v>#REF!</v>
      </c>
      <c r="BK44" s="398" t="e">
        <f>VLOOKUP($AL44,#REF!,BK$36,FALSE)</f>
        <v>#REF!</v>
      </c>
      <c r="BL44" s="398" t="e">
        <f>VLOOKUP($AL44,#REF!,BL$36,FALSE)</f>
        <v>#REF!</v>
      </c>
    </row>
    <row r="45" spans="1:64" ht="14.25" customHeight="1" x14ac:dyDescent="0.2">
      <c r="A45" s="135"/>
      <c r="B45" s="257"/>
      <c r="C45" s="257"/>
      <c r="D45" s="257"/>
      <c r="E45" s="257"/>
      <c r="F45" s="257"/>
      <c r="G45" s="257"/>
      <c r="H45" s="257"/>
      <c r="I45" s="257"/>
      <c r="J45" s="13"/>
      <c r="K45" s="15"/>
      <c r="L45" s="15"/>
      <c r="M45" s="15"/>
      <c r="N45" s="15"/>
      <c r="O45" s="9"/>
      <c r="P45" s="9"/>
      <c r="Q45" s="9"/>
      <c r="R45" s="9"/>
      <c r="S45" s="9"/>
      <c r="T45" s="9"/>
      <c r="U45" s="134"/>
      <c r="V45" s="152"/>
      <c r="W45" s="326"/>
      <c r="X45" s="45">
        <v>5</v>
      </c>
      <c r="Y45" s="50" t="str">
        <f t="shared" si="16"/>
        <v>Hampshire</v>
      </c>
      <c r="Z45" s="45">
        <v>6</v>
      </c>
      <c r="AA45" s="46">
        <f>IF(H13&gt;0,IDACI!D13,0)</f>
        <v>247800</v>
      </c>
      <c r="AB45" s="46">
        <f>IF(H13&gt;0,IDACI!E13,0)</f>
        <v>29240.399999999998</v>
      </c>
      <c r="AJ45" s="642" t="b">
        <v>1</v>
      </c>
      <c r="AK45" s="178" t="s">
        <v>1</v>
      </c>
      <c r="AL45" s="101" t="str">
        <f t="shared" si="12"/>
        <v>Isle of Wight</v>
      </c>
      <c r="AM45" s="164">
        <f t="shared" si="13"/>
        <v>687.98449612403101</v>
      </c>
      <c r="AN45" s="164">
        <f t="shared" si="13"/>
        <v>803.13725490196077</v>
      </c>
      <c r="AO45" s="164">
        <f t="shared" si="13"/>
        <v>946.64031620553351</v>
      </c>
      <c r="AP45" s="164">
        <f t="shared" si="13"/>
        <v>1067.8571428571429</v>
      </c>
      <c r="AQ45" s="164">
        <f t="shared" si="13"/>
        <v>1069.247655158651</v>
      </c>
      <c r="AR45" s="165">
        <f t="shared" si="17"/>
        <v>20.399999999999999</v>
      </c>
      <c r="AS45" s="398">
        <f t="shared" si="14"/>
        <v>0.27659574468085107</v>
      </c>
      <c r="AT45" s="398">
        <f t="shared" si="14"/>
        <v>0.28443449048152297</v>
      </c>
      <c r="AU45" s="398">
        <f t="shared" si="14"/>
        <v>0.15677491601343785</v>
      </c>
      <c r="AV45" s="398">
        <f t="shared" si="14"/>
        <v>0.14333706606942889</v>
      </c>
      <c r="AW45" s="398">
        <f t="shared" si="14"/>
        <v>0.13885778275475924</v>
      </c>
      <c r="AX45" s="398" t="e">
        <f t="shared" si="18"/>
        <v>#N/A</v>
      </c>
      <c r="AY45" s="398">
        <f t="shared" si="15"/>
        <v>0.80292338709677424</v>
      </c>
      <c r="AZ45" s="398">
        <f t="shared" si="15"/>
        <v>0.86304801670146136</v>
      </c>
      <c r="BA45" s="398">
        <f t="shared" si="15"/>
        <v>0.79189892233370496</v>
      </c>
      <c r="BB45" s="398">
        <f t="shared" si="15"/>
        <v>0.86114221724524076</v>
      </c>
      <c r="BC45" s="398" t="e">
        <f>VLOOKUP($AL45,#REF!,BC$36,FALSE)</f>
        <v>#REF!</v>
      </c>
      <c r="BD45" s="398" t="e">
        <f>VLOOKUP($AL45,#REF!,BD$36,FALSE)</f>
        <v>#REF!</v>
      </c>
      <c r="BE45" s="398" t="e">
        <f>VLOOKUP($AL45,#REF!,BE$36,FALSE)</f>
        <v>#REF!</v>
      </c>
      <c r="BF45" s="398" t="e">
        <f>VLOOKUP($AL45,#REF!,BF$36,FALSE)</f>
        <v>#REF!</v>
      </c>
      <c r="BG45" s="398" t="e">
        <f>VLOOKUP($AL45,#REF!,BG$36,FALSE)</f>
        <v>#REF!</v>
      </c>
      <c r="BH45" s="398" t="e">
        <f>VLOOKUP($AL45,#REF!,BH$36,FALSE)</f>
        <v>#REF!</v>
      </c>
      <c r="BI45" s="398" t="e">
        <f>VLOOKUP($AL45,#REF!,BI$36,FALSE)</f>
        <v>#REF!</v>
      </c>
      <c r="BJ45" s="398" t="e">
        <f>VLOOKUP($AL45,#REF!,BJ$36,FALSE)</f>
        <v>#REF!</v>
      </c>
      <c r="BK45" s="398" t="e">
        <f>VLOOKUP($AL45,#REF!,BK$36,FALSE)</f>
        <v>#REF!</v>
      </c>
      <c r="BL45" s="398" t="e">
        <f>VLOOKUP($AL45,#REF!,BL$36,FALSE)</f>
        <v>#REF!</v>
      </c>
    </row>
    <row r="46" spans="1:64" ht="14.25" customHeight="1" x14ac:dyDescent="0.2">
      <c r="A46" s="135"/>
      <c r="B46" s="257"/>
      <c r="C46" s="257"/>
      <c r="D46" s="257"/>
      <c r="E46" s="257"/>
      <c r="F46" s="257"/>
      <c r="G46" s="257"/>
      <c r="H46" s="257"/>
      <c r="I46" s="257"/>
      <c r="J46" s="13"/>
      <c r="K46" s="15"/>
      <c r="L46" s="15"/>
      <c r="M46" s="15"/>
      <c r="N46" s="15"/>
      <c r="O46" s="9"/>
      <c r="P46" s="9"/>
      <c r="Q46" s="9"/>
      <c r="R46" s="9"/>
      <c r="S46" s="9"/>
      <c r="T46" s="9"/>
      <c r="U46" s="134"/>
      <c r="V46" s="152"/>
      <c r="W46" s="326"/>
      <c r="X46" s="45">
        <v>6</v>
      </c>
      <c r="Y46" s="50" t="str">
        <f t="shared" si="16"/>
        <v>Isle of Wight</v>
      </c>
      <c r="Z46" s="45">
        <v>7</v>
      </c>
      <c r="AA46" s="46">
        <f>IF(H14&gt;0,IDACI!D14,0)</f>
        <v>22502</v>
      </c>
      <c r="AB46" s="46">
        <f>IF(H14&gt;0,IDACI!E14,0)</f>
        <v>4590.4079999999994</v>
      </c>
      <c r="AC46" s="239"/>
      <c r="AJ46" s="642" t="b">
        <v>1</v>
      </c>
      <c r="AK46" s="178" t="s">
        <v>10</v>
      </c>
      <c r="AL46" s="101" t="str">
        <f t="shared" si="12"/>
        <v>Kent</v>
      </c>
      <c r="AM46" s="164">
        <f t="shared" si="13"/>
        <v>643.30466830466833</v>
      </c>
      <c r="AN46" s="164">
        <f t="shared" si="13"/>
        <v>481.32805360950351</v>
      </c>
      <c r="AO46" s="164">
        <f t="shared" si="13"/>
        <v>497.57869249394673</v>
      </c>
      <c r="AP46" s="164">
        <f t="shared" si="13"/>
        <v>491.40506538155506</v>
      </c>
      <c r="AQ46" s="164">
        <f t="shared" si="13"/>
        <v>560.1773334523491</v>
      </c>
      <c r="AR46" s="165">
        <f t="shared" si="17"/>
        <v>17.8</v>
      </c>
      <c r="AS46" s="398">
        <f t="shared" si="14"/>
        <v>7.6592128326339826E-2</v>
      </c>
      <c r="AT46" s="398">
        <f t="shared" si="14"/>
        <v>0.11504753811016094</v>
      </c>
      <c r="AU46" s="398">
        <f t="shared" si="14"/>
        <v>0.23662824666702076</v>
      </c>
      <c r="AV46" s="398">
        <f t="shared" si="14"/>
        <v>0.44032506506612845</v>
      </c>
      <c r="AW46" s="398">
        <f t="shared" si="14"/>
        <v>0.13140702183035002</v>
      </c>
      <c r="AX46" s="398" t="e">
        <f t="shared" si="18"/>
        <v>#N/A</v>
      </c>
      <c r="AY46" s="398">
        <f t="shared" si="15"/>
        <v>0.88577395266421977</v>
      </c>
      <c r="AZ46" s="398">
        <f t="shared" si="15"/>
        <v>0.91204379562043791</v>
      </c>
      <c r="BA46" s="398">
        <f t="shared" si="15"/>
        <v>0.92209458633752905</v>
      </c>
      <c r="BB46" s="398">
        <f t="shared" si="15"/>
        <v>0.86859297816964998</v>
      </c>
      <c r="BC46" s="398" t="e">
        <f>VLOOKUP($AL46,#REF!,BC$36,FALSE)</f>
        <v>#REF!</v>
      </c>
      <c r="BD46" s="398" t="e">
        <f>VLOOKUP($AL46,#REF!,BD$36,FALSE)</f>
        <v>#REF!</v>
      </c>
      <c r="BE46" s="398" t="e">
        <f>VLOOKUP($AL46,#REF!,BE$36,FALSE)</f>
        <v>#REF!</v>
      </c>
      <c r="BF46" s="398" t="e">
        <f>VLOOKUP($AL46,#REF!,BF$36,FALSE)</f>
        <v>#REF!</v>
      </c>
      <c r="BG46" s="398" t="e">
        <f>VLOOKUP($AL46,#REF!,BG$36,FALSE)</f>
        <v>#REF!</v>
      </c>
      <c r="BH46" s="398" t="e">
        <f>VLOOKUP($AL46,#REF!,BH$36,FALSE)</f>
        <v>#REF!</v>
      </c>
      <c r="BI46" s="398" t="e">
        <f>VLOOKUP($AL46,#REF!,BI$36,FALSE)</f>
        <v>#REF!</v>
      </c>
      <c r="BJ46" s="398" t="e">
        <f>VLOOKUP($AL46,#REF!,BJ$36,FALSE)</f>
        <v>#REF!</v>
      </c>
      <c r="BK46" s="398" t="e">
        <f>VLOOKUP($AL46,#REF!,BK$36,FALSE)</f>
        <v>#REF!</v>
      </c>
      <c r="BL46" s="398" t="e">
        <f>VLOOKUP($AL46,#REF!,BL$36,FALSE)</f>
        <v>#REF!</v>
      </c>
    </row>
    <row r="47" spans="1:64" ht="14.25" customHeight="1" x14ac:dyDescent="0.2">
      <c r="A47" s="135"/>
      <c r="B47" s="58"/>
      <c r="C47" s="58"/>
      <c r="D47" s="58"/>
      <c r="E47" s="58"/>
      <c r="F47" s="58"/>
      <c r="G47" s="58"/>
      <c r="H47" s="58"/>
      <c r="I47" s="58"/>
      <c r="J47" s="13"/>
      <c r="K47" s="15"/>
      <c r="L47" s="15"/>
      <c r="M47" s="15"/>
      <c r="N47" s="15"/>
      <c r="O47" s="9"/>
      <c r="P47" s="9"/>
      <c r="Q47" s="9"/>
      <c r="R47" s="9"/>
      <c r="S47" s="9"/>
      <c r="T47" s="9"/>
      <c r="U47" s="134"/>
      <c r="V47" s="152"/>
      <c r="W47" s="326"/>
      <c r="X47" s="45">
        <v>7</v>
      </c>
      <c r="Y47" s="50" t="str">
        <f t="shared" si="16"/>
        <v>Kent</v>
      </c>
      <c r="Z47" s="45">
        <v>8</v>
      </c>
      <c r="AA47" s="46">
        <f>IF(H15&gt;0,IDACI!D15,0)</f>
        <v>286168</v>
      </c>
      <c r="AB47" s="46">
        <f>IF(H15&gt;0,IDACI!E15,0)</f>
        <v>50937.904000000002</v>
      </c>
      <c r="AC47" s="210"/>
      <c r="AJ47" s="642" t="b">
        <v>1</v>
      </c>
      <c r="AK47" s="178" t="s">
        <v>2</v>
      </c>
      <c r="AL47" s="101" t="str">
        <f t="shared" si="12"/>
        <v>Medway</v>
      </c>
      <c r="AM47" s="164">
        <f t="shared" si="13"/>
        <v>617.04545454545462</v>
      </c>
      <c r="AN47" s="164">
        <f t="shared" si="13"/>
        <v>591.84</v>
      </c>
      <c r="AO47" s="164">
        <f t="shared" si="13"/>
        <v>492.72151898734177</v>
      </c>
      <c r="AP47" s="164">
        <f t="shared" si="13"/>
        <v>442.40702073881033</v>
      </c>
      <c r="AQ47" s="164">
        <f t="shared" si="13"/>
        <v>392.38071407347167</v>
      </c>
      <c r="AR47" s="165">
        <f t="shared" si="17"/>
        <v>22</v>
      </c>
      <c r="AS47" s="398">
        <f t="shared" si="14"/>
        <v>5.8589079314467912E-2</v>
      </c>
      <c r="AT47" s="398">
        <f t="shared" si="14"/>
        <v>9.8445595854922283E-2</v>
      </c>
      <c r="AU47" s="398">
        <f t="shared" si="14"/>
        <v>0.15464328417696294</v>
      </c>
      <c r="AV47" s="398">
        <f t="shared" si="14"/>
        <v>0.54762853726584293</v>
      </c>
      <c r="AW47" s="398">
        <f t="shared" si="14"/>
        <v>0.1406935033878039</v>
      </c>
      <c r="AX47" s="398" t="e">
        <f t="shared" si="18"/>
        <v>#N/A</v>
      </c>
      <c r="AY47" s="398">
        <f t="shared" si="15"/>
        <v>0.75371722087050552</v>
      </c>
      <c r="AZ47" s="398">
        <f t="shared" si="15"/>
        <v>0.83365446371226715</v>
      </c>
      <c r="BA47" s="398">
        <f t="shared" si="15"/>
        <v>0.95848119233498941</v>
      </c>
      <c r="BB47" s="398">
        <f t="shared" si="15"/>
        <v>0.85930649661219605</v>
      </c>
      <c r="BC47" s="398" t="e">
        <f>VLOOKUP($AL47,#REF!,BC$36,FALSE)</f>
        <v>#REF!</v>
      </c>
      <c r="BD47" s="398" t="e">
        <f>VLOOKUP($AL47,#REF!,BD$36,FALSE)</f>
        <v>#REF!</v>
      </c>
      <c r="BE47" s="398" t="e">
        <f>VLOOKUP($AL47,#REF!,BE$36,FALSE)</f>
        <v>#REF!</v>
      </c>
      <c r="BF47" s="398" t="e">
        <f>VLOOKUP($AL47,#REF!,BF$36,FALSE)</f>
        <v>#REF!</v>
      </c>
      <c r="BG47" s="398" t="e">
        <f>VLOOKUP($AL47,#REF!,BG$36,FALSE)</f>
        <v>#REF!</v>
      </c>
      <c r="BH47" s="398" t="e">
        <f>VLOOKUP($AL47,#REF!,BH$36,FALSE)</f>
        <v>#REF!</v>
      </c>
      <c r="BI47" s="398" t="e">
        <f>VLOOKUP($AL47,#REF!,BI$36,FALSE)</f>
        <v>#REF!</v>
      </c>
      <c r="BJ47" s="398" t="e">
        <f>VLOOKUP($AL47,#REF!,BJ$36,FALSE)</f>
        <v>#REF!</v>
      </c>
      <c r="BK47" s="398" t="e">
        <f>VLOOKUP($AL47,#REF!,BK$36,FALSE)</f>
        <v>#REF!</v>
      </c>
      <c r="BL47" s="398" t="e">
        <f>VLOOKUP($AL47,#REF!,BL$36,FALSE)</f>
        <v>#REF!</v>
      </c>
    </row>
    <row r="48" spans="1:64" ht="14.25" customHeight="1" x14ac:dyDescent="0.2">
      <c r="A48" s="135"/>
      <c r="B48" s="58"/>
      <c r="C48" s="58"/>
      <c r="D48" s="69"/>
      <c r="E48" s="70"/>
      <c r="F48" s="69"/>
      <c r="G48" s="70"/>
      <c r="H48" s="70"/>
      <c r="I48" s="70"/>
      <c r="J48" s="13"/>
      <c r="K48" s="15"/>
      <c r="L48" s="15"/>
      <c r="M48" s="15"/>
      <c r="N48" s="15"/>
      <c r="O48" s="9"/>
      <c r="P48" s="9"/>
      <c r="Q48" s="9"/>
      <c r="R48" s="9"/>
      <c r="S48" s="9"/>
      <c r="T48" s="9"/>
      <c r="U48" s="134"/>
      <c r="V48" s="152"/>
      <c r="W48" s="326"/>
      <c r="X48" s="45">
        <v>8</v>
      </c>
      <c r="Y48" s="50" t="str">
        <f t="shared" si="16"/>
        <v>Medway</v>
      </c>
      <c r="Z48" s="45">
        <v>9</v>
      </c>
      <c r="AA48" s="46">
        <f>IF(H16&gt;0,IDACI!D16,0)</f>
        <v>54280</v>
      </c>
      <c r="AB48" s="46">
        <f>IF(H16&gt;0,IDACI!E16,0)</f>
        <v>11941.6</v>
      </c>
      <c r="AJ48" s="642" t="b">
        <v>1</v>
      </c>
      <c r="AK48" s="178" t="s">
        <v>11</v>
      </c>
      <c r="AL48" s="101" t="str">
        <f t="shared" si="12"/>
        <v>Milton Keynes</v>
      </c>
      <c r="AM48" s="164">
        <f t="shared" si="13"/>
        <v>427.65625</v>
      </c>
      <c r="AN48" s="164">
        <f t="shared" si="13"/>
        <v>306.74846625766872</v>
      </c>
      <c r="AO48" s="164">
        <f t="shared" si="13"/>
        <v>315.7337367624811</v>
      </c>
      <c r="AP48" s="164">
        <f t="shared" si="13"/>
        <v>374.85479403091773</v>
      </c>
      <c r="AQ48" s="164">
        <f t="shared" si="13"/>
        <v>327.13941490383905</v>
      </c>
      <c r="AR48" s="165">
        <f t="shared" si="17"/>
        <v>19.7</v>
      </c>
      <c r="AS48" s="398">
        <f t="shared" si="14"/>
        <v>0.2797107998192499</v>
      </c>
      <c r="AT48" s="398">
        <f t="shared" si="14"/>
        <v>0.27519204699502936</v>
      </c>
      <c r="AU48" s="398">
        <f t="shared" si="14"/>
        <v>0.20921825576140984</v>
      </c>
      <c r="AV48" s="398">
        <f t="shared" si="14"/>
        <v>0.11342069588793494</v>
      </c>
      <c r="AW48" s="398">
        <f t="shared" si="14"/>
        <v>0.12245820153637596</v>
      </c>
      <c r="AX48" s="398" t="e">
        <f t="shared" si="18"/>
        <v>#N/A</v>
      </c>
      <c r="AY48" s="398">
        <f t="shared" si="15"/>
        <v>0.95950000000000002</v>
      </c>
      <c r="AZ48" s="398">
        <f t="shared" si="15"/>
        <v>0.93291806420699563</v>
      </c>
      <c r="BA48" s="398">
        <f t="shared" si="15"/>
        <v>0.90186730234406043</v>
      </c>
      <c r="BB48" s="398">
        <f t="shared" si="15"/>
        <v>0.87754179846362401</v>
      </c>
      <c r="BC48" s="398" t="e">
        <f>VLOOKUP($AL48,#REF!,BC$36,FALSE)</f>
        <v>#REF!</v>
      </c>
      <c r="BD48" s="398" t="e">
        <f>VLOOKUP($AL48,#REF!,BD$36,FALSE)</f>
        <v>#REF!</v>
      </c>
      <c r="BE48" s="398" t="e">
        <f>VLOOKUP($AL48,#REF!,BE$36,FALSE)</f>
        <v>#REF!</v>
      </c>
      <c r="BF48" s="398" t="e">
        <f>VLOOKUP($AL48,#REF!,BF$36,FALSE)</f>
        <v>#REF!</v>
      </c>
      <c r="BG48" s="398" t="e">
        <f>VLOOKUP($AL48,#REF!,BG$36,FALSE)</f>
        <v>#REF!</v>
      </c>
      <c r="BH48" s="398" t="e">
        <f>VLOOKUP($AL48,#REF!,BH$36,FALSE)</f>
        <v>#REF!</v>
      </c>
      <c r="BI48" s="398" t="e">
        <f>VLOOKUP($AL48,#REF!,BI$36,FALSE)</f>
        <v>#REF!</v>
      </c>
      <c r="BJ48" s="398" t="e">
        <f>VLOOKUP($AL48,#REF!,BJ$36,FALSE)</f>
        <v>#REF!</v>
      </c>
      <c r="BK48" s="398" t="e">
        <f>VLOOKUP($AL48,#REF!,BK$36,FALSE)</f>
        <v>#REF!</v>
      </c>
      <c r="BL48" s="398" t="e">
        <f>VLOOKUP($AL48,#REF!,BL$36,FALSE)</f>
        <v>#REF!</v>
      </c>
    </row>
    <row r="49" spans="1:64" ht="14.25" customHeight="1" x14ac:dyDescent="0.2">
      <c r="A49" s="135"/>
      <c r="B49" s="58"/>
      <c r="C49" s="58"/>
      <c r="D49" s="62"/>
      <c r="E49" s="62"/>
      <c r="F49" s="62"/>
      <c r="G49" s="62"/>
      <c r="H49" s="62"/>
      <c r="I49" s="62"/>
      <c r="J49" s="13"/>
      <c r="K49" s="15"/>
      <c r="L49" s="15"/>
      <c r="M49" s="15"/>
      <c r="N49" s="15"/>
      <c r="O49" s="9"/>
      <c r="P49" s="9"/>
      <c r="Q49" s="9"/>
      <c r="R49" s="9"/>
      <c r="S49" s="9"/>
      <c r="T49" s="9"/>
      <c r="U49" s="134"/>
      <c r="V49" s="152"/>
      <c r="W49" s="326"/>
      <c r="X49" s="45">
        <v>9</v>
      </c>
      <c r="Y49" s="50" t="str">
        <f t="shared" si="16"/>
        <v>Milton Keynes</v>
      </c>
      <c r="Z49" s="45">
        <v>10</v>
      </c>
      <c r="AA49" s="46">
        <f>IF(H17&gt;0,IDACI!D17,0)</f>
        <v>56637</v>
      </c>
      <c r="AB49" s="46">
        <f>IF(H17&gt;0,IDACI!E17,0)</f>
        <v>11157.489</v>
      </c>
      <c r="AJ49" s="642" t="b">
        <v>1</v>
      </c>
      <c r="AK49" s="178" t="s">
        <v>12</v>
      </c>
      <c r="AL49" s="101" t="str">
        <f t="shared" si="12"/>
        <v>Oxfordshire</v>
      </c>
      <c r="AM49" s="164">
        <f t="shared" si="13"/>
        <v>370.77690662865285</v>
      </c>
      <c r="AN49" s="164">
        <f t="shared" si="13"/>
        <v>266.78470254957506</v>
      </c>
      <c r="AO49" s="164">
        <f t="shared" si="13"/>
        <v>388.99858956276444</v>
      </c>
      <c r="AP49" s="164">
        <f t="shared" si="13"/>
        <v>470.26879500619322</v>
      </c>
      <c r="AQ49" s="164">
        <f t="shared" si="13"/>
        <v>403.64183932405678</v>
      </c>
      <c r="AR49" s="165">
        <f t="shared" si="17"/>
        <v>11.799999999999999</v>
      </c>
      <c r="AS49" s="398">
        <f t="shared" si="14"/>
        <v>4.4214162348877373E-2</v>
      </c>
      <c r="AT49" s="398">
        <f t="shared" si="14"/>
        <v>9.6545768566493953E-2</v>
      </c>
      <c r="AU49" s="398">
        <f t="shared" si="14"/>
        <v>0.12521588946459414</v>
      </c>
      <c r="AV49" s="398">
        <f t="shared" si="14"/>
        <v>0.25094991364421415</v>
      </c>
      <c r="AW49" s="398">
        <f t="shared" si="14"/>
        <v>0.48307426597582037</v>
      </c>
      <c r="AX49" s="398" t="e">
        <f t="shared" si="18"/>
        <v>#N/A</v>
      </c>
      <c r="AY49" s="398">
        <f t="shared" si="15"/>
        <v>0.74807539155826919</v>
      </c>
      <c r="AZ49" s="398">
        <f t="shared" si="15"/>
        <v>0.6292603335750544</v>
      </c>
      <c r="BA49" s="398">
        <f t="shared" si="15"/>
        <v>0.5178571428571429</v>
      </c>
      <c r="BB49" s="398">
        <f t="shared" si="15"/>
        <v>0.51692573402417963</v>
      </c>
      <c r="BC49" s="398" t="e">
        <f>VLOOKUP($AL49,#REF!,BC$36,FALSE)</f>
        <v>#REF!</v>
      </c>
      <c r="BD49" s="398" t="e">
        <f>VLOOKUP($AL49,#REF!,BD$36,FALSE)</f>
        <v>#REF!</v>
      </c>
      <c r="BE49" s="398" t="e">
        <f>VLOOKUP($AL49,#REF!,BE$36,FALSE)</f>
        <v>#REF!</v>
      </c>
      <c r="BF49" s="398" t="e">
        <f>VLOOKUP($AL49,#REF!,BF$36,FALSE)</f>
        <v>#REF!</v>
      </c>
      <c r="BG49" s="398" t="e">
        <f>VLOOKUP($AL49,#REF!,BG$36,FALSE)</f>
        <v>#REF!</v>
      </c>
      <c r="BH49" s="398" t="e">
        <f>VLOOKUP($AL49,#REF!,BH$36,FALSE)</f>
        <v>#REF!</v>
      </c>
      <c r="BI49" s="398" t="e">
        <f>VLOOKUP($AL49,#REF!,BI$36,FALSE)</f>
        <v>#REF!</v>
      </c>
      <c r="BJ49" s="398" t="e">
        <f>VLOOKUP($AL49,#REF!,BJ$36,FALSE)</f>
        <v>#REF!</v>
      </c>
      <c r="BK49" s="398" t="e">
        <f>VLOOKUP($AL49,#REF!,BK$36,FALSE)</f>
        <v>#REF!</v>
      </c>
      <c r="BL49" s="398" t="e">
        <f>VLOOKUP($AL49,#REF!,BL$36,FALSE)</f>
        <v>#REF!</v>
      </c>
    </row>
    <row r="50" spans="1:64" ht="14.25" customHeight="1" x14ac:dyDescent="0.2">
      <c r="A50" s="135"/>
      <c r="B50" s="362"/>
      <c r="C50" s="362"/>
      <c r="D50" s="58"/>
      <c r="E50" s="58"/>
      <c r="F50" s="58"/>
      <c r="G50" s="58"/>
      <c r="H50" s="58"/>
      <c r="I50" s="58"/>
      <c r="J50" s="13"/>
      <c r="K50" s="15"/>
      <c r="L50" s="15"/>
      <c r="M50" s="15"/>
      <c r="N50" s="15"/>
      <c r="O50" s="9"/>
      <c r="P50" s="9"/>
      <c r="Q50" s="9"/>
      <c r="R50" s="9"/>
      <c r="S50" s="9"/>
      <c r="T50" s="9"/>
      <c r="U50" s="134"/>
      <c r="V50" s="152"/>
      <c r="W50" s="326"/>
      <c r="X50" s="45">
        <v>10</v>
      </c>
      <c r="Y50" s="50" t="str">
        <f t="shared" si="16"/>
        <v>Oxfordshire</v>
      </c>
      <c r="Z50" s="45">
        <v>11</v>
      </c>
      <c r="AA50" s="46">
        <f>IF(H18&gt;0,IDACI!D18,0)</f>
        <v>123975</v>
      </c>
      <c r="AB50" s="46">
        <f>IF(H18&gt;0,IDACI!E18,0)</f>
        <v>14629.05</v>
      </c>
      <c r="AJ50" s="642" t="b">
        <v>1</v>
      </c>
      <c r="AK50" s="178" t="s">
        <v>13</v>
      </c>
      <c r="AL50" s="101" t="str">
        <f t="shared" si="12"/>
        <v>Portsmouth</v>
      </c>
      <c r="AM50" s="164">
        <f t="shared" ref="AM50:AQ63" si="19">VLOOKUP($AL50,$B$9:$O$32,AM$36,FALSE)</f>
        <v>741.78403755868533</v>
      </c>
      <c r="AN50" s="164">
        <f t="shared" si="19"/>
        <v>334.79262672811058</v>
      </c>
      <c r="AO50" s="164">
        <f t="shared" si="19"/>
        <v>425.79908675799089</v>
      </c>
      <c r="AP50" s="164">
        <f t="shared" si="19"/>
        <v>670.4545454545455</v>
      </c>
      <c r="AQ50" s="164">
        <f t="shared" si="19"/>
        <v>721.85010861694423</v>
      </c>
      <c r="AR50" s="165">
        <f t="shared" si="17"/>
        <v>23.799999999999997</v>
      </c>
      <c r="AS50" s="398">
        <f t="shared" ref="AS50:AW63" si="20">VLOOKUP($AL50,$B$145:$H$168,AS$36,FALSE)</f>
        <v>0.30407523510971785</v>
      </c>
      <c r="AT50" s="398">
        <f t="shared" si="20"/>
        <v>0.25642633228840123</v>
      </c>
      <c r="AU50" s="398">
        <f t="shared" si="20"/>
        <v>0.18777429467084639</v>
      </c>
      <c r="AV50" s="398">
        <f t="shared" si="20"/>
        <v>0.18746081504702194</v>
      </c>
      <c r="AW50" s="398">
        <f t="shared" si="20"/>
        <v>6.4263322884012541E-2</v>
      </c>
      <c r="AX50" s="398" t="e">
        <f t="shared" si="18"/>
        <v>#N/A</v>
      </c>
      <c r="AY50" s="398">
        <f t="shared" si="15"/>
        <v>0.91397109428768064</v>
      </c>
      <c r="AZ50" s="398">
        <f t="shared" si="15"/>
        <v>0.99516908212560384</v>
      </c>
      <c r="BA50" s="398">
        <f t="shared" si="15"/>
        <v>0.94135593220338987</v>
      </c>
      <c r="BB50" s="398">
        <f t="shared" si="15"/>
        <v>0.93573667711598751</v>
      </c>
      <c r="BC50" s="398" t="e">
        <f>VLOOKUP($AL50,#REF!,BC$36,FALSE)</f>
        <v>#REF!</v>
      </c>
      <c r="BD50" s="398" t="e">
        <f>VLOOKUP($AL50,#REF!,BD$36,FALSE)</f>
        <v>#REF!</v>
      </c>
      <c r="BE50" s="398" t="e">
        <f>VLOOKUP($AL50,#REF!,BE$36,FALSE)</f>
        <v>#REF!</v>
      </c>
      <c r="BF50" s="398" t="e">
        <f>VLOOKUP($AL50,#REF!,BF$36,FALSE)</f>
        <v>#REF!</v>
      </c>
      <c r="BG50" s="398" t="e">
        <f>VLOOKUP($AL50,#REF!,BG$36,FALSE)</f>
        <v>#REF!</v>
      </c>
      <c r="BH50" s="398" t="e">
        <f>VLOOKUP($AL50,#REF!,BH$36,FALSE)</f>
        <v>#REF!</v>
      </c>
      <c r="BI50" s="398" t="e">
        <f>VLOOKUP($AL50,#REF!,BI$36,FALSE)</f>
        <v>#REF!</v>
      </c>
      <c r="BJ50" s="398" t="e">
        <f>VLOOKUP($AL50,#REF!,BJ$36,FALSE)</f>
        <v>#REF!</v>
      </c>
      <c r="BK50" s="398" t="e">
        <f>VLOOKUP($AL50,#REF!,BK$36,FALSE)</f>
        <v>#REF!</v>
      </c>
      <c r="BL50" s="398" t="e">
        <f>VLOOKUP($AL50,#REF!,BL$36,FALSE)</f>
        <v>#REF!</v>
      </c>
    </row>
    <row r="51" spans="1:64" ht="14.25" customHeight="1" x14ac:dyDescent="0.2">
      <c r="A51" s="135"/>
      <c r="B51" s="362"/>
      <c r="C51" s="362"/>
      <c r="D51" s="58"/>
      <c r="E51" s="58"/>
      <c r="F51" s="58"/>
      <c r="G51" s="58"/>
      <c r="H51" s="58"/>
      <c r="I51" s="58"/>
      <c r="J51" s="13"/>
      <c r="K51" s="15"/>
      <c r="L51" s="15"/>
      <c r="M51" s="15"/>
      <c r="N51" s="15"/>
      <c r="O51" s="9"/>
      <c r="P51" s="9"/>
      <c r="Q51" s="9"/>
      <c r="R51" s="9"/>
      <c r="S51" s="9"/>
      <c r="T51" s="9"/>
      <c r="U51" s="134"/>
      <c r="V51" s="152"/>
      <c r="W51" s="326"/>
      <c r="X51" s="45">
        <v>11</v>
      </c>
      <c r="Y51" s="50" t="str">
        <f t="shared" si="16"/>
        <v>Portsmouth</v>
      </c>
      <c r="Z51" s="45">
        <v>12</v>
      </c>
      <c r="AA51" s="46">
        <f>IF(H19&gt;0,IDACI!D19,0)</f>
        <v>37912</v>
      </c>
      <c r="AB51" s="46">
        <f>IF(H19&gt;0,IDACI!E19,0)</f>
        <v>9023.0559999999987</v>
      </c>
      <c r="AJ51" s="642" t="b">
        <v>1</v>
      </c>
      <c r="AK51" s="178" t="s">
        <v>3</v>
      </c>
      <c r="AL51" s="101" t="str">
        <f t="shared" si="12"/>
        <v>Reading</v>
      </c>
      <c r="AM51" s="164">
        <f t="shared" si="19"/>
        <v>613.54466858789624</v>
      </c>
      <c r="AN51" s="164">
        <f t="shared" si="19"/>
        <v>333.42618384401112</v>
      </c>
      <c r="AO51" s="164">
        <f t="shared" si="19"/>
        <v>596.42857142857144</v>
      </c>
      <c r="AP51" s="164">
        <f t="shared" si="19"/>
        <v>803.74443928932078</v>
      </c>
      <c r="AQ51" s="164">
        <f t="shared" si="19"/>
        <v>752.43307362575149</v>
      </c>
      <c r="AR51" s="165">
        <f t="shared" si="17"/>
        <v>19.8</v>
      </c>
      <c r="AS51" s="398">
        <f t="shared" si="20"/>
        <v>0.18237190970978143</v>
      </c>
      <c r="AT51" s="398">
        <f t="shared" si="20"/>
        <v>0.12647796488713722</v>
      </c>
      <c r="AU51" s="398">
        <f t="shared" si="20"/>
        <v>0.15657470440702256</v>
      </c>
      <c r="AV51" s="398">
        <f t="shared" si="20"/>
        <v>0.39663203152991761</v>
      </c>
      <c r="AW51" s="398">
        <f t="shared" si="20"/>
        <v>0.13794338946614118</v>
      </c>
      <c r="AX51" s="398" t="e">
        <f t="shared" si="18"/>
        <v>#N/A</v>
      </c>
      <c r="AY51" s="398">
        <f t="shared" si="15"/>
        <v>0.83792815371762741</v>
      </c>
      <c r="AZ51" s="398">
        <f t="shared" si="15"/>
        <v>0.8337171810225702</v>
      </c>
      <c r="BA51" s="398">
        <f t="shared" si="15"/>
        <v>0.69847198641765706</v>
      </c>
      <c r="BB51" s="398">
        <f t="shared" si="15"/>
        <v>0.86205661053385885</v>
      </c>
      <c r="BC51" s="398" t="e">
        <f>VLOOKUP($AL51,#REF!,BC$36,FALSE)</f>
        <v>#REF!</v>
      </c>
      <c r="BD51" s="398" t="e">
        <f>VLOOKUP($AL51,#REF!,BD$36,FALSE)</f>
        <v>#REF!</v>
      </c>
      <c r="BE51" s="398" t="e">
        <f>VLOOKUP($AL51,#REF!,BE$36,FALSE)</f>
        <v>#REF!</v>
      </c>
      <c r="BF51" s="398" t="e">
        <f>VLOOKUP($AL51,#REF!,BF$36,FALSE)</f>
        <v>#REF!</v>
      </c>
      <c r="BG51" s="398" t="e">
        <f>VLOOKUP($AL51,#REF!,BG$36,FALSE)</f>
        <v>#REF!</v>
      </c>
      <c r="BH51" s="398" t="e">
        <f>VLOOKUP($AL51,#REF!,BH$36,FALSE)</f>
        <v>#REF!</v>
      </c>
      <c r="BI51" s="398" t="e">
        <f>VLOOKUP($AL51,#REF!,BI$36,FALSE)</f>
        <v>#REF!</v>
      </c>
      <c r="BJ51" s="398" t="e">
        <f>VLOOKUP($AL51,#REF!,BJ$36,FALSE)</f>
        <v>#REF!</v>
      </c>
      <c r="BK51" s="398" t="e">
        <f>VLOOKUP($AL51,#REF!,BK$36,FALSE)</f>
        <v>#REF!</v>
      </c>
      <c r="BL51" s="398" t="e">
        <f>VLOOKUP($AL51,#REF!,BL$36,FALSE)</f>
        <v>#REF!</v>
      </c>
    </row>
    <row r="52" spans="1:64" ht="14.25" customHeight="1" x14ac:dyDescent="0.2">
      <c r="A52" s="135"/>
      <c r="B52" s="362"/>
      <c r="C52" s="362"/>
      <c r="D52" s="58"/>
      <c r="E52" s="58"/>
      <c r="F52" s="58"/>
      <c r="G52" s="58"/>
      <c r="H52" s="58"/>
      <c r="I52" s="58"/>
      <c r="J52" s="13"/>
      <c r="K52" s="15"/>
      <c r="L52" s="15"/>
      <c r="M52" s="15"/>
      <c r="N52" s="15"/>
      <c r="O52" s="9"/>
      <c r="P52" s="9"/>
      <c r="Q52" s="9"/>
      <c r="R52" s="9"/>
      <c r="S52" s="9"/>
      <c r="T52" s="9"/>
      <c r="U52" s="134"/>
      <c r="V52" s="152"/>
      <c r="W52" s="326"/>
      <c r="X52" s="45">
        <v>12</v>
      </c>
      <c r="Y52" s="50" t="str">
        <f t="shared" si="16"/>
        <v>Reading</v>
      </c>
      <c r="Z52" s="45">
        <v>13</v>
      </c>
      <c r="AA52" s="46">
        <f>IF(H20&gt;0,IDACI!D20,0)</f>
        <v>30916</v>
      </c>
      <c r="AB52" s="46">
        <f>IF(H20&gt;0,IDACI!E20,0)</f>
        <v>6121.3680000000004</v>
      </c>
      <c r="AJ52" s="642" t="b">
        <v>1</v>
      </c>
      <c r="AK52" s="178" t="s">
        <v>14</v>
      </c>
      <c r="AL52" s="101" t="str">
        <f t="shared" si="12"/>
        <v>Slough</v>
      </c>
      <c r="AM52" s="164">
        <f t="shared" si="19"/>
        <v>888.17480719794344</v>
      </c>
      <c r="AN52" s="164">
        <f t="shared" si="19"/>
        <v>470.92731829573938</v>
      </c>
      <c r="AO52" s="164">
        <f t="shared" si="19"/>
        <v>637.4384236453202</v>
      </c>
      <c r="AP52" s="164">
        <f t="shared" si="19"/>
        <v>564.89397671835002</v>
      </c>
      <c r="AQ52" s="164">
        <f t="shared" si="19"/>
        <v>365.33902323376009</v>
      </c>
      <c r="AR52" s="165">
        <f t="shared" si="17"/>
        <v>19.5</v>
      </c>
      <c r="AS52" s="398">
        <f t="shared" si="20"/>
        <v>0</v>
      </c>
      <c r="AT52" s="398">
        <f t="shared" si="20"/>
        <v>7.6043068640646028E-2</v>
      </c>
      <c r="AU52" s="398">
        <f t="shared" si="20"/>
        <v>0.2079407806191117</v>
      </c>
      <c r="AV52" s="398">
        <f t="shared" si="20"/>
        <v>0.28196500672947511</v>
      </c>
      <c r="AW52" s="398">
        <f t="shared" si="20"/>
        <v>0.43405114401076716</v>
      </c>
      <c r="AX52" s="398" t="e">
        <f t="shared" si="18"/>
        <v>#N/A</v>
      </c>
      <c r="AY52" s="398">
        <f t="shared" si="15"/>
        <v>0.93773283661522089</v>
      </c>
      <c r="AZ52" s="398">
        <f t="shared" si="15"/>
        <v>0.92851622874806805</v>
      </c>
      <c r="BA52" s="398">
        <f t="shared" si="15"/>
        <v>0.85763146643864896</v>
      </c>
      <c r="BB52" s="398">
        <f t="shared" si="15"/>
        <v>0.54574951330304999</v>
      </c>
      <c r="BC52" s="398" t="e">
        <f>VLOOKUP($AL52,#REF!,BC$36,FALSE)</f>
        <v>#REF!</v>
      </c>
      <c r="BD52" s="398" t="e">
        <f>VLOOKUP($AL52,#REF!,BD$36,FALSE)</f>
        <v>#REF!</v>
      </c>
      <c r="BE52" s="398" t="e">
        <f>VLOOKUP($AL52,#REF!,BE$36,FALSE)</f>
        <v>#REF!</v>
      </c>
      <c r="BF52" s="398" t="e">
        <f>VLOOKUP($AL52,#REF!,BF$36,FALSE)</f>
        <v>#REF!</v>
      </c>
      <c r="BG52" s="398" t="e">
        <f>VLOOKUP($AL52,#REF!,BG$36,FALSE)</f>
        <v>#REF!</v>
      </c>
      <c r="BH52" s="398" t="e">
        <f>VLOOKUP($AL52,#REF!,BH$36,FALSE)</f>
        <v>#REF!</v>
      </c>
      <c r="BI52" s="398" t="e">
        <f>VLOOKUP($AL52,#REF!,BI$36,FALSE)</f>
        <v>#REF!</v>
      </c>
      <c r="BJ52" s="398" t="e">
        <f>VLOOKUP($AL52,#REF!,BJ$36,FALSE)</f>
        <v>#REF!</v>
      </c>
      <c r="BK52" s="398" t="e">
        <f>VLOOKUP($AL52,#REF!,BK$36,FALSE)</f>
        <v>#REF!</v>
      </c>
      <c r="BL52" s="398" t="e">
        <f>VLOOKUP($AL52,#REF!,BL$36,FALSE)</f>
        <v>#REF!</v>
      </c>
    </row>
    <row r="53" spans="1:64" ht="14.25" customHeight="1" x14ac:dyDescent="0.2">
      <c r="A53" s="135"/>
      <c r="B53" s="362"/>
      <c r="C53" s="362"/>
      <c r="D53" s="58"/>
      <c r="E53" s="58"/>
      <c r="F53" s="58"/>
      <c r="G53" s="58"/>
      <c r="H53" s="58"/>
      <c r="I53" s="58"/>
      <c r="J53" s="13"/>
      <c r="K53" s="15"/>
      <c r="L53" s="15"/>
      <c r="M53" s="15"/>
      <c r="N53" s="15"/>
      <c r="O53" s="9"/>
      <c r="P53" s="9"/>
      <c r="Q53" s="9"/>
      <c r="R53" s="9"/>
      <c r="S53" s="9"/>
      <c r="T53" s="9"/>
      <c r="U53" s="134"/>
      <c r="V53" s="152"/>
      <c r="W53" s="326"/>
      <c r="X53" s="45">
        <v>13</v>
      </c>
      <c r="Y53" s="50" t="str">
        <f t="shared" si="16"/>
        <v>Slough</v>
      </c>
      <c r="Z53" s="45">
        <v>14</v>
      </c>
      <c r="AA53" s="46">
        <f>IF(H21&gt;0,IDACI!D21,0)</f>
        <v>34703</v>
      </c>
      <c r="AB53" s="46">
        <f>IF(H21&gt;0,IDACI!E21,0)</f>
        <v>6767.085</v>
      </c>
      <c r="AJ53" s="642" t="b">
        <v>1</v>
      </c>
      <c r="AK53" s="178" t="s">
        <v>93</v>
      </c>
      <c r="AL53" s="101" t="str">
        <f t="shared" si="12"/>
        <v>Somerset</v>
      </c>
      <c r="AM53" s="164">
        <f t="shared" si="19"/>
        <v>600.73529411764707</v>
      </c>
      <c r="AN53" s="164">
        <f t="shared" si="19"/>
        <v>415.42699724517905</v>
      </c>
      <c r="AO53" s="164">
        <f t="shared" si="19"/>
        <v>404.12087912087912</v>
      </c>
      <c r="AP53" s="164">
        <f t="shared" si="19"/>
        <v>450.86041018813211</v>
      </c>
      <c r="AQ53" s="164">
        <f t="shared" si="19"/>
        <v>507.33984956941975</v>
      </c>
      <c r="AR53" s="165">
        <f t="shared" si="17"/>
        <v>14.8</v>
      </c>
      <c r="AS53" s="398">
        <f t="shared" si="20"/>
        <v>0.20286481647269472</v>
      </c>
      <c r="AT53" s="398">
        <f t="shared" si="20"/>
        <v>0.16383169203222919</v>
      </c>
      <c r="AU53" s="398">
        <f t="shared" si="20"/>
        <v>0.18316920322291852</v>
      </c>
      <c r="AV53" s="398">
        <f t="shared" si="20"/>
        <v>0.25675917636526407</v>
      </c>
      <c r="AW53" s="398">
        <f t="shared" si="20"/>
        <v>0.19337511190689347</v>
      </c>
      <c r="AX53" s="398" t="e">
        <f t="shared" si="18"/>
        <v>#N/A</v>
      </c>
      <c r="AY53" s="398">
        <f t="shared" si="15"/>
        <v>0.92904509283819625</v>
      </c>
      <c r="AZ53" s="398">
        <f t="shared" si="15"/>
        <v>0.68116927260367099</v>
      </c>
      <c r="BA53" s="398">
        <f t="shared" si="15"/>
        <v>0.89199029126213591</v>
      </c>
      <c r="BB53" s="398">
        <f t="shared" si="15"/>
        <v>0.80662488809310651</v>
      </c>
      <c r="BC53" s="398" t="e">
        <f>VLOOKUP($AL53,#REF!,BC$36,FALSE)</f>
        <v>#REF!</v>
      </c>
      <c r="BD53" s="398" t="e">
        <f>VLOOKUP($AL53,#REF!,BD$36,FALSE)</f>
        <v>#REF!</v>
      </c>
      <c r="BE53" s="398" t="e">
        <f>VLOOKUP($AL53,#REF!,BE$36,FALSE)</f>
        <v>#REF!</v>
      </c>
      <c r="BF53" s="398" t="e">
        <f>VLOOKUP($AL53,#REF!,BF$36,FALSE)</f>
        <v>#REF!</v>
      </c>
      <c r="BG53" s="398" t="e">
        <f>VLOOKUP($AL53,#REF!,BG$36,FALSE)</f>
        <v>#REF!</v>
      </c>
      <c r="BH53" s="398" t="e">
        <f>VLOOKUP($AL53,#REF!,BH$36,FALSE)</f>
        <v>#REF!</v>
      </c>
      <c r="BI53" s="398" t="e">
        <f>VLOOKUP($AL53,#REF!,BI$36,FALSE)</f>
        <v>#REF!</v>
      </c>
      <c r="BJ53" s="398" t="e">
        <f>VLOOKUP($AL53,#REF!,BJ$36,FALSE)</f>
        <v>#REF!</v>
      </c>
      <c r="BK53" s="398" t="e">
        <f>VLOOKUP($AL53,#REF!,BK$36,FALSE)</f>
        <v>#REF!</v>
      </c>
      <c r="BL53" s="398" t="e">
        <f>VLOOKUP($AL53,#REF!,BL$36,FALSE)</f>
        <v>#REF!</v>
      </c>
    </row>
    <row r="54" spans="1:64" ht="14.25" customHeight="1" x14ac:dyDescent="0.2">
      <c r="A54" s="135"/>
      <c r="B54" s="362"/>
      <c r="C54" s="362"/>
      <c r="D54" s="58"/>
      <c r="E54" s="58"/>
      <c r="F54" s="58"/>
      <c r="G54" s="58"/>
      <c r="H54" s="58"/>
      <c r="I54" s="58"/>
      <c r="J54" s="13"/>
      <c r="K54" s="15"/>
      <c r="L54" s="15"/>
      <c r="M54" s="15"/>
      <c r="N54" s="15"/>
      <c r="O54" s="9"/>
      <c r="P54" s="9"/>
      <c r="Q54" s="9"/>
      <c r="R54" s="9"/>
      <c r="S54" s="9"/>
      <c r="T54" s="9"/>
      <c r="U54" s="134"/>
      <c r="V54" s="152"/>
      <c r="W54" s="326"/>
      <c r="X54" s="45">
        <v>14</v>
      </c>
      <c r="Y54" s="50" t="str">
        <f t="shared" si="16"/>
        <v>Somerset</v>
      </c>
      <c r="Z54" s="45">
        <v>15</v>
      </c>
      <c r="AA54" s="46">
        <f>IF(H22&gt;0,IDACI!D22,0)</f>
        <v>94797</v>
      </c>
      <c r="AB54" s="46">
        <f>IF(H22&gt;0,IDACI!E22,0)</f>
        <v>14029.956000000002</v>
      </c>
      <c r="AJ54" s="642" t="b">
        <v>1</v>
      </c>
      <c r="AK54" s="178" t="s">
        <v>15</v>
      </c>
      <c r="AL54" s="101" t="str">
        <f t="shared" si="12"/>
        <v>Southampton</v>
      </c>
      <c r="AM54" s="164" t="e">
        <f t="shared" si="19"/>
        <v>#N/A</v>
      </c>
      <c r="AN54" s="164">
        <f t="shared" si="19"/>
        <v>433.95061728395063</v>
      </c>
      <c r="AO54" s="164">
        <f t="shared" si="19"/>
        <v>616.869918699187</v>
      </c>
      <c r="AP54" s="164">
        <f t="shared" si="19"/>
        <v>532.05346586240762</v>
      </c>
      <c r="AQ54" s="164">
        <f t="shared" si="19"/>
        <v>460.78918596560976</v>
      </c>
      <c r="AR54" s="165">
        <f t="shared" si="17"/>
        <v>25</v>
      </c>
      <c r="AS54" s="398">
        <f t="shared" si="20"/>
        <v>9.4909404659188956E-2</v>
      </c>
      <c r="AT54" s="398">
        <f t="shared" si="20"/>
        <v>0.15573770491803279</v>
      </c>
      <c r="AU54" s="398">
        <f t="shared" si="20"/>
        <v>0.13416738567730802</v>
      </c>
      <c r="AV54" s="398">
        <f t="shared" si="20"/>
        <v>0.4443485763589301</v>
      </c>
      <c r="AW54" s="398">
        <f t="shared" si="20"/>
        <v>0.17083692838654013</v>
      </c>
      <c r="AX54" s="398" t="e">
        <f t="shared" si="18"/>
        <v>#N/A</v>
      </c>
      <c r="AY54" s="398">
        <f t="shared" si="15"/>
        <v>0.91559981033665239</v>
      </c>
      <c r="AZ54" s="398">
        <f t="shared" si="15"/>
        <v>0.84843492586490943</v>
      </c>
      <c r="BA54" s="398">
        <f t="shared" si="15"/>
        <v>0.67984934086629001</v>
      </c>
      <c r="BB54" s="398">
        <f t="shared" si="15"/>
        <v>0.82916307161345992</v>
      </c>
      <c r="BC54" s="398" t="e">
        <f>VLOOKUP($AL54,#REF!,BC$36,FALSE)</f>
        <v>#REF!</v>
      </c>
      <c r="BD54" s="398" t="e">
        <f>VLOOKUP($AL54,#REF!,BD$36,FALSE)</f>
        <v>#REF!</v>
      </c>
      <c r="BE54" s="398" t="e">
        <f>VLOOKUP($AL54,#REF!,BE$36,FALSE)</f>
        <v>#REF!</v>
      </c>
      <c r="BF54" s="398" t="e">
        <f>VLOOKUP($AL54,#REF!,BF$36,FALSE)</f>
        <v>#REF!</v>
      </c>
      <c r="BG54" s="398" t="e">
        <f>VLOOKUP($AL54,#REF!,BG$36,FALSE)</f>
        <v>#REF!</v>
      </c>
      <c r="BH54" s="398" t="e">
        <f>VLOOKUP($AL54,#REF!,BH$36,FALSE)</f>
        <v>#REF!</v>
      </c>
      <c r="BI54" s="398" t="e">
        <f>VLOOKUP($AL54,#REF!,BI$36,FALSE)</f>
        <v>#REF!</v>
      </c>
      <c r="BJ54" s="398" t="e">
        <f>VLOOKUP($AL54,#REF!,BJ$36,FALSE)</f>
        <v>#REF!</v>
      </c>
      <c r="BK54" s="398" t="e">
        <f>VLOOKUP($AL54,#REF!,BK$36,FALSE)</f>
        <v>#REF!</v>
      </c>
      <c r="BL54" s="398" t="e">
        <f>VLOOKUP($AL54,#REF!,BL$36,FALSE)</f>
        <v>#REF!</v>
      </c>
    </row>
    <row r="55" spans="1:64" ht="14.25" customHeight="1" x14ac:dyDescent="0.2">
      <c r="A55" s="135"/>
      <c r="B55" s="362"/>
      <c r="C55" s="362"/>
      <c r="D55" s="58"/>
      <c r="E55" s="58"/>
      <c r="F55" s="58"/>
      <c r="G55" s="58"/>
      <c r="H55" s="58"/>
      <c r="I55" s="58"/>
      <c r="J55" s="13"/>
      <c r="K55" s="15"/>
      <c r="L55" s="15"/>
      <c r="M55" s="15"/>
      <c r="N55" s="15"/>
      <c r="O55" s="9"/>
      <c r="P55" s="9"/>
      <c r="Q55" s="9"/>
      <c r="R55" s="9"/>
      <c r="S55" s="9"/>
      <c r="T55" s="9"/>
      <c r="U55" s="134"/>
      <c r="V55" s="152"/>
      <c r="W55" s="326"/>
      <c r="X55" s="45">
        <v>15</v>
      </c>
      <c r="Y55" s="50" t="str">
        <f t="shared" si="16"/>
        <v>Southampton</v>
      </c>
      <c r="Z55" s="45">
        <v>16</v>
      </c>
      <c r="AA55" s="46">
        <f>IF(H23&gt;0,IDACI!D23,0)</f>
        <v>42079</v>
      </c>
      <c r="AB55" s="46">
        <f>IF(H23&gt;0,IDACI!E23,0)</f>
        <v>10519.75</v>
      </c>
      <c r="AJ55" s="642" t="b">
        <v>1</v>
      </c>
      <c r="AK55" s="178" t="s">
        <v>7</v>
      </c>
      <c r="AL55" s="101" t="str">
        <f t="shared" si="12"/>
        <v>Surrey</v>
      </c>
      <c r="AM55" s="164">
        <f t="shared" si="19"/>
        <v>453.41269841269843</v>
      </c>
      <c r="AN55" s="164">
        <f t="shared" si="19"/>
        <v>353.22073841319718</v>
      </c>
      <c r="AO55" s="164">
        <f t="shared" si="19"/>
        <v>474.80499219968794</v>
      </c>
      <c r="AP55" s="164">
        <f t="shared" si="19"/>
        <v>464.17167633851869</v>
      </c>
      <c r="AQ55" s="164">
        <f t="shared" si="19"/>
        <v>483.2408136608978</v>
      </c>
      <c r="AR55" s="165">
        <f t="shared" si="17"/>
        <v>9.7000000000000011</v>
      </c>
      <c r="AS55" s="398">
        <f t="shared" si="20"/>
        <v>5.92256936163447E-2</v>
      </c>
      <c r="AT55" s="398">
        <f t="shared" si="20"/>
        <v>0.16821686938548375</v>
      </c>
      <c r="AU55" s="398">
        <f t="shared" si="20"/>
        <v>0.17640511964385086</v>
      </c>
      <c r="AV55" s="398">
        <f t="shared" si="20"/>
        <v>0.35471818109547659</v>
      </c>
      <c r="AW55" s="398">
        <f t="shared" si="20"/>
        <v>0.24143413625884411</v>
      </c>
      <c r="AX55" s="398" t="e">
        <f t="shared" si="18"/>
        <v>#N/A</v>
      </c>
      <c r="AY55" s="398">
        <f t="shared" si="15"/>
        <v>0.74046480596019126</v>
      </c>
      <c r="AZ55" s="398">
        <f t="shared" si="15"/>
        <v>0.6516346311812059</v>
      </c>
      <c r="BA55" s="398">
        <f t="shared" si="15"/>
        <v>0.75511562136083843</v>
      </c>
      <c r="BB55" s="398">
        <f t="shared" si="15"/>
        <v>0.75856586374115587</v>
      </c>
      <c r="BC55" s="398" t="e">
        <f>VLOOKUP($AL55,#REF!,BC$36,FALSE)</f>
        <v>#REF!</v>
      </c>
      <c r="BD55" s="398" t="e">
        <f>VLOOKUP($AL55,#REF!,BD$36,FALSE)</f>
        <v>#REF!</v>
      </c>
      <c r="BE55" s="398" t="e">
        <f>VLOOKUP($AL55,#REF!,BE$36,FALSE)</f>
        <v>#REF!</v>
      </c>
      <c r="BF55" s="398" t="e">
        <f>VLOOKUP($AL55,#REF!,BF$36,FALSE)</f>
        <v>#REF!</v>
      </c>
      <c r="BG55" s="398" t="e">
        <f>VLOOKUP($AL55,#REF!,BG$36,FALSE)</f>
        <v>#REF!</v>
      </c>
      <c r="BH55" s="398" t="e">
        <f>VLOOKUP($AL55,#REF!,BH$36,FALSE)</f>
        <v>#REF!</v>
      </c>
      <c r="BI55" s="398" t="e">
        <f>VLOOKUP($AL55,#REF!,BI$36,FALSE)</f>
        <v>#REF!</v>
      </c>
      <c r="BJ55" s="398" t="e">
        <f>VLOOKUP($AL55,#REF!,BJ$36,FALSE)</f>
        <v>#REF!</v>
      </c>
      <c r="BK55" s="398" t="e">
        <f>VLOOKUP($AL55,#REF!,BK$36,FALSE)</f>
        <v>#REF!</v>
      </c>
      <c r="BL55" s="398" t="e">
        <f>VLOOKUP($AL55,#REF!,BL$36,FALSE)</f>
        <v>#REF!</v>
      </c>
    </row>
    <row r="56" spans="1:64" ht="14.25" customHeight="1" x14ac:dyDescent="0.2">
      <c r="A56" s="309"/>
      <c r="B56" s="362"/>
      <c r="C56" s="362"/>
      <c r="D56" s="58"/>
      <c r="E56" s="58"/>
      <c r="F56" s="58"/>
      <c r="G56" s="58"/>
      <c r="H56" s="58"/>
      <c r="I56" s="58"/>
      <c r="J56" s="13"/>
      <c r="K56" s="15"/>
      <c r="L56" s="15"/>
      <c r="M56" s="15"/>
      <c r="N56" s="15"/>
      <c r="O56" s="9"/>
      <c r="P56" s="9"/>
      <c r="Q56" s="9"/>
      <c r="R56" s="9"/>
      <c r="S56" s="9"/>
      <c r="T56" s="9"/>
      <c r="U56" s="134"/>
      <c r="V56" s="152"/>
      <c r="W56" s="326"/>
      <c r="X56" s="45">
        <v>16</v>
      </c>
      <c r="Y56" s="50" t="str">
        <f t="shared" si="16"/>
        <v>Surrey</v>
      </c>
      <c r="Z56" s="45">
        <v>17</v>
      </c>
      <c r="AA56" s="46">
        <f>IF(H24&gt;0,IDACI!D24,0)</f>
        <v>221989</v>
      </c>
      <c r="AB56" s="46">
        <f>IF(H24&gt;0,IDACI!E24,0)</f>
        <v>21532.933000000005</v>
      </c>
      <c r="AJ56" s="642" t="b">
        <v>1</v>
      </c>
      <c r="AK56" s="178" t="s">
        <v>116</v>
      </c>
      <c r="AL56" s="101" t="str">
        <f t="shared" si="12"/>
        <v>Swindon</v>
      </c>
      <c r="AM56" s="164">
        <f t="shared" si="19"/>
        <v>479.54070981210856</v>
      </c>
      <c r="AN56" s="164">
        <f t="shared" si="19"/>
        <v>545.06172839506166</v>
      </c>
      <c r="AO56" s="164">
        <f t="shared" si="19"/>
        <v>640.61224489795916</v>
      </c>
      <c r="AP56" s="164">
        <f t="shared" si="19"/>
        <v>605.313169706037</v>
      </c>
      <c r="AQ56" s="164">
        <f t="shared" si="19"/>
        <v>631.15936223059055</v>
      </c>
      <c r="AR56" s="165">
        <f t="shared" si="17"/>
        <v>17.2</v>
      </c>
      <c r="AS56" s="398">
        <f t="shared" si="20"/>
        <v>9.3938432243732148E-2</v>
      </c>
      <c r="AT56" s="398">
        <f t="shared" si="20"/>
        <v>0.2050142811805776</v>
      </c>
      <c r="AU56" s="398">
        <f t="shared" si="20"/>
        <v>0.19105046017137417</v>
      </c>
      <c r="AV56" s="398">
        <f t="shared" si="20"/>
        <v>0.2269120913995557</v>
      </c>
      <c r="AW56" s="398">
        <f t="shared" si="20"/>
        <v>0.28308473500476039</v>
      </c>
      <c r="AX56" s="398" t="e">
        <f t="shared" si="18"/>
        <v>#N/A</v>
      </c>
      <c r="AY56" s="398">
        <f t="shared" si="18"/>
        <v>0.65081162702906759</v>
      </c>
      <c r="AZ56" s="398">
        <f t="shared" si="18"/>
        <v>0.60688117234788153</v>
      </c>
      <c r="BA56" s="398">
        <f t="shared" si="18"/>
        <v>0.59084836339345359</v>
      </c>
      <c r="BB56" s="398">
        <f t="shared" si="18"/>
        <v>0.71691526499523961</v>
      </c>
      <c r="BC56" s="398" t="e">
        <f>VLOOKUP($AL56,#REF!,BC$36,FALSE)</f>
        <v>#REF!</v>
      </c>
      <c r="BD56" s="398" t="e">
        <f>VLOOKUP($AL56,#REF!,BD$36,FALSE)</f>
        <v>#REF!</v>
      </c>
      <c r="BE56" s="398" t="e">
        <f>VLOOKUP($AL56,#REF!,BE$36,FALSE)</f>
        <v>#REF!</v>
      </c>
      <c r="BF56" s="398" t="e">
        <f>VLOOKUP($AL56,#REF!,BF$36,FALSE)</f>
        <v>#REF!</v>
      </c>
      <c r="BG56" s="398" t="e">
        <f>VLOOKUP($AL56,#REF!,BG$36,FALSE)</f>
        <v>#REF!</v>
      </c>
      <c r="BH56" s="398" t="e">
        <f>VLOOKUP($AL56,#REF!,BH$36,FALSE)</f>
        <v>#REF!</v>
      </c>
      <c r="BI56" s="398" t="e">
        <f>VLOOKUP($AL56,#REF!,BI$36,FALSE)</f>
        <v>#REF!</v>
      </c>
      <c r="BJ56" s="398" t="e">
        <f>VLOOKUP($AL56,#REF!,BJ$36,FALSE)</f>
        <v>#REF!</v>
      </c>
      <c r="BK56" s="398" t="e">
        <f>VLOOKUP($AL56,#REF!,BK$36,FALSE)</f>
        <v>#REF!</v>
      </c>
      <c r="BL56" s="398" t="e">
        <f>VLOOKUP($AL56,#REF!,BL$36,FALSE)</f>
        <v>#REF!</v>
      </c>
    </row>
    <row r="57" spans="1:64" ht="14.25" customHeight="1" x14ac:dyDescent="0.2">
      <c r="A57" s="309"/>
      <c r="B57" s="362"/>
      <c r="C57" s="362"/>
      <c r="D57" s="58"/>
      <c r="E57" s="58"/>
      <c r="F57" s="58"/>
      <c r="G57" s="58"/>
      <c r="H57" s="58"/>
      <c r="I57" s="58"/>
      <c r="J57" s="13"/>
      <c r="K57" s="15"/>
      <c r="L57" s="15"/>
      <c r="M57" s="15"/>
      <c r="N57" s="15"/>
      <c r="O57" s="9"/>
      <c r="P57" s="9"/>
      <c r="Q57" s="9"/>
      <c r="R57" s="9"/>
      <c r="S57" s="9"/>
      <c r="T57" s="9"/>
      <c r="U57" s="134"/>
      <c r="V57" s="152"/>
      <c r="W57" s="326"/>
      <c r="X57" s="45">
        <v>17</v>
      </c>
      <c r="Y57" s="50" t="str">
        <f t="shared" si="16"/>
        <v>Swindon</v>
      </c>
      <c r="Z57" s="45">
        <v>18</v>
      </c>
      <c r="AA57" s="46">
        <f>IF(H25&gt;0,IDACI!D25,0)</f>
        <v>42184</v>
      </c>
      <c r="AB57" s="46">
        <f>IF(H25&gt;0,IDACI!E25,0)</f>
        <v>7255.6479999999992</v>
      </c>
      <c r="AJ57" s="642" t="b">
        <v>1</v>
      </c>
      <c r="AK57" s="178" t="s">
        <v>117</v>
      </c>
      <c r="AL57" s="101" t="str">
        <f t="shared" si="12"/>
        <v>Torbay</v>
      </c>
      <c r="AM57" s="164">
        <f t="shared" si="19"/>
        <v>970.96774193548379</v>
      </c>
      <c r="AN57" s="164">
        <f t="shared" si="19"/>
        <v>592.82868525896413</v>
      </c>
      <c r="AO57" s="164">
        <f t="shared" si="19"/>
        <v>618.2539682539682</v>
      </c>
      <c r="AP57" s="164">
        <f t="shared" si="19"/>
        <v>398.84917037796083</v>
      </c>
      <c r="AQ57" s="164">
        <f t="shared" si="19"/>
        <v>741.62961797222329</v>
      </c>
      <c r="AR57" s="165">
        <f t="shared" si="17"/>
        <v>24.1</v>
      </c>
      <c r="AS57" s="398">
        <f t="shared" si="20"/>
        <v>0.12254641909814323</v>
      </c>
      <c r="AT57" s="398">
        <f t="shared" si="20"/>
        <v>0.2153846153846154</v>
      </c>
      <c r="AU57" s="398">
        <f t="shared" si="20"/>
        <v>0.14164456233421752</v>
      </c>
      <c r="AV57" s="398">
        <f t="shared" si="20"/>
        <v>0.24084880636604775</v>
      </c>
      <c r="AW57" s="398">
        <f t="shared" si="20"/>
        <v>0.27957559681697614</v>
      </c>
      <c r="AX57" s="398" t="e">
        <f t="shared" si="18"/>
        <v>#N/A</v>
      </c>
      <c r="AY57" s="398">
        <f t="shared" si="18"/>
        <v>0.71505376344086025</v>
      </c>
      <c r="AZ57" s="398">
        <f t="shared" si="18"/>
        <v>0.90115532734274706</v>
      </c>
      <c r="BA57" s="398">
        <f t="shared" si="18"/>
        <v>0.81576253838280455</v>
      </c>
      <c r="BB57" s="398">
        <f t="shared" si="18"/>
        <v>0.72042440318302392</v>
      </c>
      <c r="BC57" s="398" t="e">
        <f>VLOOKUP($AL57,#REF!,BC$36,FALSE)</f>
        <v>#REF!</v>
      </c>
      <c r="BD57" s="398" t="e">
        <f>VLOOKUP($AL57,#REF!,BD$36,FALSE)</f>
        <v>#REF!</v>
      </c>
      <c r="BE57" s="398" t="e">
        <f>VLOOKUP($AL57,#REF!,BE$36,FALSE)</f>
        <v>#REF!</v>
      </c>
      <c r="BF57" s="398" t="e">
        <f>VLOOKUP($AL57,#REF!,BF$36,FALSE)</f>
        <v>#REF!</v>
      </c>
      <c r="BG57" s="398" t="e">
        <f>VLOOKUP($AL57,#REF!,BG$36,FALSE)</f>
        <v>#REF!</v>
      </c>
      <c r="BH57" s="398" t="e">
        <f>VLOOKUP($AL57,#REF!,BH$36,FALSE)</f>
        <v>#REF!</v>
      </c>
      <c r="BI57" s="398" t="e">
        <f>VLOOKUP($AL57,#REF!,BI$36,FALSE)</f>
        <v>#REF!</v>
      </c>
      <c r="BJ57" s="398" t="e">
        <f>VLOOKUP($AL57,#REF!,BJ$36,FALSE)</f>
        <v>#REF!</v>
      </c>
      <c r="BK57" s="398" t="e">
        <f>VLOOKUP($AL57,#REF!,BK$36,FALSE)</f>
        <v>#REF!</v>
      </c>
      <c r="BL57" s="398" t="e">
        <f>VLOOKUP($AL57,#REF!,BL$36,FALSE)</f>
        <v>#REF!</v>
      </c>
    </row>
    <row r="58" spans="1:64" ht="14.25" customHeight="1" x14ac:dyDescent="0.2">
      <c r="A58" s="135"/>
      <c r="B58" s="362"/>
      <c r="C58" s="362"/>
      <c r="D58" s="58"/>
      <c r="E58" s="58"/>
      <c r="F58" s="58"/>
      <c r="G58" s="58"/>
      <c r="H58" s="58"/>
      <c r="I58" s="58"/>
      <c r="J58" s="13"/>
      <c r="K58" s="15"/>
      <c r="L58" s="15"/>
      <c r="M58" s="15"/>
      <c r="N58" s="15"/>
      <c r="O58" s="9"/>
      <c r="P58" s="9"/>
      <c r="Q58" s="9"/>
      <c r="R58" s="9"/>
      <c r="S58" s="9"/>
      <c r="T58" s="9"/>
      <c r="U58" s="134"/>
      <c r="V58" s="152"/>
      <c r="W58" s="326"/>
      <c r="X58" s="45">
        <v>18</v>
      </c>
      <c r="Y58" s="50" t="str">
        <f t="shared" si="16"/>
        <v>Torbay</v>
      </c>
      <c r="Z58" s="45">
        <v>19</v>
      </c>
      <c r="AA58" s="46">
        <f>IF(H26&gt;0,IDACI!D26,0)</f>
        <v>21714</v>
      </c>
      <c r="AB58" s="46">
        <f>IF(H26&gt;0,IDACI!E26,0)</f>
        <v>5233.0740000000005</v>
      </c>
      <c r="AJ58" s="642" t="b">
        <v>1</v>
      </c>
      <c r="AK58" s="178" t="s">
        <v>16</v>
      </c>
      <c r="AL58" s="101" t="str">
        <f t="shared" si="12"/>
        <v>West Berkshire</v>
      </c>
      <c r="AM58" s="164">
        <f t="shared" si="19"/>
        <v>419.32773109243698</v>
      </c>
      <c r="AN58" s="164">
        <f t="shared" si="19"/>
        <v>249.15730337078651</v>
      </c>
      <c r="AO58" s="164">
        <f t="shared" si="19"/>
        <v>401.68067226890759</v>
      </c>
      <c r="AP58" s="164">
        <f t="shared" si="19"/>
        <v>418.30174501127158</v>
      </c>
      <c r="AQ58" s="164">
        <f t="shared" si="19"/>
        <v>497.34562727018721</v>
      </c>
      <c r="AR58" s="165">
        <f t="shared" si="17"/>
        <v>10.4</v>
      </c>
      <c r="AS58" s="398">
        <f t="shared" si="20"/>
        <v>0.24157303370786518</v>
      </c>
      <c r="AT58" s="398">
        <f t="shared" si="20"/>
        <v>0.1348314606741573</v>
      </c>
      <c r="AU58" s="398">
        <f t="shared" si="20"/>
        <v>0.11292134831460675</v>
      </c>
      <c r="AV58" s="398">
        <f t="shared" si="20"/>
        <v>0.49325842696629213</v>
      </c>
      <c r="AW58" s="398">
        <f t="shared" si="20"/>
        <v>1.7415730337078651E-2</v>
      </c>
      <c r="AX58" s="398" t="e">
        <f t="shared" si="18"/>
        <v>#N/A</v>
      </c>
      <c r="AY58" s="398">
        <f t="shared" si="18"/>
        <v>0.7125140924464487</v>
      </c>
      <c r="AZ58" s="398">
        <f t="shared" si="18"/>
        <v>0.86052998605299857</v>
      </c>
      <c r="BA58" s="398">
        <f t="shared" si="18"/>
        <v>0.96673320026613441</v>
      </c>
      <c r="BB58" s="398">
        <f t="shared" si="18"/>
        <v>0.98258426966292134</v>
      </c>
      <c r="BC58" s="398" t="e">
        <f>VLOOKUP($AL58,#REF!,BC$36,FALSE)</f>
        <v>#REF!</v>
      </c>
      <c r="BD58" s="398" t="e">
        <f>VLOOKUP($AL58,#REF!,BD$36,FALSE)</f>
        <v>#REF!</v>
      </c>
      <c r="BE58" s="398" t="e">
        <f>VLOOKUP($AL58,#REF!,BE$36,FALSE)</f>
        <v>#REF!</v>
      </c>
      <c r="BF58" s="398" t="e">
        <f>VLOOKUP($AL58,#REF!,BF$36,FALSE)</f>
        <v>#REF!</v>
      </c>
      <c r="BG58" s="398" t="e">
        <f>VLOOKUP($AL58,#REF!,BG$36,FALSE)</f>
        <v>#REF!</v>
      </c>
      <c r="BH58" s="398" t="e">
        <f>VLOOKUP($AL58,#REF!,BH$36,FALSE)</f>
        <v>#REF!</v>
      </c>
      <c r="BI58" s="398" t="e">
        <f>VLOOKUP($AL58,#REF!,BI$36,FALSE)</f>
        <v>#REF!</v>
      </c>
      <c r="BJ58" s="398" t="e">
        <f>VLOOKUP($AL58,#REF!,BJ$36,FALSE)</f>
        <v>#REF!</v>
      </c>
      <c r="BK58" s="398" t="e">
        <f>VLOOKUP($AL58,#REF!,BK$36,FALSE)</f>
        <v>#REF!</v>
      </c>
      <c r="BL58" s="398" t="e">
        <f>VLOOKUP($AL58,#REF!,BL$36,FALSE)</f>
        <v>#REF!</v>
      </c>
    </row>
    <row r="59" spans="1:64" ht="14.25" customHeight="1" x14ac:dyDescent="0.2">
      <c r="A59" s="135"/>
      <c r="B59" s="362"/>
      <c r="C59" s="362"/>
      <c r="D59" s="58"/>
      <c r="E59" s="58"/>
      <c r="F59" s="58"/>
      <c r="G59" s="58"/>
      <c r="H59" s="58"/>
      <c r="I59" s="58"/>
      <c r="J59" s="13"/>
      <c r="K59" s="15"/>
      <c r="L59" s="15"/>
      <c r="M59" s="15"/>
      <c r="N59" s="15"/>
      <c r="O59" s="9"/>
      <c r="P59" s="9"/>
      <c r="Q59" s="9"/>
      <c r="R59" s="9"/>
      <c r="S59" s="9"/>
      <c r="T59" s="9"/>
      <c r="U59" s="134"/>
      <c r="V59" s="152"/>
      <c r="W59" s="326"/>
      <c r="X59" s="45">
        <v>19</v>
      </c>
      <c r="Y59" s="50" t="str">
        <f t="shared" si="16"/>
        <v>West Berkshire</v>
      </c>
      <c r="Z59" s="45">
        <v>20</v>
      </c>
      <c r="AA59" s="46">
        <f>IF(H27&gt;0,IDACI!D27,0)</f>
        <v>31302</v>
      </c>
      <c r="AB59" s="46">
        <f>IF(H27&gt;0,IDACI!E27,0)</f>
        <v>3255.4080000000004</v>
      </c>
      <c r="AJ59" s="642" t="b">
        <v>1</v>
      </c>
      <c r="AK59" s="178" t="s">
        <v>5</v>
      </c>
      <c r="AL59" s="101" t="str">
        <f t="shared" si="12"/>
        <v>West Sussex</v>
      </c>
      <c r="AM59" s="164">
        <f t="shared" si="19"/>
        <v>432.45508982035926</v>
      </c>
      <c r="AN59" s="164">
        <f t="shared" si="19"/>
        <v>307.16824644549763</v>
      </c>
      <c r="AO59" s="164">
        <f t="shared" si="19"/>
        <v>438.08685446009389</v>
      </c>
      <c r="AP59" s="164">
        <f t="shared" si="19"/>
        <v>444.39657430965116</v>
      </c>
      <c r="AQ59" s="164">
        <f t="shared" si="19"/>
        <v>577.32815484675177</v>
      </c>
      <c r="AR59" s="165">
        <f t="shared" si="17"/>
        <v>12.9</v>
      </c>
      <c r="AS59" s="398">
        <f t="shared" si="20"/>
        <v>0.80557776889244304</v>
      </c>
      <c r="AT59" s="398">
        <f t="shared" si="20"/>
        <v>8.3266693322670934E-2</v>
      </c>
      <c r="AU59" s="398">
        <f t="shared" si="20"/>
        <v>4.7780887644942024E-2</v>
      </c>
      <c r="AV59" s="398">
        <f t="shared" si="20"/>
        <v>4.1183526589364257E-2</v>
      </c>
      <c r="AW59" s="398">
        <f t="shared" si="20"/>
        <v>2.2191123550579769E-2</v>
      </c>
      <c r="AX59" s="398" t="e">
        <f t="shared" si="18"/>
        <v>#N/A</v>
      </c>
      <c r="AY59" s="398">
        <f t="shared" si="18"/>
        <v>0.95949855351976854</v>
      </c>
      <c r="AZ59" s="398">
        <f t="shared" si="18"/>
        <v>0.96490288010716674</v>
      </c>
      <c r="BA59" s="398">
        <f t="shared" si="18"/>
        <v>0.96934363946023849</v>
      </c>
      <c r="BB59" s="398">
        <f t="shared" si="18"/>
        <v>0.97780887644942027</v>
      </c>
      <c r="BC59" s="398" t="e">
        <f>VLOOKUP($AL59,#REF!,BC$36,FALSE)</f>
        <v>#REF!</v>
      </c>
      <c r="BD59" s="398" t="e">
        <f>VLOOKUP($AL59,#REF!,BD$36,FALSE)</f>
        <v>#REF!</v>
      </c>
      <c r="BE59" s="398" t="e">
        <f>VLOOKUP($AL59,#REF!,BE$36,FALSE)</f>
        <v>#REF!</v>
      </c>
      <c r="BF59" s="398" t="e">
        <f>VLOOKUP($AL59,#REF!,BF$36,FALSE)</f>
        <v>#REF!</v>
      </c>
      <c r="BG59" s="398" t="e">
        <f>VLOOKUP($AL59,#REF!,BG$36,FALSE)</f>
        <v>#REF!</v>
      </c>
      <c r="BH59" s="398" t="e">
        <f>VLOOKUP($AL59,#REF!,BH$36,FALSE)</f>
        <v>#REF!</v>
      </c>
      <c r="BI59" s="398" t="e">
        <f>VLOOKUP($AL59,#REF!,BI$36,FALSE)</f>
        <v>#REF!</v>
      </c>
      <c r="BJ59" s="398" t="e">
        <f>VLOOKUP($AL59,#REF!,BJ$36,FALSE)</f>
        <v>#REF!</v>
      </c>
      <c r="BK59" s="398" t="e">
        <f>VLOOKUP($AL59,#REF!,BK$36,FALSE)</f>
        <v>#REF!</v>
      </c>
      <c r="BL59" s="398" t="e">
        <f>VLOOKUP($AL59,#REF!,BL$36,FALSE)</f>
        <v>#REF!</v>
      </c>
    </row>
    <row r="60" spans="1:64" s="88" customFormat="1" ht="14.25" customHeight="1" x14ac:dyDescent="0.2">
      <c r="A60" s="135"/>
      <c r="B60" s="362"/>
      <c r="C60" s="362"/>
      <c r="D60" s="58"/>
      <c r="E60" s="58"/>
      <c r="F60" s="58"/>
      <c r="G60" s="58"/>
      <c r="H60" s="58"/>
      <c r="I60" s="58"/>
      <c r="J60" s="13"/>
      <c r="K60" s="15"/>
      <c r="L60" s="15"/>
      <c r="M60" s="15"/>
      <c r="N60" s="15"/>
      <c r="O60" s="9"/>
      <c r="P60" s="9"/>
      <c r="Q60" s="9"/>
      <c r="R60" s="9"/>
      <c r="S60" s="9"/>
      <c r="T60" s="9"/>
      <c r="U60" s="134"/>
      <c r="V60" s="152"/>
      <c r="W60" s="326"/>
      <c r="X60" s="45">
        <v>20</v>
      </c>
      <c r="Y60" s="50" t="str">
        <f t="shared" si="16"/>
        <v>West Sussex</v>
      </c>
      <c r="Z60" s="45">
        <v>21</v>
      </c>
      <c r="AA60" s="46">
        <f>IF(H28&gt;0,IDACI!D28,0)</f>
        <v>146958</v>
      </c>
      <c r="AB60" s="46">
        <f>IF(H28&gt;0,IDACI!E28,0)</f>
        <v>18957.582000000002</v>
      </c>
      <c r="AJ60" s="642" t="b">
        <v>1</v>
      </c>
      <c r="AK60" s="178" t="s">
        <v>31</v>
      </c>
      <c r="AL60" s="101" t="str">
        <f t="shared" si="12"/>
        <v>Windsor &amp; Maidenhead</v>
      </c>
      <c r="AM60" s="164">
        <f t="shared" si="19"/>
        <v>253.75375375375376</v>
      </c>
      <c r="AN60" s="164">
        <f t="shared" si="19"/>
        <v>233.23353293413174</v>
      </c>
      <c r="AO60" s="164">
        <f t="shared" si="19"/>
        <v>274.18397626112761</v>
      </c>
      <c r="AP60" s="164">
        <f t="shared" si="19"/>
        <v>195.45880149812734</v>
      </c>
      <c r="AQ60" s="164">
        <f t="shared" si="19"/>
        <v>269.85328365160689</v>
      </c>
      <c r="AR60" s="165">
        <f t="shared" si="17"/>
        <v>8.4</v>
      </c>
      <c r="AS60" s="398">
        <f t="shared" si="20"/>
        <v>0</v>
      </c>
      <c r="AT60" s="398">
        <f t="shared" si="20"/>
        <v>0.1074660633484163</v>
      </c>
      <c r="AU60" s="398">
        <f t="shared" si="20"/>
        <v>9.7285067873303169E-2</v>
      </c>
      <c r="AV60" s="398">
        <f t="shared" si="20"/>
        <v>0.36651583710407237</v>
      </c>
      <c r="AW60" s="398">
        <f t="shared" si="20"/>
        <v>0.42873303167420812</v>
      </c>
      <c r="AX60" s="398" t="e">
        <f t="shared" si="18"/>
        <v>#N/A</v>
      </c>
      <c r="AY60" s="398">
        <f t="shared" si="18"/>
        <v>0.75866495507060339</v>
      </c>
      <c r="AZ60" s="398">
        <f t="shared" si="18"/>
        <v>0.81060606060606055</v>
      </c>
      <c r="BA60" s="398">
        <f t="shared" si="18"/>
        <v>0.57485029940119758</v>
      </c>
      <c r="BB60" s="398">
        <f t="shared" si="18"/>
        <v>0.5447680690399137</v>
      </c>
      <c r="BC60" s="398" t="e">
        <f>VLOOKUP($AL60,#REF!,BC$36,FALSE)</f>
        <v>#REF!</v>
      </c>
      <c r="BD60" s="398" t="e">
        <f>VLOOKUP($AL60,#REF!,BD$36,FALSE)</f>
        <v>#REF!</v>
      </c>
      <c r="BE60" s="398" t="e">
        <f>VLOOKUP($AL60,#REF!,BE$36,FALSE)</f>
        <v>#REF!</v>
      </c>
      <c r="BF60" s="398" t="e">
        <f>VLOOKUP($AL60,#REF!,BF$36,FALSE)</f>
        <v>#REF!</v>
      </c>
      <c r="BG60" s="398" t="e">
        <f>VLOOKUP($AL60,#REF!,BG$36,FALSE)</f>
        <v>#REF!</v>
      </c>
      <c r="BH60" s="398" t="e">
        <f>VLOOKUP($AL60,#REF!,BH$36,FALSE)</f>
        <v>#REF!</v>
      </c>
      <c r="BI60" s="398" t="e">
        <f>VLOOKUP($AL60,#REF!,BI$36,FALSE)</f>
        <v>#REF!</v>
      </c>
      <c r="BJ60" s="398" t="e">
        <f>VLOOKUP($AL60,#REF!,BJ$36,FALSE)</f>
        <v>#REF!</v>
      </c>
      <c r="BK60" s="398" t="e">
        <f>VLOOKUP($AL60,#REF!,BK$36,FALSE)</f>
        <v>#REF!</v>
      </c>
      <c r="BL60" s="398" t="e">
        <f>VLOOKUP($AL60,#REF!,BL$36,FALSE)</f>
        <v>#REF!</v>
      </c>
    </row>
    <row r="61" spans="1:64" s="88" customFormat="1" ht="14.25" customHeight="1" x14ac:dyDescent="0.2">
      <c r="A61" s="135"/>
      <c r="B61" s="362"/>
      <c r="C61" s="362"/>
      <c r="D61" s="58"/>
      <c r="E61" s="58"/>
      <c r="F61" s="58"/>
      <c r="G61" s="58"/>
      <c r="H61" s="58"/>
      <c r="I61" s="58"/>
      <c r="J61" s="13"/>
      <c r="K61" s="15"/>
      <c r="L61" s="15"/>
      <c r="M61" s="15"/>
      <c r="N61" s="15"/>
      <c r="O61" s="9"/>
      <c r="P61" s="9"/>
      <c r="Q61" s="9"/>
      <c r="R61" s="9"/>
      <c r="S61" s="9"/>
      <c r="T61" s="9"/>
      <c r="U61" s="134"/>
      <c r="V61" s="152"/>
      <c r="W61" s="326"/>
      <c r="X61" s="45">
        <v>21</v>
      </c>
      <c r="Y61" s="50" t="str">
        <f t="shared" si="16"/>
        <v>Windsor &amp; Maidenhead</v>
      </c>
      <c r="Z61" s="45">
        <v>22</v>
      </c>
      <c r="AA61" s="46">
        <f>IF(H29&gt;0,IDACI!D29,0)</f>
        <v>29154</v>
      </c>
      <c r="AB61" s="46">
        <f>IF(H29&gt;0,IDACI!E29,0)</f>
        <v>2448.9360000000001</v>
      </c>
      <c r="AJ61" s="642" t="b">
        <v>1</v>
      </c>
      <c r="AK61" s="178" t="s">
        <v>17</v>
      </c>
      <c r="AL61" s="101" t="str">
        <f t="shared" si="12"/>
        <v>Wokingham</v>
      </c>
      <c r="AM61" s="164">
        <f t="shared" si="19"/>
        <v>331.21546961325964</v>
      </c>
      <c r="AN61" s="164">
        <f t="shared" si="19"/>
        <v>240.37940379403793</v>
      </c>
      <c r="AO61" s="164">
        <f t="shared" si="19"/>
        <v>302.41286863270778</v>
      </c>
      <c r="AP61" s="164">
        <f t="shared" si="19"/>
        <v>230.14808385281043</v>
      </c>
      <c r="AQ61" s="164">
        <f t="shared" si="19"/>
        <v>283.18949925068472</v>
      </c>
      <c r="AR61" s="165">
        <f t="shared" si="17"/>
        <v>6.8000000000000007</v>
      </c>
      <c r="AS61" s="398">
        <f t="shared" si="20"/>
        <v>0.11770072992700729</v>
      </c>
      <c r="AT61" s="398">
        <f t="shared" si="20"/>
        <v>0.1478102189781022</v>
      </c>
      <c r="AU61" s="398">
        <f t="shared" si="20"/>
        <v>0.19525547445255476</v>
      </c>
      <c r="AV61" s="398">
        <f t="shared" si="20"/>
        <v>0.27007299270072993</v>
      </c>
      <c r="AW61" s="398">
        <f t="shared" si="20"/>
        <v>0.26916058394160586</v>
      </c>
      <c r="AX61" s="398" t="e">
        <f t="shared" si="18"/>
        <v>#N/A</v>
      </c>
      <c r="AY61" s="398">
        <f t="shared" si="18"/>
        <v>0.98973774230330669</v>
      </c>
      <c r="AZ61" s="398">
        <f t="shared" si="18"/>
        <v>0.9521276595744681</v>
      </c>
      <c r="BA61" s="398">
        <f t="shared" si="18"/>
        <v>0.85599999999999998</v>
      </c>
      <c r="BB61" s="398">
        <f t="shared" si="18"/>
        <v>0.7308394160583942</v>
      </c>
      <c r="BC61" s="398" t="e">
        <f>VLOOKUP($AL61,#REF!,BC$36,FALSE)</f>
        <v>#REF!</v>
      </c>
      <c r="BD61" s="398" t="e">
        <f>VLOOKUP($AL61,#REF!,BD$36,FALSE)</f>
        <v>#REF!</v>
      </c>
      <c r="BE61" s="398" t="e">
        <f>VLOOKUP($AL61,#REF!,BE$36,FALSE)</f>
        <v>#REF!</v>
      </c>
      <c r="BF61" s="398" t="e">
        <f>VLOOKUP($AL61,#REF!,BF$36,FALSE)</f>
        <v>#REF!</v>
      </c>
      <c r="BG61" s="398" t="e">
        <f>VLOOKUP($AL61,#REF!,BG$36,FALSE)</f>
        <v>#REF!</v>
      </c>
      <c r="BH61" s="398" t="e">
        <f>VLOOKUP($AL61,#REF!,BH$36,FALSE)</f>
        <v>#REF!</v>
      </c>
      <c r="BI61" s="398" t="e">
        <f>VLOOKUP($AL61,#REF!,BI$36,FALSE)</f>
        <v>#REF!</v>
      </c>
      <c r="BJ61" s="398" t="e">
        <f>VLOOKUP($AL61,#REF!,BJ$36,FALSE)</f>
        <v>#REF!</v>
      </c>
      <c r="BK61" s="398" t="e">
        <f>VLOOKUP($AL61,#REF!,BK$36,FALSE)</f>
        <v>#REF!</v>
      </c>
      <c r="BL61" s="398" t="e">
        <f>VLOOKUP($AL61,#REF!,BL$36,FALSE)</f>
        <v>#REF!</v>
      </c>
    </row>
    <row r="62" spans="1:64" s="88" customFormat="1" ht="14.25" customHeight="1" x14ac:dyDescent="0.2">
      <c r="A62" s="135"/>
      <c r="B62" s="362"/>
      <c r="C62" s="362"/>
      <c r="D62" s="58"/>
      <c r="E62" s="58"/>
      <c r="F62" s="58"/>
      <c r="G62" s="58"/>
      <c r="H62" s="58"/>
      <c r="I62" s="58"/>
      <c r="J62" s="13"/>
      <c r="K62" s="15"/>
      <c r="L62" s="15"/>
      <c r="M62" s="15"/>
      <c r="N62" s="15"/>
      <c r="O62" s="9"/>
      <c r="P62" s="9"/>
      <c r="Q62" s="9"/>
      <c r="R62" s="9"/>
      <c r="S62" s="9"/>
      <c r="T62" s="9"/>
      <c r="U62" s="134"/>
      <c r="V62" s="152"/>
      <c r="W62" s="326"/>
      <c r="X62" s="45">
        <v>22</v>
      </c>
      <c r="Y62" s="50" t="str">
        <f t="shared" si="16"/>
        <v>Wokingham</v>
      </c>
      <c r="Z62" s="45">
        <v>23</v>
      </c>
      <c r="AA62" s="46">
        <f>IF(H30&gt;0,IDACI!D30,0)</f>
        <v>31967</v>
      </c>
      <c r="AB62" s="46">
        <f>IF(H30&gt;0,IDACI!E30,0)</f>
        <v>2173.7560000000003</v>
      </c>
      <c r="AJ62" s="642" t="b">
        <v>1</v>
      </c>
      <c r="AK62" s="178" t="s">
        <v>74</v>
      </c>
      <c r="AL62" s="101" t="str">
        <f t="shared" si="12"/>
        <v>South East</v>
      </c>
      <c r="AM62" s="164">
        <f t="shared" si="19"/>
        <v>499.74030103879579</v>
      </c>
      <c r="AN62" s="164">
        <f t="shared" si="19"/>
        <v>422.22455624409201</v>
      </c>
      <c r="AO62" s="164">
        <f t="shared" si="19"/>
        <v>476.09613680204365</v>
      </c>
      <c r="AP62" s="164">
        <f t="shared" si="19"/>
        <v>510.96812372070457</v>
      </c>
      <c r="AQ62" s="164">
        <f t="shared" si="19"/>
        <v>525.85956329271835</v>
      </c>
      <c r="AR62" s="165">
        <f t="shared" si="17"/>
        <v>14.45223640702325</v>
      </c>
      <c r="AS62" s="398">
        <f t="shared" si="20"/>
        <v>0.21708080610448052</v>
      </c>
      <c r="AT62" s="398">
        <f t="shared" si="20"/>
        <v>0.18743885736646448</v>
      </c>
      <c r="AU62" s="398">
        <f t="shared" si="20"/>
        <v>0.16171003717472118</v>
      </c>
      <c r="AV62" s="398">
        <f t="shared" si="20"/>
        <v>0.27147329289767169</v>
      </c>
      <c r="AW62" s="398">
        <f t="shared" si="20"/>
        <v>0.16229700645666209</v>
      </c>
      <c r="AX62" s="398" t="e">
        <f t="shared" si="18"/>
        <v>#N/A</v>
      </c>
      <c r="AY62" s="398">
        <f t="shared" si="18"/>
        <v>0.81318407960199002</v>
      </c>
      <c r="AZ62" s="398">
        <f t="shared" si="18"/>
        <v>0.82711047848461627</v>
      </c>
      <c r="BA62" s="398">
        <f t="shared" si="18"/>
        <v>0.83836032388663972</v>
      </c>
      <c r="BB62" s="398">
        <f t="shared" si="18"/>
        <v>0.83770299354333788</v>
      </c>
      <c r="BC62" s="398" t="e">
        <f>VLOOKUP($AL62,#REF!,BC$36,FALSE)</f>
        <v>#REF!</v>
      </c>
      <c r="BD62" s="398" t="e">
        <f>VLOOKUP($AL62,#REF!,BD$36,FALSE)</f>
        <v>#REF!</v>
      </c>
      <c r="BE62" s="398" t="e">
        <f>VLOOKUP($AL62,#REF!,BE$36,FALSE)</f>
        <v>#REF!</v>
      </c>
      <c r="BF62" s="398" t="e">
        <f>VLOOKUP($AL62,#REF!,BF$36,FALSE)</f>
        <v>#REF!</v>
      </c>
      <c r="BG62" s="398" t="e">
        <f>VLOOKUP($AL62,#REF!,BG$36,FALSE)</f>
        <v>#REF!</v>
      </c>
      <c r="BH62" s="398" t="e">
        <f>VLOOKUP($AL62,#REF!,BH$36,FALSE)</f>
        <v>#REF!</v>
      </c>
      <c r="BI62" s="398" t="e">
        <f>VLOOKUP($AL62,#REF!,BI$36,FALSE)</f>
        <v>#REF!</v>
      </c>
      <c r="BJ62" s="398" t="e">
        <f>VLOOKUP($AL62,#REF!,BJ$36,FALSE)</f>
        <v>#REF!</v>
      </c>
      <c r="BK62" s="398" t="e">
        <f>VLOOKUP($AL62,#REF!,BK$36,FALSE)</f>
        <v>#REF!</v>
      </c>
      <c r="BL62" s="398" t="e">
        <f>VLOOKUP($AL62,#REF!,BL$36,FALSE)</f>
        <v>#REF!</v>
      </c>
    </row>
    <row r="63" spans="1:64" s="88" customFormat="1" ht="14.25" customHeight="1" x14ac:dyDescent="0.2">
      <c r="A63" s="135"/>
      <c r="B63" s="362"/>
      <c r="C63" s="362"/>
      <c r="D63" s="58"/>
      <c r="E63" s="58"/>
      <c r="F63" s="58"/>
      <c r="G63" s="58"/>
      <c r="H63" s="58"/>
      <c r="I63" s="58"/>
      <c r="J63" s="13"/>
      <c r="K63" s="9"/>
      <c r="L63" s="127"/>
      <c r="M63" s="1027" t="s">
        <v>72</v>
      </c>
      <c r="N63" s="1028"/>
      <c r="O63" s="1029"/>
      <c r="P63" s="354"/>
      <c r="Q63" s="1030" t="s">
        <v>101</v>
      </c>
      <c r="R63" s="1031"/>
      <c r="S63" s="1031"/>
      <c r="T63" s="1032"/>
      <c r="U63" s="134"/>
      <c r="V63" s="152"/>
      <c r="W63" s="326"/>
      <c r="X63" s="45">
        <v>23</v>
      </c>
      <c r="Y63" s="50" t="str">
        <f t="shared" si="16"/>
        <v>South East</v>
      </c>
      <c r="Z63" s="45">
        <v>24</v>
      </c>
      <c r="AA63" s="46">
        <f>SUM(AA55:AA56,AA41:AA53,AA59:AA62)</f>
        <v>1662421</v>
      </c>
      <c r="AB63" s="46">
        <f>SUM(AB55:AB56,AB41:AB53,AB59:AB62)</f>
        <v>240257.01299999995</v>
      </c>
      <c r="AJ63" s="642" t="b">
        <v>1</v>
      </c>
      <c r="AK63" s="178" t="s">
        <v>130</v>
      </c>
      <c r="AL63" s="101" t="str">
        <f t="shared" si="12"/>
        <v>England</v>
      </c>
      <c r="AM63" s="164">
        <f t="shared" si="19"/>
        <v>570.13302668374149</v>
      </c>
      <c r="AN63" s="164">
        <f t="shared" si="19"/>
        <v>475.17620366296575</v>
      </c>
      <c r="AO63" s="164">
        <f t="shared" si="19"/>
        <v>489.50581868315362</v>
      </c>
      <c r="AP63" s="164">
        <f t="shared" si="19"/>
        <v>514.98153161779737</v>
      </c>
      <c r="AQ63" s="164">
        <f t="shared" si="19"/>
        <v>531.80440444841918</v>
      </c>
      <c r="AR63" s="165" t="e">
        <f t="shared" si="17"/>
        <v>#N/A</v>
      </c>
      <c r="AS63" s="398">
        <f t="shared" si="20"/>
        <v>0.16356865541557722</v>
      </c>
      <c r="AT63" s="398">
        <f t="shared" si="20"/>
        <v>0.17033515569289279</v>
      </c>
      <c r="AU63" s="398">
        <f t="shared" si="20"/>
        <v>0.1635528088107123</v>
      </c>
      <c r="AV63" s="398">
        <f t="shared" si="20"/>
        <v>0.32953014816575549</v>
      </c>
      <c r="AW63" s="398">
        <f t="shared" si="20"/>
        <v>0.17301323191506221</v>
      </c>
      <c r="AX63" s="398" t="e">
        <f t="shared" si="18"/>
        <v>#N/A</v>
      </c>
      <c r="AY63" s="398">
        <f t="shared" si="18"/>
        <v>0.81499972767378948</v>
      </c>
      <c r="AZ63" s="398">
        <f t="shared" si="18"/>
        <v>0.8343537890980337</v>
      </c>
      <c r="BA63" s="398">
        <f t="shared" si="18"/>
        <v>0.82934023200632745</v>
      </c>
      <c r="BB63" s="398">
        <f t="shared" si="18"/>
        <v>0.82693435167725682</v>
      </c>
      <c r="BC63" s="398" t="e">
        <f>VLOOKUP($AL63,#REF!,BC$36,FALSE)</f>
        <v>#REF!</v>
      </c>
      <c r="BD63" s="398" t="e">
        <f>VLOOKUP($AL63,#REF!,BD$36,FALSE)</f>
        <v>#REF!</v>
      </c>
      <c r="BE63" s="398" t="e">
        <f>VLOOKUP($AL63,#REF!,BE$36,FALSE)</f>
        <v>#REF!</v>
      </c>
      <c r="BF63" s="398" t="e">
        <f>VLOOKUP($AL63,#REF!,BF$36,FALSE)</f>
        <v>#REF!</v>
      </c>
      <c r="BG63" s="398" t="e">
        <f>VLOOKUP($AL63,#REF!,BG$36,FALSE)</f>
        <v>#REF!</v>
      </c>
      <c r="BH63" s="398" t="e">
        <f>VLOOKUP($AL63,#REF!,BH$36,FALSE)</f>
        <v>#REF!</v>
      </c>
      <c r="BI63" s="398" t="e">
        <f>VLOOKUP($AL63,#REF!,BI$36,FALSE)</f>
        <v>#REF!</v>
      </c>
      <c r="BJ63" s="398" t="e">
        <f>VLOOKUP($AL63,#REF!,BJ$36,FALSE)</f>
        <v>#REF!</v>
      </c>
      <c r="BK63" s="398" t="e">
        <f>VLOOKUP($AL63,#REF!,BK$36,FALSE)</f>
        <v>#REF!</v>
      </c>
      <c r="BL63" s="398" t="e">
        <f>VLOOKUP($AL63,#REF!,BL$36,FALSE)</f>
        <v>#REF!</v>
      </c>
    </row>
    <row r="64" spans="1:64" s="88" customFormat="1" ht="11.25" customHeight="1" x14ac:dyDescent="0.2">
      <c r="A64" s="135"/>
      <c r="B64" s="362"/>
      <c r="C64" s="362"/>
      <c r="D64" s="58"/>
      <c r="E64" s="58"/>
      <c r="F64" s="58"/>
      <c r="G64" s="58"/>
      <c r="H64" s="58"/>
      <c r="I64" s="58"/>
      <c r="J64" s="13"/>
      <c r="K64" s="9"/>
      <c r="L64" s="128"/>
      <c r="M64" s="1030" t="str">
        <f>Z4</f>
        <v>Selected LA- (none)</v>
      </c>
      <c r="N64" s="1031"/>
      <c r="O64" s="1031"/>
      <c r="P64" s="1031"/>
      <c r="Q64" s="1035"/>
      <c r="R64" s="1036"/>
      <c r="S64" s="1037" t="s">
        <v>205</v>
      </c>
      <c r="T64" s="1038"/>
      <c r="U64" s="134"/>
      <c r="V64" s="152"/>
      <c r="W64" s="168"/>
      <c r="X64" s="45">
        <v>24</v>
      </c>
      <c r="Y64" s="50" t="str">
        <f t="shared" si="16"/>
        <v>England</v>
      </c>
      <c r="Z64" s="45">
        <v>25</v>
      </c>
      <c r="AA64" s="46">
        <f>IF(H32&gt;0,IDACI!D32,0)</f>
        <v>10130158</v>
      </c>
      <c r="AB64" s="46">
        <f>IF(H32&gt;0,IDACI!E32,0)</f>
        <v>2016166</v>
      </c>
      <c r="AK64" s="179"/>
      <c r="AL64" s="80" t="str">
        <f>Z4</f>
        <v>Selected LA- (none)</v>
      </c>
      <c r="AM64" s="166" t="e">
        <f>VLOOKUP($Y4,$B$9:$O$31,AM$36,FALSE)</f>
        <v>#N/A</v>
      </c>
      <c r="AN64" s="166" t="e">
        <f>VLOOKUP($Y4,$B$9:$O$31,AN$36,FALSE)</f>
        <v>#N/A</v>
      </c>
      <c r="AO64" s="166" t="e">
        <f>VLOOKUP($Y4,$B$9:$O$31,AO$36,FALSE)</f>
        <v>#N/A</v>
      </c>
      <c r="AP64" s="166" t="e">
        <f>VLOOKUP($Y4,$B$9:$O$31,AP$36,FALSE)</f>
        <v>#N/A</v>
      </c>
      <c r="AQ64" s="166" t="e">
        <f>VLOOKUP($Y4,$B$9:$O$31,AQ$36,FALSE)</f>
        <v>#N/A</v>
      </c>
      <c r="AR64" s="165" t="e">
        <f>VLOOKUP(Y4,$B$9:$T$31,17,FALSE)</f>
        <v>#N/A</v>
      </c>
      <c r="AS64" s="191" t="e">
        <f>VLOOKUP($Y$4,$B$145:$H$168,AS$36,FALSE)</f>
        <v>#N/A</v>
      </c>
      <c r="AT64" s="191" t="e">
        <f>VLOOKUP($Y$4,$B$145:$H$168,AT$36,FALSE)</f>
        <v>#N/A</v>
      </c>
      <c r="AU64" s="191" t="e">
        <f>VLOOKUP($Y$4,$B$145:$H$168,AU$36,FALSE)</f>
        <v>#N/A</v>
      </c>
      <c r="AV64" s="191" t="e">
        <f>VLOOKUP($Y$4,$B$145:$H$168,AV$36,FALSE)</f>
        <v>#N/A</v>
      </c>
      <c r="AW64" s="191" t="e">
        <f>VLOOKUP($Y$4,$B$145:$H$168,AW$36,FALSE)</f>
        <v>#N/A</v>
      </c>
      <c r="AX64" s="191" t="e">
        <f>VLOOKUP($Y$4,$B$110:$H$133,AX$36,FALSE)</f>
        <v>#N/A</v>
      </c>
      <c r="AY64" s="191" t="e">
        <f t="shared" ref="AY64:BB64" si="21">VLOOKUP($Y$4,$B$110:$H$133,AY$36,FALSE)</f>
        <v>#N/A</v>
      </c>
      <c r="AZ64" s="191" t="e">
        <f t="shared" si="21"/>
        <v>#N/A</v>
      </c>
      <c r="BA64" s="191" t="e">
        <f t="shared" si="21"/>
        <v>#N/A</v>
      </c>
      <c r="BB64" s="191" t="e">
        <f t="shared" si="21"/>
        <v>#N/A</v>
      </c>
      <c r="BC64" s="191" t="e">
        <f>VLOOKUP($Y$4,#REF!,BC$36,FALSE)</f>
        <v>#REF!</v>
      </c>
      <c r="BD64" s="191" t="e">
        <f>VLOOKUP($Y$4,#REF!,BD$36,FALSE)</f>
        <v>#REF!</v>
      </c>
      <c r="BE64" s="191" t="e">
        <f>VLOOKUP($Y$4,#REF!,BE$36,FALSE)</f>
        <v>#REF!</v>
      </c>
      <c r="BF64" s="191" t="e">
        <f>VLOOKUP($Y$4,#REF!,BF$36,FALSE)</f>
        <v>#REF!</v>
      </c>
      <c r="BG64" s="191" t="e">
        <f>VLOOKUP($Y$4,#REF!,BG$36,FALSE)</f>
        <v>#REF!</v>
      </c>
      <c r="BH64" s="191" t="e">
        <f>VLOOKUP($Y$4,#REF!,BH$36,FALSE)</f>
        <v>#REF!</v>
      </c>
      <c r="BI64" s="191" t="e">
        <f>VLOOKUP($Y$4,#REF!,BI$36,FALSE)</f>
        <v>#REF!</v>
      </c>
      <c r="BJ64" s="191" t="e">
        <f>VLOOKUP($Y$4,#REF!,BJ$36,FALSE)</f>
        <v>#REF!</v>
      </c>
      <c r="BK64" s="191" t="e">
        <f>VLOOKUP($Y$4,#REF!,BK$36,FALSE)</f>
        <v>#REF!</v>
      </c>
      <c r="BL64" s="191" t="e">
        <f>VLOOKUP($Y$4,#REF!,BL$36,FALSE)</f>
        <v>#REF!</v>
      </c>
    </row>
    <row r="65" spans="1:45" s="88" customFormat="1" ht="42" customHeight="1" x14ac:dyDescent="0.2">
      <c r="A65" s="135"/>
      <c r="B65" s="362"/>
      <c r="C65" s="362"/>
      <c r="D65" s="58"/>
      <c r="E65" s="58"/>
      <c r="F65" s="58"/>
      <c r="G65" s="58"/>
      <c r="H65" s="58"/>
      <c r="I65" s="58"/>
      <c r="J65" s="13"/>
      <c r="K65" s="9"/>
      <c r="L65" s="9"/>
      <c r="M65" s="9"/>
      <c r="N65" s="9"/>
      <c r="O65" s="9"/>
      <c r="P65" s="9"/>
      <c r="Q65" s="9"/>
      <c r="R65" s="9"/>
      <c r="S65" s="9"/>
      <c r="T65" s="9"/>
      <c r="U65" s="134"/>
      <c r="V65" s="152"/>
      <c r="W65" s="168"/>
      <c r="X65" s="44" t="s">
        <v>72</v>
      </c>
      <c r="Y65" s="240" t="s">
        <v>70</v>
      </c>
      <c r="Z65" s="44" t="s">
        <v>71</v>
      </c>
      <c r="AA65" s="241">
        <v>5</v>
      </c>
      <c r="AB65" s="242">
        <f>(AA65*Y66)+Z66</f>
        <v>426.67400000000004</v>
      </c>
      <c r="AK65" s="179"/>
    </row>
    <row r="66" spans="1:45" s="101" customFormat="1" ht="41.25" customHeight="1" x14ac:dyDescent="0.2">
      <c r="A66" s="138"/>
      <c r="B66" s="126"/>
      <c r="C66" s="126"/>
      <c r="D66" s="126"/>
      <c r="E66" s="126"/>
      <c r="F66" s="126"/>
      <c r="G66" s="126"/>
      <c r="H66" s="126"/>
      <c r="I66" s="126"/>
      <c r="J66" s="115"/>
      <c r="K66" s="97"/>
      <c r="L66" s="97"/>
      <c r="M66" s="97"/>
      <c r="N66" s="97"/>
      <c r="O66" s="97"/>
      <c r="P66" s="97"/>
      <c r="Q66" s="97"/>
      <c r="R66" s="97"/>
      <c r="S66" s="97"/>
      <c r="T66" s="97"/>
      <c r="U66" s="139"/>
      <c r="V66" s="154"/>
      <c r="W66" s="170"/>
      <c r="X66" s="243" t="str">
        <f>"Y= "&amp;Y66&amp;"x + "&amp;Z66</f>
        <v>Y= 9.0528x + 381.41</v>
      </c>
      <c r="Y66" s="839">
        <v>9.0527999999999995</v>
      </c>
      <c r="Z66" s="840">
        <v>381.41</v>
      </c>
      <c r="AA66" s="246">
        <v>35</v>
      </c>
      <c r="AB66" s="247">
        <f>(AA66*Y66)+Z66</f>
        <v>698.25800000000004</v>
      </c>
      <c r="AC66" s="217"/>
      <c r="AD66" s="217"/>
      <c r="AE66" s="217"/>
      <c r="AF66" s="217"/>
      <c r="AG66" s="217"/>
      <c r="AH66" s="217"/>
      <c r="AI66" s="217"/>
      <c r="AJ66" s="232"/>
      <c r="AK66" s="178"/>
    </row>
    <row r="67" spans="1:45" s="101" customFormat="1" ht="42" customHeight="1" x14ac:dyDescent="0.2">
      <c r="A67" s="138"/>
      <c r="B67" s="126"/>
      <c r="C67" s="126"/>
      <c r="D67" s="126"/>
      <c r="E67" s="126"/>
      <c r="F67" s="126"/>
      <c r="G67" s="126"/>
      <c r="H67" s="126"/>
      <c r="I67" s="126"/>
      <c r="J67" s="115"/>
      <c r="K67" s="97"/>
      <c r="L67" s="97"/>
      <c r="M67" s="97"/>
      <c r="N67" s="97"/>
      <c r="O67" s="97"/>
      <c r="P67" s="97"/>
      <c r="Q67" s="97"/>
      <c r="R67" s="97"/>
      <c r="S67" s="97"/>
      <c r="T67" s="97"/>
      <c r="U67" s="139"/>
      <c r="V67" s="154"/>
      <c r="W67" s="170"/>
      <c r="X67" s="44" t="s">
        <v>137</v>
      </c>
      <c r="Y67" s="240" t="s">
        <v>70</v>
      </c>
      <c r="Z67" s="44" t="s">
        <v>71</v>
      </c>
      <c r="AA67" s="241">
        <v>5</v>
      </c>
      <c r="AB67" s="242">
        <f>(AA67*Y68)+Z68</f>
        <v>352.88775000000004</v>
      </c>
      <c r="AC67" s="843" t="s">
        <v>860</v>
      </c>
      <c r="AD67" s="217"/>
      <c r="AE67" s="217"/>
      <c r="AF67" s="217"/>
      <c r="AG67" s="217"/>
      <c r="AH67" s="217"/>
      <c r="AI67" s="217"/>
      <c r="AJ67" s="232"/>
      <c r="AK67" s="178"/>
    </row>
    <row r="68" spans="1:45" ht="7.5" customHeight="1" x14ac:dyDescent="0.2">
      <c r="A68" s="135"/>
      <c r="B68" s="18"/>
      <c r="C68" s="18"/>
      <c r="D68" s="17"/>
      <c r="E68" s="17"/>
      <c r="F68" s="17"/>
      <c r="G68" s="17"/>
      <c r="H68" s="17"/>
      <c r="I68" s="17"/>
      <c r="J68" s="13"/>
      <c r="K68" s="19"/>
      <c r="L68" s="19"/>
      <c r="M68" s="19"/>
      <c r="N68" s="19"/>
      <c r="O68" s="19"/>
      <c r="P68" s="19"/>
      <c r="Q68" s="19"/>
      <c r="R68" s="19"/>
      <c r="S68" s="19"/>
      <c r="T68" s="20"/>
      <c r="U68" s="134"/>
      <c r="V68" s="152"/>
      <c r="W68" s="168"/>
      <c r="X68" s="243" t="str">
        <f>"Y= "&amp;Y68&amp;"x + "&amp;Z68</f>
        <v>Y= 12.17009x + 292.0373</v>
      </c>
      <c r="Y68" s="839">
        <v>12.17009</v>
      </c>
      <c r="Z68" s="840">
        <v>292.03730000000002</v>
      </c>
      <c r="AA68" s="246">
        <v>35</v>
      </c>
      <c r="AB68" s="247">
        <f>(AA68*Y68)+Z68</f>
        <v>717.99045000000001</v>
      </c>
      <c r="AJ68" s="210"/>
      <c r="AK68" s="175"/>
    </row>
    <row r="69" spans="1:45" ht="15" customHeight="1" x14ac:dyDescent="0.2">
      <c r="A69" s="1010"/>
      <c r="B69" s="1018"/>
      <c r="C69" s="1018"/>
      <c r="D69" s="1018"/>
      <c r="E69" s="1018"/>
      <c r="F69" s="1018"/>
      <c r="G69" s="1018"/>
      <c r="H69" s="1018"/>
      <c r="I69" s="1018"/>
      <c r="J69" s="1018"/>
      <c r="K69" s="1018"/>
      <c r="L69" s="1018"/>
      <c r="M69" s="1018"/>
      <c r="N69" s="1018"/>
      <c r="O69" s="1018"/>
      <c r="P69" s="1018"/>
      <c r="Q69" s="1018"/>
      <c r="R69" s="1018"/>
      <c r="S69" s="1018"/>
      <c r="T69" s="1018"/>
      <c r="U69" s="1019"/>
      <c r="V69" s="152"/>
      <c r="W69" s="168"/>
      <c r="X69" s="43">
        <f>D8</f>
        <v>2014</v>
      </c>
      <c r="Y69" s="43">
        <f>E8</f>
        <v>2015</v>
      </c>
      <c r="Z69" s="43">
        <f>F8</f>
        <v>2016</v>
      </c>
      <c r="AA69" s="43">
        <f>G8</f>
        <v>2017</v>
      </c>
      <c r="AB69" s="43">
        <f>H8</f>
        <v>2018</v>
      </c>
      <c r="AC69" s="88" t="s">
        <v>132</v>
      </c>
      <c r="AJ69" s="210"/>
      <c r="AK69" s="175"/>
    </row>
    <row r="70" spans="1:45" ht="11.25" customHeight="1" x14ac:dyDescent="0.2">
      <c r="A70" s="1020" t="str">
        <f>Home!$A$35</f>
        <v>LA's provide quarterly data on the condition that it is used by the benchmarking group for internal reporting only. Please DO NOT share other LA's data with any external partners or the public</v>
      </c>
      <c r="B70" s="1021"/>
      <c r="C70" s="1021"/>
      <c r="D70" s="1021"/>
      <c r="E70" s="1021"/>
      <c r="F70" s="1021"/>
      <c r="G70" s="1021"/>
      <c r="H70" s="1021"/>
      <c r="I70" s="1022"/>
      <c r="J70" s="1021"/>
      <c r="K70" s="1021"/>
      <c r="L70" s="1021"/>
      <c r="M70" s="1021"/>
      <c r="N70" s="1021"/>
      <c r="O70" s="1021"/>
      <c r="P70" s="1021"/>
      <c r="Q70" s="1021"/>
      <c r="R70" s="1021"/>
      <c r="S70" s="1022"/>
      <c r="T70" s="1021"/>
      <c r="U70" s="1023"/>
      <c r="V70" s="152"/>
      <c r="W70" s="168"/>
      <c r="X70" s="47" t="e">
        <f ca="1">IF(OFFSET(K8,$X$4,0)=0,NA(),OFFSET(K8,$X$4,0))</f>
        <v>#N/A</v>
      </c>
      <c r="Y70" s="248" t="e">
        <f ca="1">IF(OFFSET(L8,$X$4,0)=0,NA(),OFFSET(L8,$X$4,0))</f>
        <v>#N/A</v>
      </c>
      <c r="Z70" s="47" t="e">
        <f ca="1">IF(OFFSET(M8,$X$4,0)=0,NA(),OFFSET(M8,$X$4,0))</f>
        <v>#N/A</v>
      </c>
      <c r="AA70" s="47" t="e">
        <f ca="1">IF(OFFSET(N8,$X$4,0)=0,NA(),OFFSET(N8,$X$4,0))</f>
        <v>#N/A</v>
      </c>
      <c r="AB70" s="47" t="e">
        <f ca="1">IF(OFFSET(O8,$X$4,0)=0,NA(),OFFSET(O8,$X$4,0))</f>
        <v>#N/A</v>
      </c>
      <c r="AC70" s="47" t="e">
        <f ca="1">IF(OFFSET(T8,$X$4,0)=0,NA(),OFFSET(T8,$X$4,0))</f>
        <v>#N/A</v>
      </c>
      <c r="AJ70" s="210"/>
      <c r="AK70" s="175"/>
    </row>
    <row r="71" spans="1:45" ht="11.25" customHeight="1" x14ac:dyDescent="0.2">
      <c r="A71" s="129"/>
      <c r="B71" s="130"/>
      <c r="C71" s="130"/>
      <c r="D71" s="130"/>
      <c r="E71" s="130"/>
      <c r="F71" s="130"/>
      <c r="G71" s="130"/>
      <c r="H71" s="130"/>
      <c r="I71" s="130"/>
      <c r="J71" s="131"/>
      <c r="K71" s="130"/>
      <c r="L71" s="130"/>
      <c r="M71" s="130"/>
      <c r="N71" s="130"/>
      <c r="O71" s="130"/>
      <c r="P71" s="130"/>
      <c r="Q71" s="130"/>
      <c r="R71" s="130"/>
      <c r="S71" s="130"/>
      <c r="T71" s="130"/>
      <c r="U71" s="132"/>
      <c r="V71" s="152"/>
      <c r="W71" s="168"/>
      <c r="X71" s="215"/>
      <c r="Y71" s="215"/>
      <c r="Z71" s="215"/>
      <c r="AJ71" s="210"/>
      <c r="AK71" s="175"/>
    </row>
    <row r="72" spans="1:45" s="82" customFormat="1" ht="15" customHeight="1" x14ac:dyDescent="0.2">
      <c r="A72" s="136"/>
      <c r="B72" s="60"/>
      <c r="C72" s="351"/>
      <c r="D72" s="351"/>
      <c r="E72" s="351"/>
      <c r="F72" s="351"/>
      <c r="G72" s="351"/>
      <c r="H72" s="351"/>
      <c r="I72" s="351"/>
      <c r="J72" s="70"/>
      <c r="K72" s="60"/>
      <c r="M72" s="351"/>
      <c r="N72" s="351"/>
      <c r="O72" s="351"/>
      <c r="P72" s="351"/>
      <c r="Q72" s="351"/>
      <c r="R72" s="351"/>
      <c r="S72" s="70"/>
      <c r="T72" s="70"/>
      <c r="U72" s="137"/>
      <c r="V72" s="153"/>
      <c r="W72" s="169"/>
      <c r="X72" s="215"/>
      <c r="Y72" s="215"/>
      <c r="Z72" s="215"/>
      <c r="AA72" s="215"/>
      <c r="AB72" s="215"/>
      <c r="AC72" s="215"/>
      <c r="AD72" s="215"/>
      <c r="AE72" s="215"/>
      <c r="AF72" s="215"/>
      <c r="AG72" s="215"/>
      <c r="AH72" s="215"/>
      <c r="AI72" s="215"/>
      <c r="AJ72" s="215"/>
      <c r="AK72" s="176"/>
    </row>
    <row r="73" spans="1:45" ht="13.5" customHeight="1" x14ac:dyDescent="0.2">
      <c r="A73" s="135"/>
      <c r="B73" s="351"/>
      <c r="C73" s="351"/>
      <c r="D73" s="351"/>
      <c r="E73" s="351"/>
      <c r="F73" s="351"/>
      <c r="G73" s="351"/>
      <c r="H73" s="351"/>
      <c r="I73" s="351"/>
      <c r="J73" s="70"/>
      <c r="K73" s="70"/>
      <c r="L73" s="351"/>
      <c r="M73" s="351"/>
      <c r="N73" s="351"/>
      <c r="O73" s="351"/>
      <c r="P73" s="351"/>
      <c r="Q73" s="351"/>
      <c r="R73" s="351"/>
      <c r="S73" s="70"/>
      <c r="T73" s="70"/>
      <c r="U73" s="134"/>
      <c r="V73" s="152"/>
      <c r="W73" s="168"/>
      <c r="X73" s="215"/>
      <c r="Y73" s="215"/>
      <c r="Z73" s="223"/>
      <c r="AA73" s="223"/>
      <c r="AB73" s="224"/>
      <c r="AC73" s="224"/>
      <c r="AJ73" s="210"/>
      <c r="AK73" s="175"/>
    </row>
    <row r="74" spans="1:45" s="101" customFormat="1" ht="24" customHeight="1" x14ac:dyDescent="0.2">
      <c r="A74" s="138"/>
      <c r="B74" s="351"/>
      <c r="C74" s="351"/>
      <c r="D74" s="351"/>
      <c r="E74" s="351"/>
      <c r="F74" s="351"/>
      <c r="G74" s="351"/>
      <c r="H74" s="351"/>
      <c r="I74" s="115"/>
      <c r="J74" s="115"/>
      <c r="K74" s="196"/>
      <c r="L74" s="196"/>
      <c r="M74" s="196"/>
      <c r="N74" s="196"/>
      <c r="O74" s="196"/>
      <c r="P74" s="351"/>
      <c r="Q74" s="351"/>
      <c r="R74" s="351"/>
      <c r="S74" s="177"/>
      <c r="T74" s="355"/>
      <c r="U74" s="139"/>
      <c r="V74" s="154"/>
      <c r="W74" s="170"/>
      <c r="X74" s="215"/>
      <c r="Y74" s="404" t="s">
        <v>133</v>
      </c>
      <c r="Z74" s="404" t="s">
        <v>134</v>
      </c>
      <c r="AA74" s="225"/>
      <c r="AB74" s="223"/>
      <c r="AC74" s="215"/>
      <c r="AD74" s="226"/>
      <c r="AE74" s="217"/>
      <c r="AF74" s="217"/>
      <c r="AG74" s="217"/>
      <c r="AH74" s="217"/>
      <c r="AI74" s="217"/>
      <c r="AJ74" s="232"/>
      <c r="AK74" s="178"/>
    </row>
    <row r="75" spans="1:45" s="101" customFormat="1" ht="12" customHeight="1" x14ac:dyDescent="0.2">
      <c r="A75" s="138"/>
      <c r="B75" s="351"/>
      <c r="C75" s="351"/>
      <c r="D75" s="351"/>
      <c r="E75" s="351"/>
      <c r="F75" s="351"/>
      <c r="G75" s="351"/>
      <c r="H75" s="351"/>
      <c r="I75" s="115"/>
      <c r="J75" s="115"/>
      <c r="K75" s="196"/>
      <c r="L75" s="196"/>
      <c r="M75" s="196"/>
      <c r="N75" s="196"/>
      <c r="O75" s="196"/>
      <c r="P75" s="351"/>
      <c r="Q75" s="351"/>
      <c r="R75" s="351"/>
      <c r="S75" s="177"/>
      <c r="T75" s="186"/>
      <c r="U75" s="139"/>
      <c r="V75" s="154"/>
      <c r="W75" s="170"/>
      <c r="Y75" s="632"/>
      <c r="Z75" s="632"/>
      <c r="AA75" s="219"/>
      <c r="AB75" s="232"/>
      <c r="AC75" s="232"/>
      <c r="AD75" s="226"/>
      <c r="AE75" s="217"/>
      <c r="AF75" s="217"/>
      <c r="AG75" s="217"/>
      <c r="AH75" s="217"/>
      <c r="AI75" s="217"/>
      <c r="AJ75" s="232"/>
      <c r="AK75" s="178"/>
    </row>
    <row r="76" spans="1:45" s="101" customFormat="1" ht="12.75" customHeight="1" x14ac:dyDescent="0.2">
      <c r="A76" s="138"/>
      <c r="B76" s="351"/>
      <c r="C76" s="351"/>
      <c r="D76" s="351"/>
      <c r="E76" s="351"/>
      <c r="F76" s="351"/>
      <c r="G76" s="351"/>
      <c r="H76" s="351"/>
      <c r="I76" s="115"/>
      <c r="J76" s="115"/>
      <c r="K76" s="196"/>
      <c r="L76" s="196"/>
      <c r="M76" s="196"/>
      <c r="N76" s="196"/>
      <c r="O76" s="196"/>
      <c r="P76" s="351"/>
      <c r="Q76" s="351"/>
      <c r="R76" s="351"/>
      <c r="S76" s="177"/>
      <c r="T76" s="186"/>
      <c r="U76" s="139"/>
      <c r="V76" s="154"/>
      <c r="W76" s="170"/>
      <c r="X76" s="633" t="str">
        <f>B9</f>
        <v>Bracknell Forest</v>
      </c>
      <c r="Y76" s="406" t="e">
        <f>IF(X76=$Y$4,I9,#N/A)</f>
        <v>#N/A</v>
      </c>
      <c r="Z76" s="406" t="e">
        <f t="shared" ref="Z76:Z99" si="22">IF(X76=$Y$4,T9,#N/A)</f>
        <v>#N/A</v>
      </c>
      <c r="AA76" s="399"/>
      <c r="AB76" s="232"/>
      <c r="AC76" s="232"/>
      <c r="AD76" s="226"/>
      <c r="AE76" s="217"/>
      <c r="AF76" s="217"/>
      <c r="AG76" s="217"/>
      <c r="AH76" s="217"/>
      <c r="AI76" s="217"/>
      <c r="AJ76" s="232"/>
      <c r="AK76" s="178"/>
    </row>
    <row r="77" spans="1:45" s="101" customFormat="1" ht="12.75" customHeight="1" x14ac:dyDescent="0.2">
      <c r="A77" s="138"/>
      <c r="B77" s="351"/>
      <c r="C77" s="351"/>
      <c r="D77" s="351"/>
      <c r="E77" s="351"/>
      <c r="F77" s="351"/>
      <c r="G77" s="351"/>
      <c r="H77" s="351"/>
      <c r="I77" s="115"/>
      <c r="J77" s="115"/>
      <c r="K77" s="196"/>
      <c r="L77" s="196"/>
      <c r="M77" s="196"/>
      <c r="N77" s="196"/>
      <c r="O77" s="196"/>
      <c r="P77" s="351"/>
      <c r="Q77" s="351"/>
      <c r="R77" s="351"/>
      <c r="S77" s="177"/>
      <c r="T77" s="186"/>
      <c r="U77" s="139"/>
      <c r="V77" s="154"/>
      <c r="W77" s="170"/>
      <c r="X77" s="633" t="str">
        <f t="shared" ref="X77:X97" si="23">B10</f>
        <v>Brighton &amp; Hove</v>
      </c>
      <c r="Y77" s="406" t="e">
        <f t="shared" ref="Y77:Y99" si="24">IF(X77=$Y$4,I10,#N/A)</f>
        <v>#N/A</v>
      </c>
      <c r="Z77" s="406" t="e">
        <f t="shared" si="22"/>
        <v>#N/A</v>
      </c>
      <c r="AA77" s="399"/>
      <c r="AB77" s="232"/>
      <c r="AC77" s="232"/>
      <c r="AD77" s="226"/>
      <c r="AE77" s="217"/>
      <c r="AF77" s="217"/>
      <c r="AG77" s="217"/>
      <c r="AH77" s="217"/>
      <c r="AI77" s="217"/>
      <c r="AJ77" s="232"/>
      <c r="AK77" s="178"/>
    </row>
    <row r="78" spans="1:45" s="101" customFormat="1" ht="12.75" customHeight="1" x14ac:dyDescent="0.2">
      <c r="A78" s="138"/>
      <c r="B78" s="351"/>
      <c r="C78" s="351"/>
      <c r="D78" s="351"/>
      <c r="E78" s="351"/>
      <c r="F78" s="351"/>
      <c r="G78" s="351"/>
      <c r="H78" s="351"/>
      <c r="I78" s="115"/>
      <c r="J78" s="115"/>
      <c r="K78" s="196"/>
      <c r="L78" s="196"/>
      <c r="M78" s="196"/>
      <c r="N78" s="196"/>
      <c r="O78" s="196"/>
      <c r="P78" s="351"/>
      <c r="Q78" s="351"/>
      <c r="R78" s="351"/>
      <c r="S78" s="177"/>
      <c r="T78" s="186"/>
      <c r="U78" s="139"/>
      <c r="V78" s="154"/>
      <c r="W78" s="170"/>
      <c r="X78" s="633" t="str">
        <f t="shared" si="23"/>
        <v>Buckinghamshire</v>
      </c>
      <c r="Y78" s="406" t="e">
        <f t="shared" si="24"/>
        <v>#N/A</v>
      </c>
      <c r="Z78" s="406" t="e">
        <f t="shared" si="22"/>
        <v>#N/A</v>
      </c>
      <c r="AA78" s="399"/>
      <c r="AB78" s="232"/>
      <c r="AC78" s="232"/>
      <c r="AD78" s="226"/>
      <c r="AE78" s="217"/>
      <c r="AF78" s="217"/>
      <c r="AG78" s="217"/>
      <c r="AH78" s="217"/>
      <c r="AI78" s="217"/>
      <c r="AJ78" s="232"/>
      <c r="AK78" s="178"/>
    </row>
    <row r="79" spans="1:45" s="101" customFormat="1" ht="12.75" customHeight="1" x14ac:dyDescent="0.2">
      <c r="A79" s="138"/>
      <c r="B79" s="351"/>
      <c r="C79" s="351"/>
      <c r="D79" s="351"/>
      <c r="E79" s="351"/>
      <c r="F79" s="351"/>
      <c r="G79" s="351"/>
      <c r="H79" s="351"/>
      <c r="I79" s="115"/>
      <c r="J79" s="115"/>
      <c r="K79" s="196"/>
      <c r="L79" s="196"/>
      <c r="M79" s="196"/>
      <c r="N79" s="196"/>
      <c r="O79" s="196"/>
      <c r="P79" s="351"/>
      <c r="Q79" s="351"/>
      <c r="R79" s="351"/>
      <c r="S79" s="177"/>
      <c r="T79" s="186"/>
      <c r="U79" s="139"/>
      <c r="V79" s="154"/>
      <c r="W79" s="170"/>
      <c r="X79" s="633" t="str">
        <f t="shared" si="23"/>
        <v>East Sussex</v>
      </c>
      <c r="Y79" s="406" t="e">
        <f>IF(X79=$Y$4,I12,#N/A)</f>
        <v>#N/A</v>
      </c>
      <c r="Z79" s="406" t="e">
        <f t="shared" si="22"/>
        <v>#N/A</v>
      </c>
      <c r="AA79" s="399"/>
      <c r="AB79" s="232"/>
      <c r="AC79" s="232"/>
      <c r="AD79" s="226"/>
      <c r="AE79" s="217"/>
      <c r="AF79" s="217"/>
      <c r="AG79" s="217"/>
      <c r="AH79" s="217"/>
      <c r="AI79" s="217"/>
      <c r="AJ79" s="232"/>
      <c r="AK79" s="178"/>
    </row>
    <row r="80" spans="1:45" s="101" customFormat="1" ht="12.75" customHeight="1" x14ac:dyDescent="0.2">
      <c r="A80" s="138"/>
      <c r="B80" s="351"/>
      <c r="C80" s="351"/>
      <c r="D80" s="351"/>
      <c r="E80" s="351"/>
      <c r="F80" s="351"/>
      <c r="G80" s="351"/>
      <c r="H80" s="351"/>
      <c r="I80" s="115"/>
      <c r="J80" s="115"/>
      <c r="K80" s="196"/>
      <c r="L80" s="196"/>
      <c r="M80" s="196"/>
      <c r="N80" s="196"/>
      <c r="O80" s="196"/>
      <c r="P80" s="351"/>
      <c r="Q80" s="351"/>
      <c r="R80" s="351"/>
      <c r="S80" s="177"/>
      <c r="T80" s="186"/>
      <c r="U80" s="139"/>
      <c r="V80" s="154"/>
      <c r="W80" s="170"/>
      <c r="X80" s="633" t="str">
        <f t="shared" si="23"/>
        <v>Hampshire</v>
      </c>
      <c r="Y80" s="406" t="e">
        <f t="shared" si="24"/>
        <v>#N/A</v>
      </c>
      <c r="Z80" s="406" t="e">
        <f t="shared" si="22"/>
        <v>#N/A</v>
      </c>
      <c r="AA80" s="399"/>
      <c r="AB80" s="232"/>
      <c r="AC80" s="232"/>
      <c r="AD80" s="226"/>
      <c r="AE80" s="217"/>
      <c r="AF80" s="217"/>
      <c r="AG80" s="217"/>
      <c r="AH80" s="217"/>
      <c r="AI80" s="217"/>
      <c r="AJ80" s="232"/>
      <c r="AK80" s="178"/>
      <c r="AS80" s="101" t="s">
        <v>104</v>
      </c>
    </row>
    <row r="81" spans="1:37" s="101" customFormat="1" ht="12.75" customHeight="1" x14ac:dyDescent="0.2">
      <c r="A81" s="138"/>
      <c r="B81" s="351"/>
      <c r="C81" s="351"/>
      <c r="D81" s="351"/>
      <c r="E81" s="351"/>
      <c r="F81" s="351"/>
      <c r="G81" s="351"/>
      <c r="H81" s="351"/>
      <c r="I81" s="115"/>
      <c r="J81" s="115"/>
      <c r="K81" s="196"/>
      <c r="L81" s="196"/>
      <c r="M81" s="196"/>
      <c r="N81" s="196"/>
      <c r="O81" s="196"/>
      <c r="P81" s="351"/>
      <c r="Q81" s="351"/>
      <c r="R81" s="351"/>
      <c r="S81" s="177"/>
      <c r="T81" s="186"/>
      <c r="U81" s="139"/>
      <c r="V81" s="154"/>
      <c r="W81" s="170"/>
      <c r="X81" s="633" t="str">
        <f t="shared" si="23"/>
        <v>Isle of Wight</v>
      </c>
      <c r="Y81" s="406" t="e">
        <f t="shared" si="24"/>
        <v>#N/A</v>
      </c>
      <c r="Z81" s="406" t="e">
        <f t="shared" si="22"/>
        <v>#N/A</v>
      </c>
      <c r="AA81" s="399"/>
      <c r="AB81" s="232"/>
      <c r="AC81" s="232"/>
      <c r="AD81" s="226"/>
      <c r="AE81" s="217"/>
      <c r="AF81" s="217"/>
      <c r="AG81" s="217"/>
      <c r="AH81" s="217"/>
      <c r="AI81" s="217"/>
      <c r="AJ81" s="232"/>
      <c r="AK81" s="178"/>
    </row>
    <row r="82" spans="1:37" s="101" customFormat="1" ht="12.75" customHeight="1" x14ac:dyDescent="0.2">
      <c r="A82" s="138"/>
      <c r="B82" s="351"/>
      <c r="C82" s="351"/>
      <c r="D82" s="351"/>
      <c r="E82" s="351"/>
      <c r="F82" s="351"/>
      <c r="G82" s="351"/>
      <c r="H82" s="351"/>
      <c r="I82" s="115"/>
      <c r="J82" s="115"/>
      <c r="K82" s="196"/>
      <c r="L82" s="196"/>
      <c r="M82" s="196"/>
      <c r="N82" s="196"/>
      <c r="O82" s="196"/>
      <c r="P82" s="351"/>
      <c r="Q82" s="351"/>
      <c r="R82" s="351"/>
      <c r="S82" s="177"/>
      <c r="T82" s="186"/>
      <c r="U82" s="139"/>
      <c r="V82" s="154"/>
      <c r="W82" s="170"/>
      <c r="X82" s="633" t="str">
        <f t="shared" si="23"/>
        <v>Kent</v>
      </c>
      <c r="Y82" s="406" t="e">
        <f t="shared" si="24"/>
        <v>#N/A</v>
      </c>
      <c r="Z82" s="406" t="e">
        <f t="shared" si="22"/>
        <v>#N/A</v>
      </c>
      <c r="AA82" s="399"/>
      <c r="AB82" s="232"/>
      <c r="AC82" s="232"/>
      <c r="AD82" s="226"/>
      <c r="AE82" s="217"/>
      <c r="AF82" s="217"/>
      <c r="AG82" s="217"/>
      <c r="AH82" s="217"/>
      <c r="AI82" s="217"/>
      <c r="AJ82" s="232"/>
      <c r="AK82" s="178"/>
    </row>
    <row r="83" spans="1:37" s="101" customFormat="1" ht="12.75" customHeight="1" x14ac:dyDescent="0.2">
      <c r="A83" s="138"/>
      <c r="B83" s="351"/>
      <c r="C83" s="351"/>
      <c r="D83" s="351"/>
      <c r="E83" s="351"/>
      <c r="F83" s="351"/>
      <c r="G83" s="351"/>
      <c r="H83" s="351"/>
      <c r="I83" s="115"/>
      <c r="J83" s="115"/>
      <c r="K83" s="196"/>
      <c r="L83" s="196"/>
      <c r="M83" s="196"/>
      <c r="N83" s="196"/>
      <c r="O83" s="196"/>
      <c r="P83" s="351"/>
      <c r="Q83" s="351"/>
      <c r="R83" s="351"/>
      <c r="S83" s="177"/>
      <c r="T83" s="186"/>
      <c r="U83" s="139"/>
      <c r="V83" s="154"/>
      <c r="W83" s="170"/>
      <c r="X83" s="633" t="str">
        <f t="shared" si="23"/>
        <v>Medway</v>
      </c>
      <c r="Y83" s="406" t="e">
        <f t="shared" si="24"/>
        <v>#N/A</v>
      </c>
      <c r="Z83" s="406" t="e">
        <f t="shared" si="22"/>
        <v>#N/A</v>
      </c>
      <c r="AA83" s="399"/>
      <c r="AB83" s="232"/>
      <c r="AC83" s="232"/>
      <c r="AD83" s="226"/>
      <c r="AE83" s="217"/>
      <c r="AF83" s="217"/>
      <c r="AG83" s="217"/>
      <c r="AH83" s="217"/>
      <c r="AI83" s="217"/>
      <c r="AJ83" s="232"/>
      <c r="AK83" s="178"/>
    </row>
    <row r="84" spans="1:37" s="101" customFormat="1" ht="12.75" customHeight="1" x14ac:dyDescent="0.2">
      <c r="A84" s="138"/>
      <c r="B84" s="351"/>
      <c r="C84" s="351"/>
      <c r="D84" s="351"/>
      <c r="E84" s="351"/>
      <c r="F84" s="351"/>
      <c r="G84" s="351"/>
      <c r="H84" s="351"/>
      <c r="I84" s="115"/>
      <c r="J84" s="115"/>
      <c r="K84" s="196"/>
      <c r="L84" s="196"/>
      <c r="M84" s="196"/>
      <c r="N84" s="196"/>
      <c r="O84" s="196"/>
      <c r="P84" s="351"/>
      <c r="Q84" s="351"/>
      <c r="R84" s="351"/>
      <c r="S84" s="177"/>
      <c r="T84" s="186"/>
      <c r="U84" s="139"/>
      <c r="V84" s="154"/>
      <c r="W84" s="170"/>
      <c r="X84" s="633" t="str">
        <f t="shared" si="23"/>
        <v>Milton Keynes</v>
      </c>
      <c r="Y84" s="406" t="e">
        <f t="shared" si="24"/>
        <v>#N/A</v>
      </c>
      <c r="Z84" s="406" t="e">
        <f t="shared" si="22"/>
        <v>#N/A</v>
      </c>
      <c r="AA84" s="399"/>
      <c r="AB84" s="232"/>
      <c r="AC84" s="232"/>
      <c r="AD84" s="226"/>
      <c r="AE84" s="217"/>
      <c r="AF84" s="217"/>
      <c r="AG84" s="217"/>
      <c r="AH84" s="217"/>
      <c r="AI84" s="217"/>
      <c r="AJ84" s="232"/>
      <c r="AK84" s="178"/>
    </row>
    <row r="85" spans="1:37" s="101" customFormat="1" ht="12.75" customHeight="1" x14ac:dyDescent="0.2">
      <c r="A85" s="138"/>
      <c r="B85" s="351"/>
      <c r="C85" s="351"/>
      <c r="D85" s="351"/>
      <c r="E85" s="351"/>
      <c r="F85" s="351"/>
      <c r="G85" s="351"/>
      <c r="H85" s="351"/>
      <c r="I85" s="115"/>
      <c r="J85" s="115"/>
      <c r="K85" s="196"/>
      <c r="L85" s="196"/>
      <c r="M85" s="196"/>
      <c r="N85" s="196"/>
      <c r="O85" s="196"/>
      <c r="P85" s="351"/>
      <c r="Q85" s="351"/>
      <c r="R85" s="351"/>
      <c r="S85" s="177"/>
      <c r="T85" s="186"/>
      <c r="U85" s="139"/>
      <c r="V85" s="154"/>
      <c r="W85" s="170"/>
      <c r="X85" s="633" t="str">
        <f t="shared" si="23"/>
        <v>Oxfordshire</v>
      </c>
      <c r="Y85" s="406" t="e">
        <f t="shared" si="24"/>
        <v>#N/A</v>
      </c>
      <c r="Z85" s="406" t="e">
        <f t="shared" si="22"/>
        <v>#N/A</v>
      </c>
      <c r="AA85" s="399"/>
      <c r="AB85" s="232"/>
      <c r="AC85" s="232"/>
      <c r="AD85" s="226"/>
      <c r="AE85" s="217"/>
      <c r="AF85" s="217"/>
      <c r="AG85" s="217"/>
      <c r="AH85" s="217"/>
      <c r="AI85" s="217"/>
      <c r="AJ85" s="232"/>
      <c r="AK85" s="178"/>
    </row>
    <row r="86" spans="1:37" s="101" customFormat="1" ht="12.75" customHeight="1" x14ac:dyDescent="0.2">
      <c r="A86" s="138"/>
      <c r="B86" s="351"/>
      <c r="C86" s="351"/>
      <c r="D86" s="351"/>
      <c r="E86" s="351"/>
      <c r="F86" s="351"/>
      <c r="G86" s="351"/>
      <c r="H86" s="351"/>
      <c r="I86" s="115"/>
      <c r="J86" s="115"/>
      <c r="K86" s="196"/>
      <c r="L86" s="196"/>
      <c r="M86" s="196"/>
      <c r="N86" s="196"/>
      <c r="O86" s="196"/>
      <c r="P86" s="351"/>
      <c r="Q86" s="351"/>
      <c r="R86" s="351"/>
      <c r="S86" s="177"/>
      <c r="T86" s="186"/>
      <c r="U86" s="139"/>
      <c r="V86" s="154"/>
      <c r="W86" s="170"/>
      <c r="X86" s="633" t="str">
        <f t="shared" si="23"/>
        <v>Portsmouth</v>
      </c>
      <c r="Y86" s="406" t="e">
        <f t="shared" si="24"/>
        <v>#N/A</v>
      </c>
      <c r="Z86" s="406" t="e">
        <f t="shared" si="22"/>
        <v>#N/A</v>
      </c>
      <c r="AA86" s="399"/>
      <c r="AB86" s="232"/>
      <c r="AC86" s="232"/>
      <c r="AD86" s="226"/>
      <c r="AE86" s="217"/>
      <c r="AF86" s="217"/>
      <c r="AG86" s="217"/>
      <c r="AH86" s="217"/>
      <c r="AI86" s="217"/>
      <c r="AJ86" s="232"/>
      <c r="AK86" s="178"/>
    </row>
    <row r="87" spans="1:37" s="101" customFormat="1" ht="12.75" customHeight="1" x14ac:dyDescent="0.2">
      <c r="A87" s="138"/>
      <c r="B87" s="351"/>
      <c r="C87" s="351"/>
      <c r="D87" s="351"/>
      <c r="E87" s="351"/>
      <c r="F87" s="351"/>
      <c r="G87" s="351"/>
      <c r="H87" s="351"/>
      <c r="I87" s="115"/>
      <c r="J87" s="115"/>
      <c r="K87" s="196"/>
      <c r="L87" s="196"/>
      <c r="M87" s="196"/>
      <c r="N87" s="196"/>
      <c r="O87" s="196"/>
      <c r="P87" s="351"/>
      <c r="Q87" s="351"/>
      <c r="R87" s="351"/>
      <c r="S87" s="177"/>
      <c r="T87" s="186"/>
      <c r="U87" s="139"/>
      <c r="V87" s="154"/>
      <c r="W87" s="170"/>
      <c r="X87" s="633" t="str">
        <f t="shared" si="23"/>
        <v>Reading</v>
      </c>
      <c r="Y87" s="406" t="e">
        <f t="shared" si="24"/>
        <v>#N/A</v>
      </c>
      <c r="Z87" s="406" t="e">
        <f t="shared" si="22"/>
        <v>#N/A</v>
      </c>
      <c r="AA87" s="399"/>
      <c r="AB87" s="232"/>
      <c r="AC87" s="232"/>
      <c r="AD87" s="226"/>
      <c r="AE87" s="217"/>
      <c r="AF87" s="217"/>
      <c r="AG87" s="217"/>
      <c r="AH87" s="217"/>
      <c r="AI87" s="217"/>
      <c r="AJ87" s="232"/>
      <c r="AK87" s="178"/>
    </row>
    <row r="88" spans="1:37" s="101" customFormat="1" ht="12.75" customHeight="1" x14ac:dyDescent="0.2">
      <c r="A88" s="138"/>
      <c r="B88" s="351"/>
      <c r="C88" s="351"/>
      <c r="D88" s="351"/>
      <c r="E88" s="351"/>
      <c r="F88" s="351"/>
      <c r="G88" s="351"/>
      <c r="H88" s="351"/>
      <c r="I88" s="115"/>
      <c r="J88" s="115"/>
      <c r="K88" s="196"/>
      <c r="L88" s="196"/>
      <c r="M88" s="196"/>
      <c r="N88" s="196"/>
      <c r="O88" s="196"/>
      <c r="P88" s="351"/>
      <c r="Q88" s="351"/>
      <c r="R88" s="351"/>
      <c r="S88" s="177"/>
      <c r="T88" s="186"/>
      <c r="U88" s="139"/>
      <c r="V88" s="154"/>
      <c r="W88" s="170"/>
      <c r="X88" s="633" t="str">
        <f t="shared" si="23"/>
        <v>Slough</v>
      </c>
      <c r="Y88" s="406" t="e">
        <f t="shared" si="24"/>
        <v>#N/A</v>
      </c>
      <c r="Z88" s="406" t="e">
        <f t="shared" si="22"/>
        <v>#N/A</v>
      </c>
      <c r="AA88" s="399"/>
      <c r="AB88" s="232"/>
      <c r="AC88" s="232"/>
      <c r="AD88" s="226"/>
      <c r="AE88" s="217"/>
      <c r="AF88" s="217"/>
      <c r="AG88" s="217"/>
      <c r="AH88" s="217"/>
      <c r="AI88" s="217"/>
      <c r="AJ88" s="232"/>
      <c r="AK88" s="178"/>
    </row>
    <row r="89" spans="1:37" s="101" customFormat="1" ht="12.75" customHeight="1" x14ac:dyDescent="0.2">
      <c r="A89" s="138"/>
      <c r="B89" s="351"/>
      <c r="C89" s="351"/>
      <c r="D89" s="351"/>
      <c r="E89" s="351"/>
      <c r="F89" s="351"/>
      <c r="G89" s="351"/>
      <c r="H89" s="351"/>
      <c r="I89" s="115"/>
      <c r="J89" s="115"/>
      <c r="K89" s="196"/>
      <c r="L89" s="196"/>
      <c r="M89" s="196"/>
      <c r="N89" s="196"/>
      <c r="O89" s="196"/>
      <c r="P89" s="351"/>
      <c r="Q89" s="351"/>
      <c r="R89" s="351"/>
      <c r="S89" s="177"/>
      <c r="T89" s="186"/>
      <c r="U89" s="139"/>
      <c r="V89" s="154"/>
      <c r="W89" s="170"/>
      <c r="X89" s="633" t="str">
        <f t="shared" si="23"/>
        <v>Somerset</v>
      </c>
      <c r="Y89" s="406" t="e">
        <f t="shared" si="24"/>
        <v>#N/A</v>
      </c>
      <c r="Z89" s="406" t="e">
        <f t="shared" si="22"/>
        <v>#N/A</v>
      </c>
      <c r="AA89" s="399"/>
      <c r="AB89" s="232"/>
      <c r="AC89" s="232"/>
      <c r="AD89" s="226"/>
      <c r="AE89" s="217"/>
      <c r="AF89" s="217"/>
      <c r="AG89" s="217"/>
      <c r="AH89" s="217"/>
      <c r="AI89" s="217"/>
      <c r="AJ89" s="232"/>
      <c r="AK89" s="178"/>
    </row>
    <row r="90" spans="1:37" s="101" customFormat="1" ht="12.75" customHeight="1" x14ac:dyDescent="0.2">
      <c r="A90" s="138"/>
      <c r="B90" s="351"/>
      <c r="C90" s="351"/>
      <c r="D90" s="351"/>
      <c r="E90" s="351"/>
      <c r="F90" s="351"/>
      <c r="G90" s="351"/>
      <c r="H90" s="351"/>
      <c r="I90" s="115"/>
      <c r="J90" s="115"/>
      <c r="K90" s="196"/>
      <c r="L90" s="196"/>
      <c r="M90" s="196"/>
      <c r="N90" s="196"/>
      <c r="O90" s="196"/>
      <c r="P90" s="351"/>
      <c r="Q90" s="351"/>
      <c r="R90" s="351"/>
      <c r="S90" s="177"/>
      <c r="T90" s="186"/>
      <c r="U90" s="139"/>
      <c r="V90" s="154"/>
      <c r="W90" s="170"/>
      <c r="X90" s="633" t="str">
        <f t="shared" si="23"/>
        <v>Southampton</v>
      </c>
      <c r="Y90" s="406" t="e">
        <f t="shared" si="24"/>
        <v>#N/A</v>
      </c>
      <c r="Z90" s="406" t="e">
        <f t="shared" si="22"/>
        <v>#N/A</v>
      </c>
      <c r="AA90" s="399"/>
      <c r="AB90" s="232"/>
      <c r="AC90" s="232"/>
      <c r="AD90" s="226"/>
      <c r="AE90" s="217"/>
      <c r="AF90" s="217"/>
      <c r="AG90" s="217"/>
      <c r="AH90" s="217"/>
      <c r="AI90" s="217"/>
      <c r="AJ90" s="232"/>
      <c r="AK90" s="178"/>
    </row>
    <row r="91" spans="1:37" s="101" customFormat="1" ht="12.75" customHeight="1" x14ac:dyDescent="0.2">
      <c r="A91" s="324"/>
      <c r="B91" s="351"/>
      <c r="C91" s="351"/>
      <c r="D91" s="351"/>
      <c r="E91" s="351"/>
      <c r="F91" s="351"/>
      <c r="G91" s="351"/>
      <c r="H91" s="351"/>
      <c r="I91" s="115"/>
      <c r="J91" s="115"/>
      <c r="K91" s="196"/>
      <c r="L91" s="196"/>
      <c r="M91" s="196"/>
      <c r="N91" s="196"/>
      <c r="O91" s="196"/>
      <c r="P91" s="351"/>
      <c r="Q91" s="351"/>
      <c r="R91" s="351"/>
      <c r="S91" s="177"/>
      <c r="T91" s="186"/>
      <c r="U91" s="139"/>
      <c r="V91" s="154"/>
      <c r="W91" s="170"/>
      <c r="X91" s="633" t="str">
        <f t="shared" si="23"/>
        <v>Surrey</v>
      </c>
      <c r="Y91" s="406" t="e">
        <f t="shared" si="24"/>
        <v>#N/A</v>
      </c>
      <c r="Z91" s="406" t="e">
        <f t="shared" si="22"/>
        <v>#N/A</v>
      </c>
      <c r="AA91" s="399"/>
      <c r="AB91" s="232"/>
      <c r="AC91" s="232"/>
      <c r="AD91" s="226"/>
      <c r="AE91" s="217"/>
      <c r="AF91" s="217"/>
      <c r="AG91" s="217"/>
      <c r="AH91" s="217"/>
      <c r="AI91" s="217"/>
      <c r="AJ91" s="232"/>
      <c r="AK91" s="178"/>
    </row>
    <row r="92" spans="1:37" s="101" customFormat="1" ht="12.75" customHeight="1" x14ac:dyDescent="0.2">
      <c r="A92" s="324"/>
      <c r="B92" s="351"/>
      <c r="C92" s="351"/>
      <c r="D92" s="351"/>
      <c r="E92" s="351"/>
      <c r="F92" s="351"/>
      <c r="G92" s="351"/>
      <c r="H92" s="351"/>
      <c r="I92" s="115"/>
      <c r="J92" s="115"/>
      <c r="K92" s="196"/>
      <c r="L92" s="196"/>
      <c r="M92" s="196"/>
      <c r="N92" s="196"/>
      <c r="O92" s="196"/>
      <c r="P92" s="351"/>
      <c r="Q92" s="351"/>
      <c r="R92" s="351"/>
      <c r="S92" s="177"/>
      <c r="T92" s="186"/>
      <c r="U92" s="139"/>
      <c r="V92" s="154"/>
      <c r="W92" s="170"/>
      <c r="X92" s="633" t="str">
        <f t="shared" si="23"/>
        <v>Swindon</v>
      </c>
      <c r="Y92" s="406" t="e">
        <f t="shared" si="24"/>
        <v>#N/A</v>
      </c>
      <c r="Z92" s="406" t="e">
        <f t="shared" si="22"/>
        <v>#N/A</v>
      </c>
      <c r="AA92" s="399"/>
      <c r="AB92" s="232"/>
      <c r="AC92" s="232"/>
      <c r="AD92" s="226"/>
      <c r="AE92" s="217"/>
      <c r="AF92" s="217"/>
      <c r="AG92" s="217"/>
      <c r="AH92" s="217"/>
      <c r="AI92" s="217"/>
      <c r="AJ92" s="232"/>
      <c r="AK92" s="178"/>
    </row>
    <row r="93" spans="1:37" s="101" customFormat="1" ht="12.75" customHeight="1" x14ac:dyDescent="0.2">
      <c r="A93" s="138"/>
      <c r="B93" s="351"/>
      <c r="C93" s="351"/>
      <c r="D93" s="351"/>
      <c r="E93" s="351"/>
      <c r="F93" s="351"/>
      <c r="G93" s="351"/>
      <c r="H93" s="351"/>
      <c r="I93" s="115"/>
      <c r="J93" s="115"/>
      <c r="K93" s="196"/>
      <c r="L93" s="196"/>
      <c r="M93" s="196"/>
      <c r="N93" s="196"/>
      <c r="O93" s="196"/>
      <c r="P93" s="351"/>
      <c r="Q93" s="351"/>
      <c r="R93" s="351"/>
      <c r="S93" s="177"/>
      <c r="T93" s="186"/>
      <c r="U93" s="139"/>
      <c r="V93" s="154"/>
      <c r="W93" s="170"/>
      <c r="X93" s="633" t="str">
        <f t="shared" si="23"/>
        <v>Torbay</v>
      </c>
      <c r="Y93" s="406" t="e">
        <f t="shared" si="24"/>
        <v>#N/A</v>
      </c>
      <c r="Z93" s="406" t="e">
        <f t="shared" si="22"/>
        <v>#N/A</v>
      </c>
      <c r="AA93" s="399"/>
      <c r="AB93" s="232"/>
      <c r="AC93" s="232"/>
      <c r="AD93" s="226"/>
      <c r="AE93" s="232"/>
      <c r="AF93" s="217"/>
      <c r="AG93" s="217"/>
      <c r="AH93" s="217"/>
      <c r="AI93" s="217"/>
      <c r="AJ93" s="232"/>
      <c r="AK93" s="178"/>
    </row>
    <row r="94" spans="1:37" s="101" customFormat="1" ht="12.75" customHeight="1" x14ac:dyDescent="0.2">
      <c r="A94" s="138"/>
      <c r="B94" s="351"/>
      <c r="C94" s="351"/>
      <c r="D94" s="351"/>
      <c r="E94" s="351"/>
      <c r="F94" s="351"/>
      <c r="G94" s="351"/>
      <c r="H94" s="351"/>
      <c r="I94" s="115"/>
      <c r="J94" s="115"/>
      <c r="K94" s="196"/>
      <c r="L94" s="196"/>
      <c r="M94" s="196"/>
      <c r="N94" s="196"/>
      <c r="O94" s="196"/>
      <c r="P94" s="351"/>
      <c r="Q94" s="351"/>
      <c r="R94" s="351"/>
      <c r="S94" s="177"/>
      <c r="T94" s="186"/>
      <c r="U94" s="139"/>
      <c r="V94" s="154"/>
      <c r="W94" s="170"/>
      <c r="X94" s="633" t="str">
        <f t="shared" si="23"/>
        <v>West Berkshire</v>
      </c>
      <c r="Y94" s="406" t="e">
        <f t="shared" si="24"/>
        <v>#N/A</v>
      </c>
      <c r="Z94" s="406" t="e">
        <f t="shared" si="22"/>
        <v>#N/A</v>
      </c>
      <c r="AA94" s="399"/>
      <c r="AB94" s="232"/>
      <c r="AC94" s="232"/>
      <c r="AD94" s="226"/>
      <c r="AE94" s="232"/>
      <c r="AF94" s="217"/>
      <c r="AG94" s="217"/>
      <c r="AH94" s="217"/>
      <c r="AI94" s="217"/>
      <c r="AJ94" s="232"/>
      <c r="AK94" s="178"/>
    </row>
    <row r="95" spans="1:37" s="101" customFormat="1" ht="12.75" customHeight="1" x14ac:dyDescent="0.2">
      <c r="A95" s="138"/>
      <c r="B95" s="351"/>
      <c r="C95" s="351"/>
      <c r="D95" s="351"/>
      <c r="E95" s="351"/>
      <c r="F95" s="351"/>
      <c r="G95" s="351"/>
      <c r="H95" s="351"/>
      <c r="I95" s="115"/>
      <c r="J95" s="115"/>
      <c r="K95" s="196"/>
      <c r="L95" s="196"/>
      <c r="M95" s="196"/>
      <c r="N95" s="196"/>
      <c r="O95" s="196"/>
      <c r="P95" s="351"/>
      <c r="Q95" s="351"/>
      <c r="R95" s="351"/>
      <c r="S95" s="177"/>
      <c r="T95" s="186"/>
      <c r="U95" s="139"/>
      <c r="V95" s="154"/>
      <c r="W95" s="170"/>
      <c r="X95" s="633" t="str">
        <f t="shared" si="23"/>
        <v>West Sussex</v>
      </c>
      <c r="Y95" s="406" t="e">
        <f t="shared" si="24"/>
        <v>#N/A</v>
      </c>
      <c r="Z95" s="406" t="e">
        <f t="shared" si="22"/>
        <v>#N/A</v>
      </c>
      <c r="AA95" s="399"/>
      <c r="AB95" s="232"/>
      <c r="AC95" s="232"/>
      <c r="AD95" s="226"/>
      <c r="AE95" s="232"/>
      <c r="AF95" s="232"/>
      <c r="AG95" s="232"/>
      <c r="AH95" s="217"/>
      <c r="AI95" s="217"/>
      <c r="AJ95" s="232"/>
      <c r="AK95" s="178"/>
    </row>
    <row r="96" spans="1:37" s="101" customFormat="1" ht="12.75" customHeight="1" x14ac:dyDescent="0.2">
      <c r="A96" s="138"/>
      <c r="B96" s="351"/>
      <c r="C96" s="351"/>
      <c r="D96" s="351"/>
      <c r="E96" s="351"/>
      <c r="F96" s="351"/>
      <c r="G96" s="351"/>
      <c r="H96" s="351"/>
      <c r="I96" s="115"/>
      <c r="J96" s="115"/>
      <c r="K96" s="196"/>
      <c r="L96" s="196"/>
      <c r="M96" s="196"/>
      <c r="N96" s="196"/>
      <c r="O96" s="196"/>
      <c r="P96" s="351"/>
      <c r="Q96" s="351"/>
      <c r="R96" s="351"/>
      <c r="S96" s="177"/>
      <c r="T96" s="186"/>
      <c r="U96" s="139"/>
      <c r="V96" s="154"/>
      <c r="W96" s="170"/>
      <c r="X96" s="633" t="str">
        <f t="shared" si="23"/>
        <v>Windsor &amp; Maidenhead</v>
      </c>
      <c r="Y96" s="406" t="e">
        <f t="shared" si="24"/>
        <v>#N/A</v>
      </c>
      <c r="Z96" s="406" t="e">
        <f t="shared" si="22"/>
        <v>#N/A</v>
      </c>
      <c r="AA96" s="399"/>
      <c r="AB96" s="232"/>
      <c r="AC96" s="232"/>
      <c r="AD96" s="226"/>
      <c r="AE96" s="232"/>
      <c r="AF96" s="232"/>
      <c r="AG96" s="232"/>
      <c r="AH96" s="217"/>
      <c r="AI96" s="217"/>
      <c r="AJ96" s="232"/>
      <c r="AK96" s="178"/>
    </row>
    <row r="97" spans="1:46" s="101" customFormat="1" ht="12.75" customHeight="1" x14ac:dyDescent="0.2">
      <c r="A97" s="138"/>
      <c r="B97" s="351"/>
      <c r="C97" s="351"/>
      <c r="D97" s="351"/>
      <c r="E97" s="351"/>
      <c r="F97" s="351"/>
      <c r="G97" s="351"/>
      <c r="H97" s="351"/>
      <c r="I97" s="115"/>
      <c r="J97" s="115"/>
      <c r="K97" s="196"/>
      <c r="L97" s="196"/>
      <c r="M97" s="196"/>
      <c r="N97" s="196"/>
      <c r="O97" s="196"/>
      <c r="P97" s="351"/>
      <c r="Q97" s="351"/>
      <c r="R97" s="351"/>
      <c r="S97" s="177"/>
      <c r="T97" s="190"/>
      <c r="U97" s="139"/>
      <c r="V97" s="154"/>
      <c r="W97" s="170"/>
      <c r="X97" s="633" t="str">
        <f t="shared" si="23"/>
        <v>Wokingham</v>
      </c>
      <c r="Y97" s="406" t="e">
        <f t="shared" si="24"/>
        <v>#N/A</v>
      </c>
      <c r="Z97" s="406" t="e">
        <f t="shared" si="22"/>
        <v>#N/A</v>
      </c>
      <c r="AA97" s="399"/>
      <c r="AB97" s="232"/>
      <c r="AC97" s="232"/>
      <c r="AD97" s="226"/>
      <c r="AE97" s="232"/>
      <c r="AF97" s="232"/>
      <c r="AG97" s="232"/>
      <c r="AH97" s="217"/>
      <c r="AI97" s="217"/>
      <c r="AJ97" s="232"/>
      <c r="AK97" s="178"/>
    </row>
    <row r="98" spans="1:46" s="101" customFormat="1" ht="12.75" customHeight="1" x14ac:dyDescent="0.2">
      <c r="A98" s="138"/>
      <c r="B98" s="351"/>
      <c r="C98" s="351"/>
      <c r="D98" s="351"/>
      <c r="E98" s="351"/>
      <c r="F98" s="351"/>
      <c r="G98" s="351"/>
      <c r="H98" s="351"/>
      <c r="I98" s="115"/>
      <c r="J98" s="115"/>
      <c r="K98" s="196"/>
      <c r="L98" s="196"/>
      <c r="M98" s="196"/>
      <c r="N98" s="196"/>
      <c r="O98" s="196"/>
      <c r="P98" s="351"/>
      <c r="Q98" s="351"/>
      <c r="R98" s="351"/>
      <c r="S98" s="177"/>
      <c r="T98" s="190"/>
      <c r="U98" s="139"/>
      <c r="V98" s="154"/>
      <c r="W98" s="170"/>
      <c r="X98" s="633" t="str">
        <f>B31</f>
        <v>South East</v>
      </c>
      <c r="Y98" s="406" t="e">
        <f t="shared" si="24"/>
        <v>#N/A</v>
      </c>
      <c r="Z98" s="406" t="e">
        <f t="shared" si="22"/>
        <v>#N/A</v>
      </c>
      <c r="AA98" s="399"/>
      <c r="AB98" s="232"/>
      <c r="AC98" s="232"/>
      <c r="AD98" s="226"/>
      <c r="AE98" s="232"/>
      <c r="AF98" s="232"/>
      <c r="AG98" s="232"/>
      <c r="AH98" s="217"/>
      <c r="AI98" s="217"/>
      <c r="AJ98" s="232"/>
      <c r="AK98" s="178"/>
    </row>
    <row r="99" spans="1:46" s="101" customFormat="1" ht="11.25" customHeight="1" x14ac:dyDescent="0.2">
      <c r="A99" s="324"/>
      <c r="B99" s="351"/>
      <c r="C99" s="351"/>
      <c r="D99" s="351"/>
      <c r="E99" s="351"/>
      <c r="F99" s="351"/>
      <c r="G99" s="351"/>
      <c r="H99" s="351"/>
      <c r="I99" s="115"/>
      <c r="J99" s="115"/>
      <c r="K99" s="188"/>
      <c r="L99" s="188"/>
      <c r="M99" s="196"/>
      <c r="N99" s="196"/>
      <c r="O99" s="196"/>
      <c r="P99" s="351"/>
      <c r="Q99" s="351"/>
      <c r="R99" s="351"/>
      <c r="S99" s="177"/>
      <c r="T99" s="190"/>
      <c r="U99" s="139"/>
      <c r="V99" s="154"/>
      <c r="W99" s="170"/>
      <c r="X99" s="633" t="str">
        <f>B32</f>
        <v>England</v>
      </c>
      <c r="Y99" s="406" t="e">
        <f t="shared" si="24"/>
        <v>#N/A</v>
      </c>
      <c r="Z99" s="406" t="e">
        <f t="shared" si="22"/>
        <v>#N/A</v>
      </c>
      <c r="AA99" s="399"/>
      <c r="AB99" s="232"/>
      <c r="AC99" s="232"/>
      <c r="AD99" s="226"/>
      <c r="AE99" s="232"/>
      <c r="AF99" s="232"/>
      <c r="AG99" s="232"/>
      <c r="AH99" s="217"/>
      <c r="AI99" s="217"/>
      <c r="AJ99" s="232"/>
      <c r="AK99" s="178"/>
    </row>
    <row r="100" spans="1:46" s="88" customFormat="1" ht="42" customHeight="1" x14ac:dyDescent="0.2">
      <c r="A100" s="249"/>
      <c r="B100" s="351"/>
      <c r="C100" s="351"/>
      <c r="D100" s="351"/>
      <c r="E100" s="351"/>
      <c r="F100" s="351"/>
      <c r="G100" s="351"/>
      <c r="H100" s="351"/>
      <c r="I100" s="357"/>
      <c r="J100" s="192"/>
      <c r="K100" s="192"/>
      <c r="L100" s="192"/>
      <c r="M100" s="196"/>
      <c r="N100" s="196"/>
      <c r="O100" s="192"/>
      <c r="P100" s="192"/>
      <c r="Q100" s="151"/>
      <c r="R100" s="192"/>
      <c r="S100" s="192"/>
      <c r="T100" s="192"/>
      <c r="U100" s="134"/>
      <c r="V100" s="152"/>
      <c r="W100" s="168"/>
      <c r="AC100" s="224"/>
      <c r="AD100" s="226"/>
      <c r="AE100" s="210"/>
      <c r="AF100" s="210"/>
      <c r="AG100" s="210"/>
      <c r="AJ100" s="210"/>
      <c r="AK100" s="179"/>
    </row>
    <row r="101" spans="1:46" s="88" customFormat="1" ht="42" customHeight="1" x14ac:dyDescent="0.2">
      <c r="A101" s="249"/>
      <c r="B101" s="351"/>
      <c r="C101" s="351"/>
      <c r="D101" s="351"/>
      <c r="E101" s="351"/>
      <c r="F101" s="351"/>
      <c r="G101" s="351"/>
      <c r="H101" s="351"/>
      <c r="I101" s="357"/>
      <c r="J101" s="192"/>
      <c r="K101" s="192"/>
      <c r="L101" s="192"/>
      <c r="M101" s="196"/>
      <c r="N101" s="196"/>
      <c r="O101" s="192"/>
      <c r="P101" s="192"/>
      <c r="Q101" s="151"/>
      <c r="R101" s="192"/>
      <c r="S101" s="192"/>
      <c r="T101" s="192"/>
      <c r="U101" s="134"/>
      <c r="V101" s="152"/>
      <c r="W101" s="168"/>
      <c r="Y101" s="217"/>
      <c r="AD101" s="226"/>
      <c r="AE101" s="210"/>
      <c r="AF101" s="210"/>
      <c r="AG101" s="210"/>
      <c r="AJ101" s="210"/>
      <c r="AK101" s="179"/>
    </row>
    <row r="102" spans="1:46" s="88" customFormat="1" ht="33" customHeight="1" x14ac:dyDescent="0.2">
      <c r="A102" s="249"/>
      <c r="B102" s="357"/>
      <c r="C102" s="357"/>
      <c r="D102" s="357"/>
      <c r="E102" s="357"/>
      <c r="F102" s="357"/>
      <c r="G102" s="357"/>
      <c r="H102" s="357"/>
      <c r="I102" s="357"/>
      <c r="J102" s="192"/>
      <c r="K102" s="192"/>
      <c r="L102" s="192"/>
      <c r="M102" s="192"/>
      <c r="N102" s="192"/>
      <c r="O102" s="192"/>
      <c r="P102" s="192"/>
      <c r="Q102" s="151"/>
      <c r="R102" s="192"/>
      <c r="S102" s="192"/>
      <c r="T102" s="192"/>
      <c r="U102" s="134"/>
      <c r="V102" s="152"/>
      <c r="W102" s="168"/>
      <c r="Y102" s="217"/>
      <c r="AD102" s="226"/>
      <c r="AE102" s="210"/>
      <c r="AF102" s="210"/>
      <c r="AG102" s="210"/>
      <c r="AJ102" s="210"/>
      <c r="AK102" s="179"/>
    </row>
    <row r="103" spans="1:46" s="88" customFormat="1" ht="7.5" customHeight="1" x14ac:dyDescent="0.2">
      <c r="A103" s="135"/>
      <c r="B103" s="18"/>
      <c r="C103" s="18"/>
      <c r="D103" s="17"/>
      <c r="E103" s="17"/>
      <c r="F103" s="17"/>
      <c r="G103" s="17"/>
      <c r="H103" s="17"/>
      <c r="I103" s="17"/>
      <c r="J103" s="13"/>
      <c r="K103" s="19"/>
      <c r="L103" s="19"/>
      <c r="M103" s="19"/>
      <c r="N103" s="19"/>
      <c r="O103" s="19"/>
      <c r="P103" s="19"/>
      <c r="Q103" s="19"/>
      <c r="R103" s="19"/>
      <c r="S103" s="19"/>
      <c r="T103" s="20"/>
      <c r="U103" s="134"/>
      <c r="V103" s="152"/>
      <c r="W103" s="168"/>
      <c r="Y103" s="217"/>
      <c r="AJ103" s="210"/>
      <c r="AK103" s="175"/>
      <c r="AL103" s="80"/>
      <c r="AM103" s="80"/>
      <c r="AN103" s="80"/>
      <c r="AO103" s="80"/>
      <c r="AP103" s="80"/>
      <c r="AQ103" s="80"/>
      <c r="AR103" s="80"/>
    </row>
    <row r="104" spans="1:46" s="88" customFormat="1" ht="15" customHeight="1" x14ac:dyDescent="0.2">
      <c r="A104" s="1010"/>
      <c r="B104" s="1018"/>
      <c r="C104" s="1018"/>
      <c r="D104" s="1018"/>
      <c r="E104" s="1018"/>
      <c r="F104" s="1018"/>
      <c r="G104" s="1018"/>
      <c r="H104" s="1018"/>
      <c r="I104" s="1018"/>
      <c r="J104" s="1018"/>
      <c r="K104" s="1018"/>
      <c r="L104" s="1018"/>
      <c r="M104" s="1018"/>
      <c r="N104" s="1018"/>
      <c r="O104" s="1018"/>
      <c r="P104" s="1018"/>
      <c r="Q104" s="1018"/>
      <c r="R104" s="1018"/>
      <c r="S104" s="1018"/>
      <c r="T104" s="1018"/>
      <c r="U104" s="1019"/>
      <c r="V104" s="152"/>
      <c r="W104" s="168"/>
      <c r="X104" s="215"/>
      <c r="Y104" s="215"/>
      <c r="AK104" s="179"/>
      <c r="AT104" s="80"/>
    </row>
    <row r="105" spans="1:46" s="88" customFormat="1" ht="11.25" customHeight="1" x14ac:dyDescent="0.2">
      <c r="A105" s="1020" t="str">
        <f>Home!$A$35</f>
        <v>LA's provide quarterly data on the condition that it is used by the benchmarking group for internal reporting only. Please DO NOT share other LA's data with any external partners or the public</v>
      </c>
      <c r="B105" s="1021"/>
      <c r="C105" s="1021"/>
      <c r="D105" s="1021"/>
      <c r="E105" s="1021"/>
      <c r="F105" s="1021"/>
      <c r="G105" s="1021"/>
      <c r="H105" s="1021"/>
      <c r="I105" s="1022"/>
      <c r="J105" s="1021"/>
      <c r="K105" s="1021"/>
      <c r="L105" s="1021"/>
      <c r="M105" s="1021"/>
      <c r="N105" s="1021"/>
      <c r="O105" s="1021"/>
      <c r="P105" s="1021"/>
      <c r="Q105" s="1021"/>
      <c r="R105" s="1021"/>
      <c r="S105" s="1022"/>
      <c r="T105" s="1021"/>
      <c r="U105" s="1023"/>
      <c r="V105" s="152"/>
      <c r="W105" s="168"/>
      <c r="X105" s="215"/>
      <c r="Y105" s="215"/>
      <c r="AJ105" s="210"/>
      <c r="AK105" s="178"/>
      <c r="AL105" s="101"/>
      <c r="AT105" s="80"/>
    </row>
    <row r="106" spans="1:46" ht="11.25" customHeight="1" x14ac:dyDescent="0.2">
      <c r="A106" s="129"/>
      <c r="B106" s="130"/>
      <c r="C106" s="130"/>
      <c r="D106" s="130"/>
      <c r="E106" s="130"/>
      <c r="F106" s="130"/>
      <c r="G106" s="130"/>
      <c r="H106" s="130"/>
      <c r="I106" s="130"/>
      <c r="J106" s="131"/>
      <c r="K106" s="130"/>
      <c r="L106" s="130"/>
      <c r="M106" s="130"/>
      <c r="N106" s="130"/>
      <c r="O106" s="130"/>
      <c r="P106" s="130"/>
      <c r="Q106" s="130"/>
      <c r="R106" s="130"/>
      <c r="S106" s="130"/>
      <c r="T106" s="130"/>
      <c r="U106" s="132"/>
      <c r="V106" s="152"/>
      <c r="W106" s="168"/>
      <c r="X106" s="649"/>
      <c r="Y106" s="437"/>
      <c r="Z106" s="438"/>
      <c r="AA106" s="438"/>
      <c r="AB106" s="438"/>
      <c r="AC106" s="650"/>
      <c r="AD106" s="650"/>
      <c r="AJ106" s="210"/>
      <c r="AK106" s="175"/>
    </row>
    <row r="107" spans="1:46" s="82" customFormat="1" ht="15" customHeight="1" x14ac:dyDescent="0.2">
      <c r="A107" s="136"/>
      <c r="B107" s="1090" t="s">
        <v>139</v>
      </c>
      <c r="C107" s="1090"/>
      <c r="D107" s="1090"/>
      <c r="E107" s="1090"/>
      <c r="F107" s="1090"/>
      <c r="G107" s="1090"/>
      <c r="H107" s="1090"/>
      <c r="I107" s="1090"/>
      <c r="J107" s="70"/>
      <c r="K107" s="70"/>
      <c r="L107" s="70"/>
      <c r="M107" s="70"/>
      <c r="N107" s="70"/>
      <c r="O107" s="70"/>
      <c r="P107" s="70"/>
      <c r="Q107" s="70"/>
      <c r="R107" s="70"/>
      <c r="S107" s="70"/>
      <c r="T107" s="70"/>
      <c r="U107" s="137"/>
      <c r="V107" s="153"/>
      <c r="W107" s="169"/>
      <c r="X107" s="438"/>
      <c r="Y107" s="437"/>
      <c r="Z107" s="438"/>
      <c r="AA107" s="438"/>
      <c r="AB107" s="438"/>
      <c r="AC107" s="650"/>
      <c r="AD107" s="650"/>
      <c r="AE107" s="215"/>
      <c r="AF107" s="215"/>
      <c r="AG107" s="215"/>
      <c r="AH107" s="215"/>
      <c r="AI107" s="215"/>
      <c r="AJ107" s="215"/>
      <c r="AK107" s="176"/>
    </row>
    <row r="108" spans="1:46" ht="15" customHeight="1" x14ac:dyDescent="0.2">
      <c r="A108" s="135"/>
      <c r="B108" s="1090"/>
      <c r="C108" s="1090"/>
      <c r="D108" s="1090"/>
      <c r="E108" s="1090"/>
      <c r="F108" s="1090"/>
      <c r="G108" s="1090"/>
      <c r="H108" s="1090"/>
      <c r="I108" s="1090"/>
      <c r="J108" s="70"/>
      <c r="K108" s="70"/>
      <c r="L108" s="70"/>
      <c r="M108" s="70"/>
      <c r="N108" s="70"/>
      <c r="O108" s="70"/>
      <c r="P108" s="70"/>
      <c r="Q108" s="10"/>
      <c r="R108" s="70"/>
      <c r="S108" s="70"/>
      <c r="T108" s="70"/>
      <c r="U108" s="134"/>
      <c r="V108" s="152"/>
      <c r="W108" s="168"/>
      <c r="X108" s="438"/>
      <c r="Y108" s="1092" t="s">
        <v>658</v>
      </c>
      <c r="Z108" s="1093"/>
      <c r="AA108" s="1093"/>
      <c r="AB108" s="1093"/>
      <c r="AC108" s="1094"/>
      <c r="AD108" s="1093" t="s">
        <v>659</v>
      </c>
      <c r="AE108" s="1093"/>
      <c r="AF108" s="1093"/>
      <c r="AG108" s="1093"/>
      <c r="AH108" s="1095"/>
      <c r="AJ108" s="88"/>
      <c r="AK108" s="175"/>
    </row>
    <row r="109" spans="1:46" s="101" customFormat="1" ht="27" customHeight="1" x14ac:dyDescent="0.2">
      <c r="A109" s="138"/>
      <c r="B109" s="540" t="s">
        <v>215</v>
      </c>
      <c r="C109" s="97"/>
      <c r="D109" s="393">
        <f t="shared" ref="D109:F109" si="25">D8</f>
        <v>2014</v>
      </c>
      <c r="E109" s="393">
        <f t="shared" si="25"/>
        <v>2015</v>
      </c>
      <c r="F109" s="393">
        <f t="shared" si="25"/>
        <v>2016</v>
      </c>
      <c r="G109" s="393">
        <f>G8</f>
        <v>2017</v>
      </c>
      <c r="H109" s="394">
        <f>H8</f>
        <v>2018</v>
      </c>
      <c r="I109" s="115"/>
      <c r="J109" s="115"/>
      <c r="K109" s="62"/>
      <c r="L109" s="62"/>
      <c r="M109" s="62"/>
      <c r="N109" s="62"/>
      <c r="O109" s="62"/>
      <c r="P109" s="538"/>
      <c r="Q109" s="538"/>
      <c r="R109" s="177"/>
      <c r="S109" s="177"/>
      <c r="T109" s="539"/>
      <c r="U109" s="139"/>
      <c r="V109" s="154"/>
      <c r="W109" s="170"/>
      <c r="X109" s="491"/>
      <c r="Y109" s="534">
        <f>D109</f>
        <v>2014</v>
      </c>
      <c r="Z109" s="534">
        <f t="shared" ref="Z109" si="26">E109</f>
        <v>2015</v>
      </c>
      <c r="AA109" s="534">
        <f t="shared" ref="AA109" si="27">F109</f>
        <v>2016</v>
      </c>
      <c r="AB109" s="534">
        <f t="shared" ref="AB109" si="28">G109</f>
        <v>2017</v>
      </c>
      <c r="AC109" s="635">
        <f t="shared" ref="AC109" si="29">H109</f>
        <v>2018</v>
      </c>
      <c r="AD109" s="638">
        <f>Y109</f>
        <v>2014</v>
      </c>
      <c r="AE109" s="534">
        <f>Z109</f>
        <v>2015</v>
      </c>
      <c r="AF109" s="534">
        <f>AA109</f>
        <v>2016</v>
      </c>
      <c r="AG109" s="534">
        <f>AB109</f>
        <v>2017</v>
      </c>
      <c r="AH109" s="534">
        <f>AC109</f>
        <v>2018</v>
      </c>
      <c r="AI109" s="217"/>
      <c r="AJ109" s="217"/>
      <c r="AK109" s="178"/>
    </row>
    <row r="110" spans="1:46" s="101" customFormat="1" ht="12.75" customHeight="1" x14ac:dyDescent="0.2">
      <c r="A110" s="533">
        <f>VLOOKUP(B110,Sheet1!$B$4:$C$25,2,FALSE)</f>
        <v>0</v>
      </c>
      <c r="B110" s="112" t="str">
        <f>B9</f>
        <v>Bracknell Forest</v>
      </c>
      <c r="C110" s="97"/>
      <c r="D110" s="182" t="e">
        <f t="shared" ref="D110" si="30">IF(AD110&gt;0,Y110/AD110,NA())</f>
        <v>#N/A</v>
      </c>
      <c r="E110" s="182">
        <f t="shared" ref="E110" si="31">IF(AE110&gt;0,Z110/AE110,NA())</f>
        <v>0.99079754601226999</v>
      </c>
      <c r="F110" s="182">
        <f t="shared" ref="F110" si="32">IF(AF110&gt;0,AA110/AF110,NA())</f>
        <v>0.96542311191992725</v>
      </c>
      <c r="G110" s="182">
        <f t="shared" ref="G110" si="33">IF(AG110&gt;0,AB110/AG110,NA())</f>
        <v>0.89727011494252873</v>
      </c>
      <c r="H110" s="184">
        <f>IF(AH110&gt;0,AC110/AH110,NA())</f>
        <v>0.90479041916167668</v>
      </c>
      <c r="I110" s="115"/>
      <c r="J110" s="115"/>
      <c r="K110" s="186"/>
      <c r="L110" s="186"/>
      <c r="M110" s="186"/>
      <c r="N110" s="186"/>
      <c r="O110" s="186"/>
      <c r="P110" s="186"/>
      <c r="Q110" s="187"/>
      <c r="R110" s="177"/>
      <c r="S110" s="177"/>
      <c r="T110" s="186"/>
      <c r="U110" s="139"/>
      <c r="V110" s="154"/>
      <c r="W110" s="170"/>
      <c r="X110" s="491" t="str">
        <f>B110</f>
        <v>Bracknell Forest</v>
      </c>
      <c r="Y110" s="424">
        <f>IF(Year1_Bracknell_Forest Year1_Assessments_within45days="","",Year1_Bracknell_Forest Year1_Assessments_within45days)</f>
        <v>0</v>
      </c>
      <c r="Z110" s="424">
        <f>IF(Year2_Bracknell_Forest Year2_Assessments_within45days="","",Year2_Bracknell_Forest Year2_Assessments_within45days)</f>
        <v>969</v>
      </c>
      <c r="AA110" s="424">
        <f>IF(Year3_Bracknell_Forest Year3_Assessments_within45days="","",Year3_Bracknell_Forest Year3_Assessments_within45days)</f>
        <v>1061</v>
      </c>
      <c r="AB110" s="424">
        <f>IF(Year4_Bracknell_Forest Year4_Assessments_within45days="","",Year4_Bracknell_Forest Year4_Assessments_within45days)</f>
        <v>1249</v>
      </c>
      <c r="AC110" s="634">
        <f>IF(Year5_Bracknell_Forest Year5_Assessments_within45days="","",Year5_Bracknell_Forest Year5_Assessments_within45days)</f>
        <v>1511</v>
      </c>
      <c r="AD110" s="638">
        <f>IF(Year1_Bracknell_Forest Year1_Continuous_assessments="","",Year1_Bracknell_Forest Year1_Continuous_assessments)</f>
        <v>0</v>
      </c>
      <c r="AE110" s="534">
        <f>IF(Year2_Bracknell_Forest Year2_Continuous_assessments="","",Year2_Bracknell_Forest Year2_Continuous_assessments)</f>
        <v>978</v>
      </c>
      <c r="AF110" s="534">
        <f>IF(Year3_Bracknell_Forest Year3_Continuous_assessments="","",Year3_Bracknell_Forest Year3_Continuous_assessments)</f>
        <v>1099</v>
      </c>
      <c r="AG110" s="534">
        <f>IF(Year4_Bracknell_Forest Year4_Continuous_assessments="","",Year4_Bracknell_Forest Year4_Continuous_assessments)</f>
        <v>1392</v>
      </c>
      <c r="AH110" s="534">
        <f>IF(Year5_Bracknell_Forest Year5_Continuous_assessments="","",Year5_Bracknell_Forest Year5_Continuous_assessments)</f>
        <v>1670</v>
      </c>
      <c r="AI110" s="217"/>
      <c r="AJ110" s="217"/>
      <c r="AK110" s="178"/>
    </row>
    <row r="111" spans="1:46" s="101" customFormat="1" ht="12.75" customHeight="1" x14ac:dyDescent="0.2">
      <c r="A111" s="533">
        <f>VLOOKUP(B111,Sheet1!$B$4:$C$25,2,FALSE)</f>
        <v>0</v>
      </c>
      <c r="B111" s="112" t="str">
        <f t="shared" ref="B111:B132" si="34">B10</f>
        <v>Brighton &amp; Hove</v>
      </c>
      <c r="C111" s="97"/>
      <c r="D111" s="182" t="e">
        <f t="shared" ref="D111:D133" si="35">IF(AD111&gt;0,Y111/AD111,NA())</f>
        <v>#N/A</v>
      </c>
      <c r="E111" s="182">
        <f t="shared" ref="E111:E133" si="36">IF(AE111&gt;0,Z111/AE111,NA())</f>
        <v>0.53104693140794224</v>
      </c>
      <c r="F111" s="182">
        <f t="shared" ref="F111:F133" si="37">IF(AF111&gt;0,AA111/AF111,NA())</f>
        <v>0.48814504881450488</v>
      </c>
      <c r="G111" s="182">
        <f t="shared" ref="G111:G133" si="38">IF(AG111&gt;0,AB111/AG111,NA())</f>
        <v>0.70331125827814567</v>
      </c>
      <c r="H111" s="184">
        <f t="shared" ref="H111:H133" si="39">IF(AH111&gt;0,AC111/AH111,NA())</f>
        <v>0.88855979266938168</v>
      </c>
      <c r="I111" s="115"/>
      <c r="J111" s="115"/>
      <c r="K111" s="186"/>
      <c r="L111" s="186"/>
      <c r="M111" s="186"/>
      <c r="N111" s="186"/>
      <c r="O111" s="186"/>
      <c r="P111" s="186"/>
      <c r="Q111" s="187"/>
      <c r="R111" s="177"/>
      <c r="S111" s="177"/>
      <c r="T111" s="186"/>
      <c r="U111" s="139"/>
      <c r="V111" s="154"/>
      <c r="W111" s="170"/>
      <c r="X111" s="491" t="str">
        <f t="shared" ref="X111:X133" si="40">B111</f>
        <v>Brighton &amp; Hove</v>
      </c>
      <c r="Y111" s="424">
        <f>IF(Year1_Brighton_Hove Year1_Assessments_within45days="","",Year1_Brighton_Hove Year1_Assessments_within45days)</f>
        <v>0</v>
      </c>
      <c r="Z111" s="424">
        <f>IF(Year2_Brighton_Hove Year2_Assessments_within45days="","",Year2_Brighton_Hove Year2_Assessments_within45days)</f>
        <v>1471</v>
      </c>
      <c r="AA111" s="424">
        <f>IF(Year3_Brighton_Hove Year3_Assessments_within45days="","",Year3_Brighton_Hove Year3_Assessments_within45days)</f>
        <v>1400</v>
      </c>
      <c r="AB111" s="424">
        <f>IF(Year4_Brighton_Hove Year4_Assessments_within45days="","",Year4_Brighton_Hove Year4_Assessments_within45days)</f>
        <v>2124</v>
      </c>
      <c r="AC111" s="634">
        <f>IF(Year5_Brighton_Hove Year5_Assessments_within45days="","",Year5_Brighton_Hove Year5_Assessments_within45days)</f>
        <v>2400</v>
      </c>
      <c r="AD111" s="638">
        <f>IF(Year1_Brighton_Hove Year1_Continuous_assessments="","",Year1_Brighton_Hove Year1_Continuous_assessments)</f>
        <v>0</v>
      </c>
      <c r="AE111" s="534">
        <f>IF(Year2_Brighton_Hove Year2_Continuous_assessments="","",Year2_Brighton_Hove Year2_Continuous_assessments)</f>
        <v>2770</v>
      </c>
      <c r="AF111" s="534">
        <f>IF(Year3_Brighton_Hove Year3_Continuous_assessments="","",Year3_Brighton_Hove Year3_Continuous_assessments)</f>
        <v>2868</v>
      </c>
      <c r="AG111" s="534">
        <f>IF(Year4_Brighton_Hove Year4_Continuous_assessments="","",Year4_Brighton_Hove Year4_Continuous_assessments)</f>
        <v>3020</v>
      </c>
      <c r="AH111" s="534">
        <f>IF(Year5_Brighton_Hove Year5_Continuous_assessments="","",Year5_Brighton_Hove Year5_Continuous_assessments)</f>
        <v>2701</v>
      </c>
      <c r="AI111" s="217"/>
      <c r="AJ111" s="217"/>
      <c r="AK111" s="178"/>
    </row>
    <row r="112" spans="1:46" s="101" customFormat="1" ht="12.75" customHeight="1" x14ac:dyDescent="0.2">
      <c r="A112" s="533">
        <f>VLOOKUP(B112,Sheet1!$B$4:$C$25,2,FALSE)</f>
        <v>0</v>
      </c>
      <c r="B112" s="112" t="str">
        <f t="shared" si="34"/>
        <v>Buckinghamshire</v>
      </c>
      <c r="C112" s="97"/>
      <c r="D112" s="182" t="e">
        <f t="shared" si="35"/>
        <v>#N/A</v>
      </c>
      <c r="E112" s="182">
        <f t="shared" si="36"/>
        <v>0.82847896440129454</v>
      </c>
      <c r="F112" s="182">
        <f t="shared" si="37"/>
        <v>0.87296766124709668</v>
      </c>
      <c r="G112" s="182">
        <f t="shared" si="38"/>
        <v>0.92904191616766463</v>
      </c>
      <c r="H112" s="184">
        <f t="shared" si="39"/>
        <v>0.84317475496055461</v>
      </c>
      <c r="I112" s="115"/>
      <c r="J112" s="115"/>
      <c r="K112" s="186"/>
      <c r="L112" s="186"/>
      <c r="M112" s="186"/>
      <c r="N112" s="186"/>
      <c r="O112" s="186"/>
      <c r="P112" s="186"/>
      <c r="Q112" s="187"/>
      <c r="R112" s="177"/>
      <c r="S112" s="177"/>
      <c r="T112" s="186"/>
      <c r="U112" s="139"/>
      <c r="V112" s="154"/>
      <c r="W112" s="170"/>
      <c r="X112" s="491" t="str">
        <f t="shared" si="40"/>
        <v>Buckinghamshire</v>
      </c>
      <c r="Y112" s="424">
        <f>IF(Year1_Buckinghamshire Year1_Assessments_within45days="","",Year1_Buckinghamshire Year1_Assessments_within45days)</f>
        <v>0</v>
      </c>
      <c r="Z112" s="424">
        <f>IF(Year2_Buckinghamshire Year2_Assessments_within45days="","",Year2_Buckinghamshire Year2_Assessments_within45days)</f>
        <v>5120</v>
      </c>
      <c r="AA112" s="424">
        <f>IF(Year3_Buckinghamshire Year3_Assessments_within45days="","",Year3_Buckinghamshire Year3_Assessments_within45days)</f>
        <v>4886</v>
      </c>
      <c r="AB112" s="424">
        <f>IF(Year4_Buckinghamshire Year4_Assessments_within45days="","",Year4_Buckinghamshire Year4_Assessments_within45days)</f>
        <v>6206</v>
      </c>
      <c r="AC112" s="634">
        <f>IF(Year5_Buckinghamshire Year5_Assessments_within45days="","",Year5_Buckinghamshire Year5_Assessments_within45days)</f>
        <v>7054</v>
      </c>
      <c r="AD112" s="638">
        <f>IF(Year1_Buckinghamshire Year1_Continuous_assessments="","",Year1_Buckinghamshire Year1_Continuous_assessments)</f>
        <v>0</v>
      </c>
      <c r="AE112" s="534">
        <f>IF(Year2_Buckinghamshire Year2_Continuous_assessments="","",Year2_Buckinghamshire Year2_Continuous_assessments)</f>
        <v>6180</v>
      </c>
      <c r="AF112" s="534">
        <f>IF(Year3_Buckinghamshire Year3_Continuous_assessments="","",Year3_Buckinghamshire Year3_Continuous_assessments)</f>
        <v>5597</v>
      </c>
      <c r="AG112" s="534">
        <f>IF(Year4_Buckinghamshire Year4_Continuous_assessments="","",Year4_Buckinghamshire Year4_Continuous_assessments)</f>
        <v>6680</v>
      </c>
      <c r="AH112" s="534">
        <f>IF(Year5_Buckinghamshire Year5_Continuous_assessments="","",Year5_Buckinghamshire Year5_Continuous_assessments)</f>
        <v>8366</v>
      </c>
      <c r="AI112" s="217"/>
      <c r="AJ112" s="217"/>
      <c r="AK112" s="178"/>
    </row>
    <row r="113" spans="1:46" s="101" customFormat="1" ht="12.75" customHeight="1" x14ac:dyDescent="0.2">
      <c r="A113" s="533">
        <f>VLOOKUP(B113,Sheet1!$B$4:$C$25,2,FALSE)</f>
        <v>0</v>
      </c>
      <c r="B113" s="112" t="str">
        <f t="shared" si="34"/>
        <v>East Sussex</v>
      </c>
      <c r="C113" s="97"/>
      <c r="D113" s="182" t="e">
        <f t="shared" si="35"/>
        <v>#N/A</v>
      </c>
      <c r="E113" s="182">
        <f t="shared" si="36"/>
        <v>0.5167660208643815</v>
      </c>
      <c r="F113" s="182">
        <f t="shared" si="37"/>
        <v>0.53883299798792761</v>
      </c>
      <c r="G113" s="182">
        <f t="shared" si="38"/>
        <v>0.65892459433662109</v>
      </c>
      <c r="H113" s="184">
        <f t="shared" si="39"/>
        <v>0.6064245810055866</v>
      </c>
      <c r="I113" s="115"/>
      <c r="J113" s="115"/>
      <c r="K113" s="186"/>
      <c r="L113" s="186"/>
      <c r="M113" s="186"/>
      <c r="N113" s="186"/>
      <c r="O113" s="186"/>
      <c r="P113" s="186"/>
      <c r="Q113" s="187"/>
      <c r="R113" s="177"/>
      <c r="S113" s="177"/>
      <c r="T113" s="186"/>
      <c r="U113" s="139"/>
      <c r="V113" s="154"/>
      <c r="W113" s="170"/>
      <c r="X113" s="491" t="str">
        <f t="shared" si="40"/>
        <v>East Sussex</v>
      </c>
      <c r="Y113" s="424">
        <f>IF(Year1_East_Sussex Year1_Assessments_within45days="","",Year1_East_Sussex Year1_Assessments_within45days)</f>
        <v>0</v>
      </c>
      <c r="Z113" s="424">
        <f>IF(Year2_East_Sussex Year2_Assessments_within45days="","",Year2_East_Sussex Year2_Assessments_within45days)</f>
        <v>1387</v>
      </c>
      <c r="AA113" s="424">
        <f>IF(Year3_East_Sussex Year3_Assessments_within45days="","",Year3_East_Sussex Year3_Assessments_within45days)</f>
        <v>1339</v>
      </c>
      <c r="AB113" s="424">
        <f>IF(Year4_East_Sussex Year4_Assessments_within45days="","",Year4_East_Sussex Year4_Assessments_within45days)</f>
        <v>2071</v>
      </c>
      <c r="AC113" s="634">
        <f>IF(Year5_East_Sussex Year5_Assessments_within45days="","",Year5_East_Sussex Year5_Assessments_within45days)</f>
        <v>2171</v>
      </c>
      <c r="AD113" s="638">
        <f>IF(Year1_East_Sussex Year1_Continuous_assessments="","",Year1_East_Sussex Year1_Continuous_assessments)</f>
        <v>0</v>
      </c>
      <c r="AE113" s="534">
        <f>IF(Year2_East_Sussex Year2_Continuous_assessments="","",Year2_East_Sussex Year2_Continuous_assessments)</f>
        <v>2684</v>
      </c>
      <c r="AF113" s="534">
        <f>IF(Year3_East_Sussex Year3_Continuous_assessments="","",Year3_East_Sussex Year3_Continuous_assessments)</f>
        <v>2485</v>
      </c>
      <c r="AG113" s="534">
        <f>IF(Year4_East_Sussex Year4_Continuous_assessments="","",Year4_East_Sussex Year4_Continuous_assessments)</f>
        <v>3143</v>
      </c>
      <c r="AH113" s="534">
        <f>IF(Year5_East_Sussex Year5_Continuous_assessments="","",Year5_East_Sussex Year5_Continuous_assessments)</f>
        <v>3580</v>
      </c>
      <c r="AI113" s="217"/>
      <c r="AJ113" s="217"/>
      <c r="AK113" s="178"/>
    </row>
    <row r="114" spans="1:46" s="101" customFormat="1" ht="12.75" customHeight="1" x14ac:dyDescent="0.2">
      <c r="A114" s="533">
        <f>VLOOKUP(B114,Sheet1!$B$4:$C$25,2,FALSE)</f>
        <v>0</v>
      </c>
      <c r="B114" s="112" t="str">
        <f t="shared" si="34"/>
        <v>Hampshire</v>
      </c>
      <c r="C114" s="97"/>
      <c r="D114" s="182" t="e">
        <f t="shared" si="35"/>
        <v>#N/A</v>
      </c>
      <c r="E114" s="182">
        <f t="shared" si="36"/>
        <v>0.79404539073467473</v>
      </c>
      <c r="F114" s="182">
        <f t="shared" si="37"/>
        <v>0.88252318232827354</v>
      </c>
      <c r="G114" s="182">
        <f t="shared" si="38"/>
        <v>0.89637619071619379</v>
      </c>
      <c r="H114" s="184">
        <f t="shared" si="39"/>
        <v>0.91200453001132498</v>
      </c>
      <c r="I114" s="115"/>
      <c r="J114" s="115"/>
      <c r="K114" s="186"/>
      <c r="L114" s="186"/>
      <c r="M114" s="186"/>
      <c r="N114" s="186"/>
      <c r="O114" s="186"/>
      <c r="P114" s="186"/>
      <c r="Q114" s="187"/>
      <c r="R114" s="177"/>
      <c r="S114" s="177"/>
      <c r="T114" s="186"/>
      <c r="U114" s="139"/>
      <c r="V114" s="154"/>
      <c r="W114" s="170"/>
      <c r="X114" s="491" t="str">
        <f t="shared" si="40"/>
        <v>Hampshire</v>
      </c>
      <c r="Y114" s="424">
        <f>IF(Year1_Hampshire Year1_Assessments_within45days="","",Year1_Hampshire Year1_Assessments_within45days)</f>
        <v>0</v>
      </c>
      <c r="Z114" s="424">
        <f>IF(Year2_Hampshire Year2_Assessments_within45days="","",Year2_Hampshire Year2_Assessments_within45days)</f>
        <v>13575</v>
      </c>
      <c r="AA114" s="424">
        <f>IF(Year3_Hampshire Year3_Assessments_within45days="","",Year3_Hampshire Year3_Assessments_within45days)</f>
        <v>14942</v>
      </c>
      <c r="AB114" s="424">
        <f>IF(Year4_Hampshire Year4_Assessments_within45days="","",Year4_Hampshire Year4_Assessments_within45days)</f>
        <v>17785</v>
      </c>
      <c r="AC114" s="634">
        <f>IF(Year5_Hampshire Year5_Assessments_within45days="","",Year5_Hampshire Year5_Assessments_within45days)</f>
        <v>16106</v>
      </c>
      <c r="AD114" s="638">
        <f>IF(Year1_Hampshire Year1_Continuous_assessments="","",Year1_Hampshire Year1_Continuous_assessments)</f>
        <v>0</v>
      </c>
      <c r="AE114" s="534">
        <f>IF(Year2_Hampshire Year2_Continuous_assessments="","",Year2_Hampshire Year2_Continuous_assessments)</f>
        <v>17096</v>
      </c>
      <c r="AF114" s="534">
        <f>IF(Year3_Hampshire Year3_Continuous_assessments="","",Year3_Hampshire Year3_Continuous_assessments)</f>
        <v>16931</v>
      </c>
      <c r="AG114" s="534">
        <f>IF(Year4_Hampshire Year4_Continuous_assessments="","",Year4_Hampshire Year4_Continuous_assessments)</f>
        <v>19841</v>
      </c>
      <c r="AH114" s="534">
        <f>IF(Year5_Hampshire Year5_Continuous_assessments="","",Year5_Hampshire Year5_Continuous_assessments)</f>
        <v>17660</v>
      </c>
      <c r="AI114" s="217"/>
      <c r="AJ114" s="217"/>
      <c r="AK114" s="178"/>
    </row>
    <row r="115" spans="1:46" s="101" customFormat="1" ht="12.75" customHeight="1" x14ac:dyDescent="0.2">
      <c r="A115" s="533">
        <f>VLOOKUP(B115,Sheet1!$B$4:$C$25,2,FALSE)</f>
        <v>0</v>
      </c>
      <c r="B115" s="112" t="str">
        <f t="shared" si="34"/>
        <v>Isle of Wight</v>
      </c>
      <c r="C115" s="97"/>
      <c r="D115" s="182" t="e">
        <f t="shared" si="35"/>
        <v>#N/A</v>
      </c>
      <c r="E115" s="182">
        <f t="shared" si="36"/>
        <v>0.80292338709677424</v>
      </c>
      <c r="F115" s="182">
        <f t="shared" si="37"/>
        <v>0.86304801670146136</v>
      </c>
      <c r="G115" s="182">
        <f t="shared" si="38"/>
        <v>0.79189892233370496</v>
      </c>
      <c r="H115" s="184">
        <f t="shared" si="39"/>
        <v>0.86114221724524076</v>
      </c>
      <c r="I115" s="115"/>
      <c r="J115" s="115"/>
      <c r="K115" s="186"/>
      <c r="L115" s="186"/>
      <c r="M115" s="186"/>
      <c r="N115" s="186"/>
      <c r="O115" s="186"/>
      <c r="P115" s="186"/>
      <c r="Q115" s="187"/>
      <c r="R115" s="177"/>
      <c r="S115" s="177"/>
      <c r="T115" s="186"/>
      <c r="U115" s="139"/>
      <c r="V115" s="154"/>
      <c r="W115" s="170"/>
      <c r="X115" s="491" t="str">
        <f t="shared" si="40"/>
        <v>Isle of Wight</v>
      </c>
      <c r="Y115" s="424">
        <f>IF(Year1_Isle_of_Wight Year1_Assessments_within45days="","",Year1_Isle_of_Wight Year1_Assessments_within45days)</f>
        <v>0</v>
      </c>
      <c r="Z115" s="424">
        <f>IF(Year2_Isle_of_Wight Year2_Assessments_within45days="","",Year2_Isle_of_Wight Year2_Assessments_within45days)</f>
        <v>1593</v>
      </c>
      <c r="AA115" s="424">
        <f>IF(Year3_Isle_of_Wight Year3_Assessments_within45days="","",Year3_Isle_of_Wight Year3_Assessments_within45days)</f>
        <v>2067</v>
      </c>
      <c r="AB115" s="424">
        <f>IF(Year4_Isle_of_Wight Year4_Assessments_within45days="","",Year4_Isle_of_Wight Year4_Assessments_within45days)</f>
        <v>2131</v>
      </c>
      <c r="AC115" s="634">
        <f>IF(Year5_Isle_of_Wight Year5_Assessments_within45days="","",Year5_Isle_of_Wight Year5_Assessments_within45days)</f>
        <v>2307</v>
      </c>
      <c r="AD115" s="638">
        <f>IF(Year1_Isle_of_Wight Year1_Continuous_assessments="","",Year1_Isle_of_Wight Year1_Continuous_assessments)</f>
        <v>0</v>
      </c>
      <c r="AE115" s="534">
        <f>IF(Year2_Isle_of_Wight Year2_Continuous_assessments="","",Year2_Isle_of_Wight Year2_Continuous_assessments)</f>
        <v>1984</v>
      </c>
      <c r="AF115" s="534">
        <f>IF(Year3_Isle_of_Wight Year3_Continuous_assessments="","",Year3_Isle_of_Wight Year3_Continuous_assessments)</f>
        <v>2395</v>
      </c>
      <c r="AG115" s="534">
        <f>IF(Year4_Isle_of_Wight Year4_Continuous_assessments="","",Year4_Isle_of_Wight Year4_Continuous_assessments)</f>
        <v>2691</v>
      </c>
      <c r="AH115" s="534">
        <f>IF(Year5_Isle_of_Wight Year5_Continuous_assessments="","",Year5_Isle_of_Wight Year5_Continuous_assessments)</f>
        <v>2679</v>
      </c>
      <c r="AI115" s="217"/>
      <c r="AJ115" s="217"/>
      <c r="AK115" s="178"/>
      <c r="AT115" s="101" t="s">
        <v>104</v>
      </c>
    </row>
    <row r="116" spans="1:46" s="101" customFormat="1" ht="12.75" customHeight="1" x14ac:dyDescent="0.2">
      <c r="A116" s="533">
        <f>VLOOKUP(B116,Sheet1!$B$4:$C$25,2,FALSE)</f>
        <v>0</v>
      </c>
      <c r="B116" s="112" t="str">
        <f t="shared" si="34"/>
        <v>Kent</v>
      </c>
      <c r="C116" s="97"/>
      <c r="D116" s="182" t="e">
        <f t="shared" si="35"/>
        <v>#N/A</v>
      </c>
      <c r="E116" s="182">
        <f t="shared" si="36"/>
        <v>0.88577395266421977</v>
      </c>
      <c r="F116" s="182">
        <f t="shared" si="37"/>
        <v>0.91204379562043791</v>
      </c>
      <c r="G116" s="182">
        <f t="shared" si="38"/>
        <v>0.92209458633752905</v>
      </c>
      <c r="H116" s="184">
        <f t="shared" si="39"/>
        <v>0.86859297816964998</v>
      </c>
      <c r="I116" s="115"/>
      <c r="J116" s="115"/>
      <c r="K116" s="186"/>
      <c r="L116" s="186"/>
      <c r="M116" s="186"/>
      <c r="N116" s="186"/>
      <c r="O116" s="186"/>
      <c r="P116" s="186"/>
      <c r="Q116" s="187"/>
      <c r="R116" s="177"/>
      <c r="S116" s="177"/>
      <c r="T116" s="186"/>
      <c r="U116" s="139"/>
      <c r="V116" s="154"/>
      <c r="W116" s="170"/>
      <c r="X116" s="491" t="str">
        <f t="shared" si="40"/>
        <v>Kent</v>
      </c>
      <c r="Y116" s="424">
        <f>IF(Year1_Kent Year1_Assessments_within45days="","",Year1_Kent Year1_Assessments_within45days)</f>
        <v>0</v>
      </c>
      <c r="Z116" s="424">
        <f>IF(Year2_Kent Year2_Assessments_within45days="","",Year2_Kent Year2_Assessments_within45days)</f>
        <v>13997</v>
      </c>
      <c r="AA116" s="424">
        <f>IF(Year3_Kent Year3_Assessments_within45days="","",Year3_Kent Year3_Assessments_within45days)</f>
        <v>14994</v>
      </c>
      <c r="AB116" s="424">
        <f>IF(Year4_Kent Year4_Assessments_within45days="","",Year4_Kent Year4_Assessments_within45days)</f>
        <v>15091</v>
      </c>
      <c r="AC116" s="634">
        <f>IF(Year5_Kent Year5_Assessments_within45days="","",Year5_Kent Year5_Assessments_within45days)</f>
        <v>16353</v>
      </c>
      <c r="AD116" s="638">
        <f>IF(Year1_Kent Year1_Continuous_assessments="","",Year1_Kent Year1_Continuous_assessments)</f>
        <v>0</v>
      </c>
      <c r="AE116" s="534">
        <f>IF(Year2_Kent Year2_Continuous_assessments="","",Year2_Kent Year2_Continuous_assessments)</f>
        <v>15802</v>
      </c>
      <c r="AF116" s="534">
        <f>IF(Year3_Kent Year3_Continuous_assessments="","",Year3_Kent Year3_Continuous_assessments)</f>
        <v>16440</v>
      </c>
      <c r="AG116" s="534">
        <f>IF(Year4_Kent Year4_Continuous_assessments="","",Year4_Kent Year4_Continuous_assessments)</f>
        <v>16366</v>
      </c>
      <c r="AH116" s="534">
        <f>IF(Year5_Kent Year5_Continuous_assessments="","",Year5_Kent Year5_Continuous_assessments)</f>
        <v>18827</v>
      </c>
      <c r="AI116" s="217"/>
      <c r="AJ116" s="217"/>
      <c r="AK116" s="178"/>
    </row>
    <row r="117" spans="1:46" s="101" customFormat="1" ht="12.75" customHeight="1" x14ac:dyDescent="0.2">
      <c r="A117" s="533">
        <f>VLOOKUP(B117,Sheet1!$B$4:$C$25,2,FALSE)</f>
        <v>0</v>
      </c>
      <c r="B117" s="112" t="str">
        <f t="shared" si="34"/>
        <v>Medway</v>
      </c>
      <c r="C117" s="97"/>
      <c r="D117" s="182" t="e">
        <f t="shared" si="35"/>
        <v>#N/A</v>
      </c>
      <c r="E117" s="182">
        <f t="shared" si="36"/>
        <v>0.75371722087050552</v>
      </c>
      <c r="F117" s="182">
        <f t="shared" si="37"/>
        <v>0.83365446371226715</v>
      </c>
      <c r="G117" s="182">
        <f t="shared" si="38"/>
        <v>0.95848119233498941</v>
      </c>
      <c r="H117" s="184">
        <f t="shared" si="39"/>
        <v>0.85930649661219605</v>
      </c>
      <c r="I117" s="115"/>
      <c r="J117" s="115"/>
      <c r="K117" s="186"/>
      <c r="L117" s="186"/>
      <c r="M117" s="186"/>
      <c r="N117" s="186"/>
      <c r="O117" s="186"/>
      <c r="P117" s="186"/>
      <c r="Q117" s="187"/>
      <c r="R117" s="177"/>
      <c r="S117" s="177"/>
      <c r="T117" s="186"/>
      <c r="U117" s="139"/>
      <c r="V117" s="154"/>
      <c r="W117" s="170"/>
      <c r="X117" s="491" t="str">
        <f t="shared" si="40"/>
        <v>Medway</v>
      </c>
      <c r="Y117" s="424">
        <f>IF(Year1_Medway Year1_Assessments_within45days="","",Year1_Medway Year1_Assessments_within45days)</f>
        <v>0</v>
      </c>
      <c r="Z117" s="424">
        <f>IF(Year2_Medway Year2_Assessments_within45days="","",Year2_Medway Year2_Assessments_within45days)</f>
        <v>2788</v>
      </c>
      <c r="AA117" s="424">
        <f>IF(Year3_Medway Year3_Assessments_within45days="","",Year3_Medway Year3_Assessments_within45days)</f>
        <v>2596</v>
      </c>
      <c r="AB117" s="424">
        <f>IF(Year4_Medway Year4_Assessments_within45days="","",Year4_Medway Year4_Assessments_within45days)</f>
        <v>2701</v>
      </c>
      <c r="AC117" s="634">
        <f>IF(Year5_Medway Year5_Assessments_within45days="","",Year5_Medway Year5_Assessments_within45days)</f>
        <v>2156</v>
      </c>
      <c r="AD117" s="638">
        <f>IF(Year1_Medway Year1_Continuous_assessments="","",Year1_Medway Year1_Continuous_assessments)</f>
        <v>0</v>
      </c>
      <c r="AE117" s="534">
        <f>IF(Year2_Medway Year2_Continuous_assessments="","",Year2_Medway Year2_Continuous_assessments)</f>
        <v>3699</v>
      </c>
      <c r="AF117" s="534">
        <f>IF(Year3_Medway Year3_Continuous_assessments="","",Year3_Medway Year3_Continuous_assessments)</f>
        <v>3114</v>
      </c>
      <c r="AG117" s="534">
        <f>IF(Year4_Medway Year4_Continuous_assessments="","",Year4_Medway Year4_Continuous_assessments)</f>
        <v>2818</v>
      </c>
      <c r="AH117" s="534">
        <f>IF(Year5_Medway Year5_Continuous_assessments="","",Year5_Medway Year5_Continuous_assessments)</f>
        <v>2509</v>
      </c>
      <c r="AI117" s="217"/>
      <c r="AJ117" s="217"/>
      <c r="AK117" s="178"/>
    </row>
    <row r="118" spans="1:46" s="101" customFormat="1" ht="12.75" customHeight="1" x14ac:dyDescent="0.2">
      <c r="A118" s="533">
        <f>VLOOKUP(B118,Sheet1!$B$4:$C$25,2,FALSE)</f>
        <v>0</v>
      </c>
      <c r="B118" s="112" t="str">
        <f t="shared" si="34"/>
        <v>Milton Keynes</v>
      </c>
      <c r="C118" s="97"/>
      <c r="D118" s="182" t="e">
        <f t="shared" si="35"/>
        <v>#N/A</v>
      </c>
      <c r="E118" s="182">
        <f t="shared" si="36"/>
        <v>0.95950000000000002</v>
      </c>
      <c r="F118" s="182">
        <f t="shared" si="37"/>
        <v>0.93291806420699563</v>
      </c>
      <c r="G118" s="182">
        <f t="shared" si="38"/>
        <v>0.90186730234406043</v>
      </c>
      <c r="H118" s="184">
        <f t="shared" si="39"/>
        <v>0.87754179846362401</v>
      </c>
      <c r="I118" s="115"/>
      <c r="J118" s="115"/>
      <c r="K118" s="186"/>
      <c r="L118" s="186"/>
      <c r="M118" s="186"/>
      <c r="N118" s="186"/>
      <c r="O118" s="186"/>
      <c r="P118" s="186"/>
      <c r="Q118" s="187"/>
      <c r="R118" s="177"/>
      <c r="S118" s="177"/>
      <c r="T118" s="186"/>
      <c r="U118" s="139"/>
      <c r="V118" s="154"/>
      <c r="W118" s="170"/>
      <c r="X118" s="491" t="str">
        <f t="shared" si="40"/>
        <v>Milton Keynes</v>
      </c>
      <c r="Y118" s="424">
        <f>IF(Year1_Milton_Keynes Year1_Assessments_within45days="","",Year1_Milton_Keynes Year1_Assessments_within45days)</f>
        <v>0</v>
      </c>
      <c r="Z118" s="424">
        <f>IF(Year2_Milton_Keynes Year2_Assessments_within45days="","",Year2_Milton_Keynes Year2_Assessments_within45days)</f>
        <v>1919</v>
      </c>
      <c r="AA118" s="424">
        <f>IF(Year3_Milton_Keynes Year3_Assessments_within45days="","",Year3_Milton_Keynes Year3_Assessments_within45days)</f>
        <v>1947</v>
      </c>
      <c r="AB118" s="424">
        <f>IF(Year4_Milton_Keynes Year4_Assessments_within45days="","",Year4_Milton_Keynes Year4_Assessments_within45days)</f>
        <v>2270</v>
      </c>
      <c r="AC118" s="634">
        <f>IF(Year5_Milton_Keynes Year5_Assessments_within45days="","",Year5_Milton_Keynes Year5_Assessments_within45days)</f>
        <v>1942</v>
      </c>
      <c r="AD118" s="638">
        <f>IF(Year1_Milton_Keynes Year1_Continuous_assessments="","",Year1_Milton_Keynes Year1_Continuous_assessments)</f>
        <v>0</v>
      </c>
      <c r="AE118" s="534">
        <f>IF(Year2_Milton_Keynes Year2_Continuous_assessments="","",Year2_Milton_Keynes Year2_Continuous_assessments)</f>
        <v>2000</v>
      </c>
      <c r="AF118" s="534">
        <f>IF(Year3_Milton_Keynes Year3_Continuous_assessments="","",Year3_Milton_Keynes Year3_Continuous_assessments)</f>
        <v>2087</v>
      </c>
      <c r="AG118" s="534">
        <f>IF(Year4_Milton_Keynes Year4_Continuous_assessments="","",Year4_Milton_Keynes Year4_Continuous_assessments)</f>
        <v>2517</v>
      </c>
      <c r="AH118" s="534">
        <f>IF(Year5_Milton_Keynes Year5_Continuous_assessments="","",Year5_Milton_Keynes Year5_Continuous_assessments)</f>
        <v>2213</v>
      </c>
      <c r="AI118" s="217"/>
      <c r="AJ118" s="217"/>
      <c r="AK118" s="178"/>
    </row>
    <row r="119" spans="1:46" s="101" customFormat="1" ht="12.75" customHeight="1" x14ac:dyDescent="0.2">
      <c r="A119" s="533">
        <f>VLOOKUP(B119,Sheet1!$B$4:$C$25,2,FALSE)</f>
        <v>0</v>
      </c>
      <c r="B119" s="112" t="str">
        <f t="shared" si="34"/>
        <v>Oxfordshire</v>
      </c>
      <c r="C119" s="97"/>
      <c r="D119" s="182" t="e">
        <f t="shared" si="35"/>
        <v>#N/A</v>
      </c>
      <c r="E119" s="182">
        <f t="shared" si="36"/>
        <v>0.74807539155826919</v>
      </c>
      <c r="F119" s="182">
        <f t="shared" si="37"/>
        <v>0.6292603335750544</v>
      </c>
      <c r="G119" s="182">
        <f t="shared" si="38"/>
        <v>0.5178571428571429</v>
      </c>
      <c r="H119" s="184">
        <f t="shared" si="39"/>
        <v>0.51692573402417963</v>
      </c>
      <c r="I119" s="115"/>
      <c r="J119" s="115"/>
      <c r="K119" s="186"/>
      <c r="L119" s="186"/>
      <c r="M119" s="186"/>
      <c r="N119" s="186"/>
      <c r="O119" s="186"/>
      <c r="P119" s="186"/>
      <c r="Q119" s="187"/>
      <c r="R119" s="177"/>
      <c r="S119" s="177"/>
      <c r="T119" s="186"/>
      <c r="U119" s="139"/>
      <c r="V119" s="154"/>
      <c r="W119" s="170"/>
      <c r="X119" s="491" t="str">
        <f t="shared" si="40"/>
        <v>Oxfordshire</v>
      </c>
      <c r="Y119" s="424">
        <f>IF(Year1_Oxfordshire Year1_Assessments_within45days="","",Year1_Oxfordshire Year1_Assessments_within45days)</f>
        <v>0</v>
      </c>
      <c r="Z119" s="424">
        <f>IF(Year2_Oxfordshire Year2_Assessments_within45days="","",Year2_Oxfordshire Year2_Assessments_within45days)</f>
        <v>2818</v>
      </c>
      <c r="AA119" s="424">
        <f>IF(Year3_Oxfordshire Year3_Assessments_within45days="","",Year3_Oxfordshire Year3_Assessments_within45days)</f>
        <v>3471</v>
      </c>
      <c r="AB119" s="424">
        <f>IF(Year4_Oxfordshire Year4_Assessments_within45days="","",Year4_Oxfordshire Year4_Assessments_within45days)</f>
        <v>3480</v>
      </c>
      <c r="AC119" s="634">
        <f>IF(Year5_Oxfordshire Year5_Assessments_within45days="","",Year5_Oxfordshire Year5_Assessments_within45days)</f>
        <v>2993</v>
      </c>
      <c r="AD119" s="638">
        <f>IF(Year1_Oxfordshire Year1_Continuous_assessments="","",Year1_Oxfordshire Year1_Continuous_assessments)</f>
        <v>0</v>
      </c>
      <c r="AE119" s="534">
        <f>IF(Year2_Oxfordshire Year2_Continuous_assessments="","",Year2_Oxfordshire Year2_Continuous_assessments)</f>
        <v>3767</v>
      </c>
      <c r="AF119" s="534">
        <f>IF(Year3_Oxfordshire Year3_Continuous_assessments="","",Year3_Oxfordshire Year3_Continuous_assessments)</f>
        <v>5516</v>
      </c>
      <c r="AG119" s="534">
        <f>IF(Year4_Oxfordshire Year4_Continuous_assessments="","",Year4_Oxfordshire Year4_Continuous_assessments)</f>
        <v>6720</v>
      </c>
      <c r="AH119" s="534">
        <f>IF(Year5_Oxfordshire Year5_Continuous_assessments="","",Year5_Oxfordshire Year5_Continuous_assessments)</f>
        <v>5790</v>
      </c>
      <c r="AI119" s="217"/>
      <c r="AJ119" s="217"/>
      <c r="AK119" s="178"/>
    </row>
    <row r="120" spans="1:46" s="101" customFormat="1" ht="12.75" customHeight="1" x14ac:dyDescent="0.2">
      <c r="A120" s="533">
        <f>VLOOKUP(B120,Sheet1!$B$4:$C$25,2,FALSE)</f>
        <v>0</v>
      </c>
      <c r="B120" s="112" t="str">
        <f t="shared" si="34"/>
        <v>Portsmouth</v>
      </c>
      <c r="C120" s="97"/>
      <c r="D120" s="182" t="e">
        <f t="shared" si="35"/>
        <v>#N/A</v>
      </c>
      <c r="E120" s="182">
        <f t="shared" si="36"/>
        <v>0.91397109428768064</v>
      </c>
      <c r="F120" s="182">
        <f t="shared" si="37"/>
        <v>0.99516908212560384</v>
      </c>
      <c r="G120" s="182">
        <f t="shared" si="38"/>
        <v>0.94135593220338987</v>
      </c>
      <c r="H120" s="184">
        <f t="shared" si="39"/>
        <v>0.93573667711598751</v>
      </c>
      <c r="I120" s="115"/>
      <c r="J120" s="115"/>
      <c r="K120" s="186"/>
      <c r="L120" s="186"/>
      <c r="M120" s="186"/>
      <c r="N120" s="186"/>
      <c r="O120" s="186"/>
      <c r="P120" s="186"/>
      <c r="Q120" s="187"/>
      <c r="R120" s="177"/>
      <c r="S120" s="177"/>
      <c r="T120" s="186"/>
      <c r="U120" s="139"/>
      <c r="V120" s="154"/>
      <c r="W120" s="170"/>
      <c r="X120" s="491" t="str">
        <f t="shared" si="40"/>
        <v>Portsmouth</v>
      </c>
      <c r="Y120" s="424">
        <f>IF(Year1_Portsmouth Year1_Assessments_within45days="","",Year1_Portsmouth Year1_Assessments_within45days)</f>
        <v>0</v>
      </c>
      <c r="Z120" s="424">
        <f>IF(Year2_Portsmouth Year2_Assessments_within45days="","",Year2_Portsmouth Year2_Assessments_within45days)</f>
        <v>1328</v>
      </c>
      <c r="AA120" s="424">
        <f>IF(Year3_Portsmouth Year3_Assessments_within45days="","",Year3_Portsmouth Year3_Assessments_within45days)</f>
        <v>1854</v>
      </c>
      <c r="AB120" s="424">
        <f>IF(Year4_Portsmouth Year4_Assessments_within45days="","",Year4_Portsmouth Year4_Assessments_within45days)</f>
        <v>2777</v>
      </c>
      <c r="AC120" s="634">
        <f>IF(Year5_Portsmouth Year5_Assessments_within45days="","",Year5_Portsmouth Year5_Assessments_within45days)</f>
        <v>2985</v>
      </c>
      <c r="AD120" s="638">
        <f>IF(Year1_Portsmouth Year1_Continuous_assessments="","",Year1_Portsmouth Year1_Continuous_assessments)</f>
        <v>0</v>
      </c>
      <c r="AE120" s="534">
        <f>IF(Year2_Portsmouth Year2_Continuous_assessments="","",Year2_Portsmouth Year2_Continuous_assessments)</f>
        <v>1453</v>
      </c>
      <c r="AF120" s="534">
        <f>IF(Year3_Portsmouth Year3_Continuous_assessments="","",Year3_Portsmouth Year3_Continuous_assessments)</f>
        <v>1863</v>
      </c>
      <c r="AG120" s="534">
        <f>IF(Year4_Portsmouth Year4_Continuous_assessments="","",Year4_Portsmouth Year4_Continuous_assessments)</f>
        <v>2950</v>
      </c>
      <c r="AH120" s="534">
        <f>IF(Year5_Portsmouth Year5_Continuous_assessments="","",Year5_Portsmouth Year5_Continuous_assessments)</f>
        <v>3190</v>
      </c>
      <c r="AI120" s="217"/>
      <c r="AJ120" s="217"/>
      <c r="AK120" s="178"/>
    </row>
    <row r="121" spans="1:46" s="101" customFormat="1" ht="12.75" customHeight="1" x14ac:dyDescent="0.2">
      <c r="A121" s="533">
        <f>VLOOKUP(B121,Sheet1!$B$4:$C$25,2,FALSE)</f>
        <v>0</v>
      </c>
      <c r="B121" s="112" t="str">
        <f t="shared" si="34"/>
        <v>Reading</v>
      </c>
      <c r="C121" s="97"/>
      <c r="D121" s="182" t="e">
        <f t="shared" si="35"/>
        <v>#N/A</v>
      </c>
      <c r="E121" s="182">
        <f t="shared" si="36"/>
        <v>0.83792815371762741</v>
      </c>
      <c r="F121" s="182">
        <f t="shared" si="37"/>
        <v>0.8337171810225702</v>
      </c>
      <c r="G121" s="182">
        <f t="shared" si="38"/>
        <v>0.69847198641765706</v>
      </c>
      <c r="H121" s="184">
        <f t="shared" si="39"/>
        <v>0.86205661053385885</v>
      </c>
      <c r="I121" s="115"/>
      <c r="J121" s="115"/>
      <c r="K121" s="186"/>
      <c r="L121" s="186"/>
      <c r="M121" s="186"/>
      <c r="N121" s="186"/>
      <c r="O121" s="186"/>
      <c r="P121" s="186"/>
      <c r="Q121" s="187"/>
      <c r="R121" s="177"/>
      <c r="S121" s="177"/>
      <c r="T121" s="186"/>
      <c r="U121" s="139"/>
      <c r="V121" s="154"/>
      <c r="W121" s="170"/>
      <c r="X121" s="491" t="str">
        <f t="shared" si="40"/>
        <v>Reading</v>
      </c>
      <c r="Y121" s="424">
        <f>IF(Year1_Reading Year1_Assessments_within45days="","",Year1_Reading Year1_Assessments_within45days)</f>
        <v>0</v>
      </c>
      <c r="Z121" s="424">
        <f>IF(Year2_Reading Year2_Assessments_within45days="","",Year2_Reading Year2_Assessments_within45days)</f>
        <v>1003</v>
      </c>
      <c r="AA121" s="424">
        <f>IF(Year3_Reading Year3_Assessments_within45days="","",Year3_Reading Year3_Assessments_within45days)</f>
        <v>1810</v>
      </c>
      <c r="AB121" s="424">
        <f>IF(Year4_Reading Year4_Assessments_within45days="","",Year4_Reading Year4_Assessments_within45days)</f>
        <v>2057</v>
      </c>
      <c r="AC121" s="634">
        <f>IF(Year5_Reading Year5_Assessments_within45days="","",Year5_Reading Year5_Assessments_within45days)</f>
        <v>2406</v>
      </c>
      <c r="AD121" s="638">
        <f>IF(Year1_Reading Year1_Continuous_assessments="","",Year1_Reading Year1_Continuous_assessments)</f>
        <v>0</v>
      </c>
      <c r="AE121" s="534">
        <f>IF(Year2_Reading Year2_Continuous_assessments="","",Year2_Reading Year2_Continuous_assessments)</f>
        <v>1197</v>
      </c>
      <c r="AF121" s="534">
        <f>IF(Year3_Reading Year3_Continuous_assessments="","",Year3_Reading Year3_Continuous_assessments)</f>
        <v>2171</v>
      </c>
      <c r="AG121" s="534">
        <f>IF(Year4_Reading Year4_Continuous_assessments="","",Year4_Reading Year4_Continuous_assessments)</f>
        <v>2945</v>
      </c>
      <c r="AH121" s="534">
        <f>IF(Year5_Reading Year5_Continuous_assessments="","",Year5_Reading Year5_Continuous_assessments)</f>
        <v>2791</v>
      </c>
      <c r="AI121" s="217"/>
      <c r="AJ121" s="217"/>
      <c r="AK121" s="178"/>
    </row>
    <row r="122" spans="1:46" s="101" customFormat="1" ht="12.75" customHeight="1" x14ac:dyDescent="0.2">
      <c r="A122" s="533">
        <f>VLOOKUP(B122,Sheet1!$B$4:$C$25,2,FALSE)</f>
        <v>0</v>
      </c>
      <c r="B122" s="112" t="str">
        <f t="shared" si="34"/>
        <v>Slough</v>
      </c>
      <c r="C122" s="97"/>
      <c r="D122" s="182" t="e">
        <f t="shared" si="35"/>
        <v>#N/A</v>
      </c>
      <c r="E122" s="182">
        <f t="shared" si="36"/>
        <v>0.93773283661522089</v>
      </c>
      <c r="F122" s="182">
        <f t="shared" si="37"/>
        <v>0.92851622874806805</v>
      </c>
      <c r="G122" s="182">
        <f t="shared" si="38"/>
        <v>0.85763146643864896</v>
      </c>
      <c r="H122" s="184">
        <f t="shared" si="39"/>
        <v>0.54574951330304999</v>
      </c>
      <c r="I122" s="115"/>
      <c r="J122" s="115"/>
      <c r="K122" s="186"/>
      <c r="L122" s="186"/>
      <c r="M122" s="186"/>
      <c r="N122" s="186"/>
      <c r="O122" s="186"/>
      <c r="P122" s="186"/>
      <c r="Q122" s="187"/>
      <c r="R122" s="177"/>
      <c r="S122" s="177"/>
      <c r="T122" s="186"/>
      <c r="U122" s="139"/>
      <c r="V122" s="154"/>
      <c r="W122" s="170"/>
      <c r="X122" s="491" t="str">
        <f t="shared" si="40"/>
        <v>Slough</v>
      </c>
      <c r="Y122" s="424">
        <f>IF(Year1_Slough Year1_Assessments_within45days="","",Year1_Slough Year1_Assessments_within45days)</f>
        <v>0</v>
      </c>
      <c r="Z122" s="424">
        <f>IF(Year2_Slough Year2_Assessments_within45days="","",Year2_Slough Year2_Assessments_within45days)</f>
        <v>1762</v>
      </c>
      <c r="AA122" s="424">
        <f>IF(Year3_Slough Year3_Assessments_within45days="","",Year3_Slough Year3_Assessments_within45days)</f>
        <v>2403</v>
      </c>
      <c r="AB122" s="424">
        <f>IF(Year4_Slough Year4_Assessments_within45days="","",Year4_Slough Year4_Assessments_within45days)</f>
        <v>2006</v>
      </c>
      <c r="AC122" s="634">
        <f>IF(Year5_Slough Year5_Assessments_within45days="","",Year5_Slough Year5_Assessments_within45days)</f>
        <v>841</v>
      </c>
      <c r="AD122" s="638">
        <f>IF(Year1_Slough Year1_Continuous_assessments="","",Year1_Slough Year1_Continuous_assessments)</f>
        <v>0</v>
      </c>
      <c r="AE122" s="534">
        <f>IF(Year2_Slough Year2_Continuous_assessments="","",Year2_Slough Year2_Continuous_assessments)</f>
        <v>1879</v>
      </c>
      <c r="AF122" s="534">
        <f>IF(Year3_Slough Year3_Continuous_assessments="","",Year3_Slough Year3_Continuous_assessments)</f>
        <v>2588</v>
      </c>
      <c r="AG122" s="534">
        <f>IF(Year4_Slough Year4_Continuous_assessments="","",Year4_Slough Year4_Continuous_assessments)</f>
        <v>2339</v>
      </c>
      <c r="AH122" s="534">
        <f>IF(Year5_Slough Year5_Continuous_assessments="","",Year5_Slough Year5_Continuous_assessments)</f>
        <v>1541</v>
      </c>
      <c r="AI122" s="217"/>
      <c r="AJ122" s="217"/>
      <c r="AK122" s="178"/>
    </row>
    <row r="123" spans="1:46" s="101" customFormat="1" ht="12.75" customHeight="1" x14ac:dyDescent="0.2">
      <c r="A123" s="533">
        <f>VLOOKUP(B123,Sheet1!$B$4:$C$25,2,FALSE)</f>
        <v>0</v>
      </c>
      <c r="B123" s="112" t="str">
        <f t="shared" si="34"/>
        <v>Somerset</v>
      </c>
      <c r="C123" s="97"/>
      <c r="D123" s="182" t="e">
        <f t="shared" si="35"/>
        <v>#N/A</v>
      </c>
      <c r="E123" s="182">
        <f t="shared" si="36"/>
        <v>0.92904509283819625</v>
      </c>
      <c r="F123" s="182">
        <f t="shared" si="37"/>
        <v>0.68116927260367099</v>
      </c>
      <c r="G123" s="182">
        <f t="shared" si="38"/>
        <v>0.89199029126213591</v>
      </c>
      <c r="H123" s="184">
        <f t="shared" si="39"/>
        <v>0.80662488809310651</v>
      </c>
      <c r="I123" s="115"/>
      <c r="J123" s="115"/>
      <c r="K123" s="186"/>
      <c r="L123" s="186"/>
      <c r="M123" s="186"/>
      <c r="N123" s="186"/>
      <c r="O123" s="186"/>
      <c r="P123" s="186"/>
      <c r="Q123" s="187"/>
      <c r="R123" s="177"/>
      <c r="S123" s="177"/>
      <c r="T123" s="186"/>
      <c r="U123" s="139"/>
      <c r="V123" s="154"/>
      <c r="W123" s="170"/>
      <c r="X123" s="491" t="str">
        <f t="shared" si="40"/>
        <v>Somerset</v>
      </c>
      <c r="Y123" s="424">
        <f>IF(Year1_Somerset Year1_Assessments_within45days="","",Year1_Somerset Year1_Assessments_within45days)</f>
        <v>0</v>
      </c>
      <c r="Z123" s="424">
        <f>IF(Year2_Somerset Year2_Assessments_within45days="","",Year2_Somerset Year2_Assessments_within45days)</f>
        <v>4203</v>
      </c>
      <c r="AA123" s="424">
        <f>IF(Year3_Somerset Year3_Assessments_within45days="","",Year3_Somerset Year3_Assessments_within45days)</f>
        <v>3006</v>
      </c>
      <c r="AB123" s="424">
        <f>IF(Year4_Somerset Year4_Assessments_within45days="","",Year4_Somerset Year4_Assessments_within45days)</f>
        <v>4410</v>
      </c>
      <c r="AC123" s="634">
        <f>IF(Year5_Somerset Year5_Assessments_within45days="","",Year5_Somerset Year5_Assessments_within45days)</f>
        <v>4505</v>
      </c>
      <c r="AD123" s="638">
        <f>IF(Year1_Somerset Year1_Continuous_assessments="","",Year1_Somerset Year1_Continuous_assessments)</f>
        <v>0</v>
      </c>
      <c r="AE123" s="534">
        <f>IF(Year2_Somerset Year2_Continuous_assessments="","",Year2_Somerset Year2_Continuous_assessments)</f>
        <v>4524</v>
      </c>
      <c r="AF123" s="534">
        <f>IF(Year3_Somerset Year3_Continuous_assessments="","",Year3_Somerset Year3_Continuous_assessments)</f>
        <v>4413</v>
      </c>
      <c r="AG123" s="534">
        <f>IF(Year4_Somerset Year4_Continuous_assessments="","",Year4_Somerset Year4_Continuous_assessments)</f>
        <v>4944</v>
      </c>
      <c r="AH123" s="534">
        <f>IF(Year5_Somerset Year5_Continuous_assessments="","",Year5_Somerset Year5_Continuous_assessments)</f>
        <v>5585</v>
      </c>
      <c r="AI123" s="217"/>
      <c r="AJ123" s="217"/>
      <c r="AK123" s="178"/>
    </row>
    <row r="124" spans="1:46" s="101" customFormat="1" ht="12.75" customHeight="1" x14ac:dyDescent="0.2">
      <c r="A124" s="533">
        <f>VLOOKUP(B124,Sheet1!$B$4:$C$25,2,FALSE)</f>
        <v>0</v>
      </c>
      <c r="B124" s="112" t="str">
        <f t="shared" si="34"/>
        <v>Southampton</v>
      </c>
      <c r="C124" s="97"/>
      <c r="D124" s="182" t="e">
        <f t="shared" si="35"/>
        <v>#N/A</v>
      </c>
      <c r="E124" s="182">
        <f t="shared" si="36"/>
        <v>0.91559981033665239</v>
      </c>
      <c r="F124" s="182">
        <f t="shared" si="37"/>
        <v>0.84843492586490943</v>
      </c>
      <c r="G124" s="182">
        <f t="shared" si="38"/>
        <v>0.67984934086629001</v>
      </c>
      <c r="H124" s="184">
        <f t="shared" si="39"/>
        <v>0.82916307161345992</v>
      </c>
      <c r="I124" s="115"/>
      <c r="J124" s="115"/>
      <c r="K124" s="186"/>
      <c r="L124" s="186"/>
      <c r="M124" s="186"/>
      <c r="N124" s="186"/>
      <c r="O124" s="186"/>
      <c r="P124" s="186"/>
      <c r="Q124" s="187"/>
      <c r="R124" s="177"/>
      <c r="S124" s="177"/>
      <c r="T124" s="186"/>
      <c r="U124" s="139"/>
      <c r="V124" s="154"/>
      <c r="W124" s="170"/>
      <c r="X124" s="491" t="str">
        <f t="shared" si="40"/>
        <v>Southampton</v>
      </c>
      <c r="Y124" s="424">
        <f>IF(Year1_Southampton Year1_Assessments_within45days="","",Year1_Southampton Year1_Assessments_within45days)</f>
        <v>0</v>
      </c>
      <c r="Z124" s="424">
        <f>IF(Year2_Southampton Year2_Assessments_within45days="","",Year2_Southampton Year2_Assessments_within45days)</f>
        <v>1931</v>
      </c>
      <c r="AA124" s="424">
        <f>IF(Year3_Southampton Year3_Assessments_within45days="","",Year3_Southampton Year3_Assessments_within45days)</f>
        <v>2575</v>
      </c>
      <c r="AB124" s="424">
        <f>IF(Year4_Southampton Year4_Assessments_within45days="","",Year4_Southampton Year4_Assessments_within45days)</f>
        <v>1805</v>
      </c>
      <c r="AC124" s="634">
        <f>IF(Year5_Southampton Year5_Assessments_within45days="","",Year5_Southampton Year5_Assessments_within45days)</f>
        <v>1922</v>
      </c>
      <c r="AD124" s="638">
        <f>IF(Year1_Southampton Year1_Continuous_assessments="","",Year1_Southampton Year1_Continuous_assessments)</f>
        <v>0</v>
      </c>
      <c r="AE124" s="534">
        <f>IF(Year2_Southampton Year2_Continuous_assessments="","",Year2_Southampton Year2_Continuous_assessments)</f>
        <v>2109</v>
      </c>
      <c r="AF124" s="534">
        <f>IF(Year3_Southampton Year3_Continuous_assessments="","",Year3_Southampton Year3_Continuous_assessments)</f>
        <v>3035</v>
      </c>
      <c r="AG124" s="534">
        <f>IF(Year4_Southampton Year4_Continuous_assessments="","",Year4_Southampton Year4_Continuous_assessments)</f>
        <v>2655</v>
      </c>
      <c r="AH124" s="534">
        <f>IF(Year5_Southampton Year5_Continuous_assessments="","",Year5_Southampton Year5_Continuous_assessments)</f>
        <v>2318</v>
      </c>
      <c r="AI124" s="217"/>
      <c r="AJ124" s="217"/>
      <c r="AK124" s="178"/>
    </row>
    <row r="125" spans="1:46" s="101" customFormat="1" ht="12.75" customHeight="1" x14ac:dyDescent="0.2">
      <c r="A125" s="533">
        <f>VLOOKUP(B125,Sheet1!$B$4:$C$25,2,FALSE)</f>
        <v>0</v>
      </c>
      <c r="B125" s="112" t="str">
        <f t="shared" si="34"/>
        <v>Surrey</v>
      </c>
      <c r="C125" s="97"/>
      <c r="D125" s="182" t="e">
        <f t="shared" si="35"/>
        <v>#N/A</v>
      </c>
      <c r="E125" s="182">
        <f t="shared" si="36"/>
        <v>0.74046480596019126</v>
      </c>
      <c r="F125" s="182">
        <f t="shared" si="37"/>
        <v>0.6516346311812059</v>
      </c>
      <c r="G125" s="182">
        <f t="shared" si="38"/>
        <v>0.75511562136083843</v>
      </c>
      <c r="H125" s="184">
        <f t="shared" si="39"/>
        <v>0.75856586374115587</v>
      </c>
      <c r="I125" s="115"/>
      <c r="J125" s="115"/>
      <c r="K125" s="186"/>
      <c r="L125" s="186"/>
      <c r="M125" s="186"/>
      <c r="N125" s="186"/>
      <c r="O125" s="186"/>
      <c r="P125" s="186"/>
      <c r="Q125" s="187"/>
      <c r="R125" s="177"/>
      <c r="S125" s="177"/>
      <c r="T125" s="186"/>
      <c r="U125" s="139"/>
      <c r="V125" s="154"/>
      <c r="W125" s="170"/>
      <c r="X125" s="491" t="str">
        <f t="shared" si="40"/>
        <v>Surrey</v>
      </c>
      <c r="Y125" s="424">
        <f>IF(Year1_Surrey Year1_Assessments_within45days="","",Year1_Surrey Year1_Assessments_within45days)</f>
        <v>0</v>
      </c>
      <c r="Z125" s="424">
        <f>IF(Year2_Surrey Year2_Assessments_within45days="","",Year2_Surrey Year2_Assessments_within45days)</f>
        <v>6659</v>
      </c>
      <c r="AA125" s="424">
        <f>IF(Year3_Surrey Year3_Assessments_within45days="","",Year3_Surrey Year3_Assessments_within45days)</f>
        <v>7933</v>
      </c>
      <c r="AB125" s="424">
        <f>IF(Year4_Surrey Year4_Assessments_within45days="","",Year4_Surrey Year4_Assessments_within45days)</f>
        <v>9078</v>
      </c>
      <c r="AC125" s="634">
        <f>IF(Year5_Surrey Year5_Assessments_within45days="","",Year5_Surrey Year5_Assessments_within45days)</f>
        <v>9542</v>
      </c>
      <c r="AD125" s="638">
        <f>IF(Year1_Surrey Year1_Continuous_assessments="","",Year1_Surrey Year1_Continuous_assessments)</f>
        <v>0</v>
      </c>
      <c r="AE125" s="534">
        <f>IF(Year2_Surrey Year2_Continuous_assessments="","",Year2_Surrey Year2_Continuous_assessments)</f>
        <v>8993</v>
      </c>
      <c r="AF125" s="534">
        <f>IF(Year3_Surrey Year3_Continuous_assessments="","",Year3_Surrey Year3_Continuous_assessments)</f>
        <v>12174</v>
      </c>
      <c r="AG125" s="534">
        <f>IF(Year4_Surrey Year4_Continuous_assessments="","",Year4_Surrey Year4_Continuous_assessments)</f>
        <v>12022</v>
      </c>
      <c r="AH125" s="534">
        <f>IF(Year5_Surrey Year5_Continuous_assessments="","",Year5_Surrey Year5_Continuous_assessments)</f>
        <v>12579</v>
      </c>
      <c r="AI125" s="217"/>
      <c r="AJ125" s="217"/>
      <c r="AK125" s="178"/>
    </row>
    <row r="126" spans="1:46" s="101" customFormat="1" ht="12.75" customHeight="1" x14ac:dyDescent="0.2">
      <c r="A126" s="533">
        <f>VLOOKUP(B126,Sheet1!$B$4:$C$25,2,FALSE)</f>
        <v>0</v>
      </c>
      <c r="B126" s="112" t="str">
        <f t="shared" si="34"/>
        <v>Swindon</v>
      </c>
      <c r="C126" s="97"/>
      <c r="D126" s="182" t="e">
        <f t="shared" si="35"/>
        <v>#N/A</v>
      </c>
      <c r="E126" s="182">
        <f t="shared" si="36"/>
        <v>0.65081162702906759</v>
      </c>
      <c r="F126" s="182">
        <f t="shared" si="37"/>
        <v>0.60688117234788153</v>
      </c>
      <c r="G126" s="182">
        <f t="shared" si="38"/>
        <v>0.59084836339345359</v>
      </c>
      <c r="H126" s="184">
        <f t="shared" si="39"/>
        <v>0.71691526499523961</v>
      </c>
      <c r="I126" s="115"/>
      <c r="J126" s="115"/>
      <c r="K126" s="186"/>
      <c r="L126" s="186"/>
      <c r="M126" s="186"/>
      <c r="N126" s="186"/>
      <c r="O126" s="186"/>
      <c r="P126" s="186"/>
      <c r="Q126" s="187"/>
      <c r="R126" s="177"/>
      <c r="S126" s="177"/>
      <c r="T126" s="186"/>
      <c r="U126" s="139"/>
      <c r="V126" s="154"/>
      <c r="W126" s="170"/>
      <c r="X126" s="491" t="str">
        <f t="shared" si="40"/>
        <v>Swindon</v>
      </c>
      <c r="Y126" s="637">
        <f>IF(Year1_Swindon Year1_Assessments_within45days="","",Year1_Swindon Year1_Assessments_within45days)</f>
        <v>0</v>
      </c>
      <c r="Z126" s="637">
        <f>IF(Year2_Swindon Year2_Assessments_within45days="","",Year2_Swindon Year2_Assessments_within45days)</f>
        <v>1724</v>
      </c>
      <c r="AA126" s="637">
        <f>IF(Year3_Swindon Year3_Assessments_within45days="","",Year3_Swindon Year3_Assessments_within45days)</f>
        <v>1905</v>
      </c>
      <c r="AB126" s="637">
        <f>IF(Year4_Swindon Year4_Assessments_within45days="","",Year4_Swindon Year4_Assessments_within45days)</f>
        <v>1769</v>
      </c>
      <c r="AC126" s="639">
        <f>IF(Year5_Swindon Year5_Assessments_within45days="","",Year5_Swindon Year5_Assessments_within45days)</f>
        <v>2259</v>
      </c>
      <c r="AD126" s="638">
        <f>IF(Year1_Swindon Year1_Continuous_assessments="","",Year1_Swindon Year1_Continuous_assessments)</f>
        <v>0</v>
      </c>
      <c r="AE126" s="534">
        <f>IF(Year2_Swindon Year2_Continuous_assessments="","",Year2_Swindon Year2_Continuous_assessments)</f>
        <v>2649</v>
      </c>
      <c r="AF126" s="534">
        <f>IF(Year3_Swindon Year3_Continuous_assessments="","",Year3_Swindon Year3_Continuous_assessments)</f>
        <v>3139</v>
      </c>
      <c r="AG126" s="534">
        <f>IF(Year4_Swindon Year4_Continuous_assessments="","",Year4_Swindon Year4_Continuous_assessments)</f>
        <v>2994</v>
      </c>
      <c r="AH126" s="534">
        <f>IF(Year5_Swindon Year5_Continuous_assessments="","",Year5_Swindon Year5_Continuous_assessments)</f>
        <v>3151</v>
      </c>
      <c r="AI126" s="217"/>
      <c r="AJ126" s="217"/>
      <c r="AK126" s="178"/>
    </row>
    <row r="127" spans="1:46" s="101" customFormat="1" ht="12.75" customHeight="1" x14ac:dyDescent="0.2">
      <c r="A127" s="533">
        <f>VLOOKUP(B127,Sheet1!$B$4:$C$25,2,FALSE)</f>
        <v>0</v>
      </c>
      <c r="B127" s="112" t="str">
        <f t="shared" si="34"/>
        <v>Torbay</v>
      </c>
      <c r="C127" s="97"/>
      <c r="D127" s="182" t="e">
        <f t="shared" si="35"/>
        <v>#N/A</v>
      </c>
      <c r="E127" s="182">
        <f t="shared" si="36"/>
        <v>0.71505376344086025</v>
      </c>
      <c r="F127" s="182">
        <f t="shared" si="37"/>
        <v>0.90115532734274706</v>
      </c>
      <c r="G127" s="182">
        <f t="shared" si="38"/>
        <v>0.81576253838280455</v>
      </c>
      <c r="H127" s="184">
        <f t="shared" si="39"/>
        <v>0.72042440318302392</v>
      </c>
      <c r="I127" s="115"/>
      <c r="J127" s="115"/>
      <c r="K127" s="186"/>
      <c r="L127" s="186"/>
      <c r="M127" s="186"/>
      <c r="N127" s="186"/>
      <c r="O127" s="186"/>
      <c r="P127" s="186"/>
      <c r="Q127" s="187"/>
      <c r="R127" s="177"/>
      <c r="S127" s="177"/>
      <c r="T127" s="186"/>
      <c r="U127" s="139"/>
      <c r="V127" s="154"/>
      <c r="W127" s="170"/>
      <c r="X127" s="491" t="str">
        <f t="shared" si="40"/>
        <v>Torbay</v>
      </c>
      <c r="Y127" s="637">
        <f>IF(Year1_Torbay Year1_Assessments_within45days="","",Year1_Torbay Year1_Assessments_within45days)</f>
        <v>0</v>
      </c>
      <c r="Z127" s="637">
        <f>IF(Year2_Torbay Year2_Assessments_within45days="","",Year2_Torbay Year2_Assessments_within45days)</f>
        <v>1064</v>
      </c>
      <c r="AA127" s="637">
        <f>IF(Year3_Torbay Year3_Assessments_within45days="","",Year3_Torbay Year3_Assessments_within45days)</f>
        <v>1404</v>
      </c>
      <c r="AB127" s="637">
        <f>IF(Year4_Torbay Year4_Assessments_within45days="","",Year4_Torbay Year4_Assessments_within45days)</f>
        <v>797</v>
      </c>
      <c r="AC127" s="639">
        <f>IF(Year5_Torbay Year5_Assessments_within45days="","",Year5_Torbay Year5_Assessments_within45days)</f>
        <v>1358</v>
      </c>
      <c r="AD127" s="638">
        <f>IF(Year1_Torbay Year1_Continuous_assessments="","",Year1_Torbay Year1_Continuous_assessments)</f>
        <v>0</v>
      </c>
      <c r="AE127" s="534">
        <f>IF(Year2_Torbay Year2_Continuous_assessments="","",Year2_Torbay Year2_Continuous_assessments)</f>
        <v>1488</v>
      </c>
      <c r="AF127" s="534">
        <f>IF(Year3_Torbay Year3_Continuous_assessments="","",Year3_Torbay Year3_Continuous_assessments)</f>
        <v>1558</v>
      </c>
      <c r="AG127" s="534">
        <f>IF(Year4_Torbay Year4_Continuous_assessments="","",Year4_Torbay Year4_Continuous_assessments)</f>
        <v>977</v>
      </c>
      <c r="AH127" s="534">
        <f>IF(Year5_Torbay Year5_Continuous_assessments="","",Year5_Torbay Year5_Continuous_assessments)</f>
        <v>1885</v>
      </c>
      <c r="AI127" s="217"/>
      <c r="AJ127" s="217"/>
      <c r="AK127" s="178"/>
    </row>
    <row r="128" spans="1:46" s="101" customFormat="1" ht="12.75" customHeight="1" x14ac:dyDescent="0.2">
      <c r="A128" s="533">
        <f>VLOOKUP(B128,Sheet1!$B$4:$C$25,2,FALSE)</f>
        <v>0</v>
      </c>
      <c r="B128" s="112" t="str">
        <f t="shared" si="34"/>
        <v>West Berkshire</v>
      </c>
      <c r="C128" s="97"/>
      <c r="D128" s="182" t="e">
        <f t="shared" si="35"/>
        <v>#N/A</v>
      </c>
      <c r="E128" s="182">
        <f t="shared" si="36"/>
        <v>0.7125140924464487</v>
      </c>
      <c r="F128" s="182">
        <f t="shared" si="37"/>
        <v>0.86052998605299857</v>
      </c>
      <c r="G128" s="182">
        <f t="shared" si="38"/>
        <v>0.96673320026613441</v>
      </c>
      <c r="H128" s="184">
        <f t="shared" si="39"/>
        <v>0.98258426966292134</v>
      </c>
      <c r="I128" s="115"/>
      <c r="J128" s="115"/>
      <c r="K128" s="186"/>
      <c r="L128" s="186"/>
      <c r="M128" s="186"/>
      <c r="N128" s="186"/>
      <c r="O128" s="186"/>
      <c r="P128" s="186"/>
      <c r="Q128" s="187"/>
      <c r="R128" s="177"/>
      <c r="S128" s="177"/>
      <c r="T128" s="186"/>
      <c r="U128" s="139"/>
      <c r="V128" s="154"/>
      <c r="W128" s="170"/>
      <c r="X128" s="491" t="str">
        <f t="shared" si="40"/>
        <v>West Berkshire</v>
      </c>
      <c r="Y128" s="424">
        <f>IF(Year1_West_Berkshire Year1_Assessments_within45days="","",Year1_West_Berkshire Year1_Assessments_within45days)</f>
        <v>0</v>
      </c>
      <c r="Z128" s="424">
        <f>IF(Year2_West_Berkshire Year2_Assessments_within45days="","",Year2_West_Berkshire Year2_Assessments_within45days)</f>
        <v>632</v>
      </c>
      <c r="AA128" s="424">
        <f>IF(Year3_West_Berkshire Year3_Assessments_within45days="","",Year3_West_Berkshire Year3_Assessments_within45days)</f>
        <v>1234</v>
      </c>
      <c r="AB128" s="424">
        <f>IF(Year4_West_Berkshire Year4_Assessments_within45days="","",Year4_West_Berkshire Year4_Assessments_within45days)</f>
        <v>1453</v>
      </c>
      <c r="AC128" s="634">
        <f>IF(Year5_West_Berkshire Year5_Assessments_within45days="","",Year5_West_Berkshire Year5_Assessments_within45days)</f>
        <v>1749</v>
      </c>
      <c r="AD128" s="638">
        <f>IF(Year1_West_Berkshire Year1_Continuous_assessments="","",Year1_West_Berkshire Year1_Continuous_assessments)</f>
        <v>0</v>
      </c>
      <c r="AE128" s="534">
        <f>IF(Year2_West_Berkshire Year2_Continuous_assessments="","",Year2_West_Berkshire Year2_Continuous_assessments)</f>
        <v>887</v>
      </c>
      <c r="AF128" s="534">
        <f>IF(Year3_West_Berkshire Year3_Continuous_assessments="","",Year3_West_Berkshire Year3_Continuous_assessments)</f>
        <v>1434</v>
      </c>
      <c r="AG128" s="534">
        <f>IF(Year4_West_Berkshire Year4_Continuous_assessments="","",Year4_West_Berkshire Year4_Continuous_assessments)</f>
        <v>1503</v>
      </c>
      <c r="AH128" s="534">
        <f>IF(Year5_West_Berkshire Year5_Continuous_assessments="","",Year5_West_Berkshire Year5_Continuous_assessments)</f>
        <v>1780</v>
      </c>
      <c r="AI128" s="217"/>
      <c r="AJ128" s="217"/>
      <c r="AK128" s="178"/>
    </row>
    <row r="129" spans="1:46" s="101" customFormat="1" ht="12.75" customHeight="1" x14ac:dyDescent="0.2">
      <c r="A129" s="533">
        <f>VLOOKUP(B129,Sheet1!$B$4:$C$25,2,FALSE)</f>
        <v>0</v>
      </c>
      <c r="B129" s="112" t="str">
        <f t="shared" si="34"/>
        <v>West Sussex</v>
      </c>
      <c r="C129" s="97"/>
      <c r="D129" s="182" t="e">
        <f t="shared" si="35"/>
        <v>#N/A</v>
      </c>
      <c r="E129" s="182">
        <f t="shared" si="36"/>
        <v>0.95949855351976854</v>
      </c>
      <c r="F129" s="182">
        <f t="shared" si="37"/>
        <v>0.96490288010716674</v>
      </c>
      <c r="G129" s="182">
        <f t="shared" si="38"/>
        <v>0.96934363946023849</v>
      </c>
      <c r="H129" s="184">
        <f t="shared" si="39"/>
        <v>0.97780887644942027</v>
      </c>
      <c r="I129" s="115"/>
      <c r="J129" s="115"/>
      <c r="K129" s="186"/>
      <c r="L129" s="186"/>
      <c r="M129" s="186"/>
      <c r="N129" s="186"/>
      <c r="O129" s="186"/>
      <c r="P129" s="186"/>
      <c r="Q129" s="187"/>
      <c r="R129" s="177"/>
      <c r="S129" s="177"/>
      <c r="T129" s="186"/>
      <c r="U129" s="139"/>
      <c r="V129" s="154"/>
      <c r="W129" s="170"/>
      <c r="X129" s="491" t="str">
        <f t="shared" si="40"/>
        <v>West Sussex</v>
      </c>
      <c r="Y129" s="424">
        <f>IF(Year1_West_Sussex Year1_Assessments_within45days="","",Year1_West_Sussex Year1_Assessments_within45days)</f>
        <v>0</v>
      </c>
      <c r="Z129" s="424">
        <f>IF(Year2_West_Sussex Year2_Assessments_within45days="","",Year2_West_Sussex Year2_Assessments_within45days)</f>
        <v>4975</v>
      </c>
      <c r="AA129" s="424">
        <f>IF(Year3_West_Sussex Year3_Assessments_within45days="","",Year3_West_Sussex Year3_Assessments_within45days)</f>
        <v>7203</v>
      </c>
      <c r="AB129" s="424">
        <f>IF(Year4_West_Sussex Year4_Assessments_within45days="","",Year4_West_Sussex Year4_Assessments_within45days)</f>
        <v>7399</v>
      </c>
      <c r="AC129" s="634">
        <f>IF(Year5_West_Sussex Year5_Assessments_within45days="","",Year5_West_Sussex Year5_Assessments_within45days)</f>
        <v>9782</v>
      </c>
      <c r="AD129" s="638">
        <f>IF(Year1_West_Sussex Year1_Continuous_assessments="","",Year1_West_Sussex Year1_Continuous_assessments)</f>
        <v>0</v>
      </c>
      <c r="AE129" s="534">
        <f>IF(Year2_West_Sussex Year2_Continuous_assessments="","",Year2_West_Sussex Year2_Continuous_assessments)</f>
        <v>5185</v>
      </c>
      <c r="AF129" s="534">
        <f>IF(Year3_West_Sussex Year3_Continuous_assessments="","",Year3_West_Sussex Year3_Continuous_assessments)</f>
        <v>7465</v>
      </c>
      <c r="AG129" s="534">
        <f>IF(Year4_West_Sussex Year4_Continuous_assessments="","",Year4_West_Sussex Year4_Continuous_assessments)</f>
        <v>7633</v>
      </c>
      <c r="AH129" s="534">
        <f>IF(Year5_West_Sussex Year5_Continuous_assessments="","",Year5_West_Sussex Year5_Continuous_assessments)</f>
        <v>10004</v>
      </c>
      <c r="AI129" s="217"/>
      <c r="AJ129" s="217"/>
      <c r="AK129" s="178"/>
    </row>
    <row r="130" spans="1:46" s="101" customFormat="1" ht="12.75" customHeight="1" x14ac:dyDescent="0.2">
      <c r="A130" s="533">
        <f>VLOOKUP(B130,Sheet1!$B$4:$C$25,2,FALSE)</f>
        <v>0</v>
      </c>
      <c r="B130" s="112" t="str">
        <f t="shared" si="34"/>
        <v>Windsor &amp; Maidenhead</v>
      </c>
      <c r="C130" s="97"/>
      <c r="D130" s="182" t="e">
        <f t="shared" si="35"/>
        <v>#N/A</v>
      </c>
      <c r="E130" s="182">
        <f t="shared" si="36"/>
        <v>0.75866495507060339</v>
      </c>
      <c r="F130" s="182">
        <f t="shared" si="37"/>
        <v>0.81060606060606055</v>
      </c>
      <c r="G130" s="182">
        <f t="shared" si="38"/>
        <v>0.57485029940119758</v>
      </c>
      <c r="H130" s="184">
        <f t="shared" si="39"/>
        <v>0.5447680690399137</v>
      </c>
      <c r="I130" s="115"/>
      <c r="J130" s="115"/>
      <c r="K130" s="186"/>
      <c r="L130" s="186"/>
      <c r="M130" s="186"/>
      <c r="N130" s="186"/>
      <c r="O130" s="186"/>
      <c r="P130" s="186"/>
      <c r="Q130" s="187"/>
      <c r="R130" s="177"/>
      <c r="S130" s="177"/>
      <c r="T130" s="186"/>
      <c r="U130" s="139"/>
      <c r="V130" s="154"/>
      <c r="W130" s="170"/>
      <c r="X130" s="491" t="str">
        <f t="shared" si="40"/>
        <v>Windsor &amp; Maidenhead</v>
      </c>
      <c r="Y130" s="424">
        <f>IF(Year1_Windsor_Maidenhead Year1_Assessments_within45days="","",Year1_Windsor_Maidenhead Year1_Assessments_within45days)</f>
        <v>0</v>
      </c>
      <c r="Z130" s="424">
        <f>IF(Year2_Windsor_Maidenhead Year2_Assessments_within45days="","",Year2_Windsor_Maidenhead Year2_Assessments_within45days)</f>
        <v>591</v>
      </c>
      <c r="AA130" s="424">
        <f>IF(Year3_Windsor_Maidenhead Year3_Assessments_within45days="","",Year3_Windsor_Maidenhead Year3_Assessments_within45days)</f>
        <v>749</v>
      </c>
      <c r="AB130" s="424">
        <f>IF(Year4_Windsor_Maidenhead Year4_Assessments_within45days="","",Year4_Windsor_Maidenhead Year4_Assessments_within45days)</f>
        <v>384</v>
      </c>
      <c r="AC130" s="634">
        <f>IF(Year5_Windsor_Maidenhead Year5_Assessments_within45days="","",Year5_Windsor_Maidenhead Year5_Assessments_within45days)</f>
        <v>505</v>
      </c>
      <c r="AD130" s="638">
        <f>IF(Year1_Windsor_Maidenhead Year1_Continuous_assessments="","",Year1_Windsor_Maidenhead Year1_Continuous_assessments)</f>
        <v>0</v>
      </c>
      <c r="AE130" s="534">
        <f>IF(Year2_Windsor_Maidenhead Year2_Continuous_assessments="","",Year2_Windsor_Maidenhead Year2_Continuous_assessments)</f>
        <v>779</v>
      </c>
      <c r="AF130" s="534">
        <f>IF(Year3_Windsor_Maidenhead Year3_Continuous_assessments="","",Year3_Windsor_Maidenhead Year3_Continuous_assessments)</f>
        <v>924</v>
      </c>
      <c r="AG130" s="534">
        <f>IF(Year4_Windsor_Maidenhead Year4_Continuous_assessments="","",Year4_Windsor_Maidenhead Year4_Continuous_assessments)</f>
        <v>668</v>
      </c>
      <c r="AH130" s="534">
        <f>IF(Year5_Windsor_Maidenhead Year5_Continuous_assessments="","",Year5_Windsor_Maidenhead Year5_Continuous_assessments)</f>
        <v>927</v>
      </c>
      <c r="AI130" s="232"/>
      <c r="AJ130" s="217"/>
      <c r="AK130" s="178"/>
    </row>
    <row r="131" spans="1:46" s="101" customFormat="1" ht="12.75" customHeight="1" x14ac:dyDescent="0.2">
      <c r="A131" s="533">
        <f>VLOOKUP(B131,Sheet1!$B$4:$C$25,2,FALSE)</f>
        <v>0</v>
      </c>
      <c r="B131" s="112" t="str">
        <f t="shared" si="34"/>
        <v>Wokingham</v>
      </c>
      <c r="C131" s="97"/>
      <c r="D131" s="182" t="e">
        <f t="shared" si="35"/>
        <v>#N/A</v>
      </c>
      <c r="E131" s="182">
        <f t="shared" si="36"/>
        <v>0.98973774230330669</v>
      </c>
      <c r="F131" s="182">
        <f t="shared" si="37"/>
        <v>0.9521276595744681</v>
      </c>
      <c r="G131" s="182">
        <f t="shared" si="38"/>
        <v>0.85599999999999998</v>
      </c>
      <c r="H131" s="184">
        <f t="shared" si="39"/>
        <v>0.7308394160583942</v>
      </c>
      <c r="I131" s="115"/>
      <c r="J131" s="115"/>
      <c r="K131" s="186"/>
      <c r="L131" s="186"/>
      <c r="M131" s="186"/>
      <c r="N131" s="186"/>
      <c r="O131" s="186"/>
      <c r="P131" s="186"/>
      <c r="Q131" s="187"/>
      <c r="R131" s="177"/>
      <c r="S131" s="177"/>
      <c r="T131" s="186"/>
      <c r="U131" s="139"/>
      <c r="V131" s="154"/>
      <c r="W131" s="170"/>
      <c r="X131" s="491" t="str">
        <f t="shared" si="40"/>
        <v>Wokingham</v>
      </c>
      <c r="Y131" s="424">
        <f>IF(Year1_Wokingham Year1_Assessments_within45days="","",Year1_Wokingham Year1_Assessments_within45days)</f>
        <v>0</v>
      </c>
      <c r="Z131" s="424">
        <f>IF(Year2_Wokingham Year2_Assessments_within45days="","",Year2_Wokingham Year2_Assessments_within45days)</f>
        <v>868</v>
      </c>
      <c r="AA131" s="424">
        <f>IF(Year3_Wokingham Year3_Assessments_within45days="","",Year3_Wokingham Year3_Assessments_within45days)</f>
        <v>1074</v>
      </c>
      <c r="AB131" s="424">
        <f>IF(Year4_Wokingham Year4_Assessments_within45days="","",Year4_Wokingham Year4_Assessments_within45days)</f>
        <v>749</v>
      </c>
      <c r="AC131" s="634">
        <f>IF(Year5_Wokingham Year5_Assessments_within45days="","",Year5_Wokingham Year5_Assessments_within45days)</f>
        <v>801</v>
      </c>
      <c r="AD131" s="638">
        <f>IF(Year1_Wokingham Year1_Continuous_assessments="","",Year1_Wokingham Year1_Continuous_assessments)</f>
        <v>0</v>
      </c>
      <c r="AE131" s="534">
        <f>IF(Year2_Wokingham Year2_Continuous_assessments="","",Year2_Wokingham Year2_Continuous_assessments)</f>
        <v>877</v>
      </c>
      <c r="AF131" s="534">
        <f>IF(Year3_Wokingham Year3_Continuous_assessments="","",Year3_Wokingham Year3_Continuous_assessments)</f>
        <v>1128</v>
      </c>
      <c r="AG131" s="534">
        <f>IF(Year4_Wokingham Year4_Continuous_assessments="","",Year4_Wokingham Year4_Continuous_assessments)</f>
        <v>875</v>
      </c>
      <c r="AH131" s="534">
        <f>IF(Year5_Wokingham Year5_Continuous_assessments="","",Year5_Wokingham Year5_Continuous_assessments)</f>
        <v>1096</v>
      </c>
      <c r="AI131" s="232"/>
      <c r="AJ131" s="217"/>
      <c r="AK131" s="178"/>
    </row>
    <row r="132" spans="1:46" s="101" customFormat="1" ht="12.75" customHeight="1" x14ac:dyDescent="0.2">
      <c r="A132" s="138"/>
      <c r="B132" s="146" t="str">
        <f t="shared" si="34"/>
        <v>South East</v>
      </c>
      <c r="C132" s="97"/>
      <c r="D132" s="183" t="e">
        <f t="shared" si="35"/>
        <v>#N/A</v>
      </c>
      <c r="E132" s="183">
        <f t="shared" si="36"/>
        <v>0.81318407960199002</v>
      </c>
      <c r="F132" s="183">
        <f t="shared" si="37"/>
        <v>0.82711047848461627</v>
      </c>
      <c r="G132" s="183">
        <f t="shared" si="38"/>
        <v>0.83836032388663972</v>
      </c>
      <c r="H132" s="185">
        <f t="shared" si="39"/>
        <v>0.83770299354333788</v>
      </c>
      <c r="I132" s="115"/>
      <c r="J132" s="115"/>
      <c r="K132" s="188"/>
      <c r="L132" s="188"/>
      <c r="M132" s="188"/>
      <c r="N132" s="188"/>
      <c r="O132" s="188"/>
      <c r="P132" s="188"/>
      <c r="Q132" s="189"/>
      <c r="R132" s="177"/>
      <c r="S132" s="177"/>
      <c r="T132" s="190"/>
      <c r="U132" s="139"/>
      <c r="V132" s="154"/>
      <c r="W132" s="170"/>
      <c r="X132" s="491" t="str">
        <f t="shared" si="40"/>
        <v>South East</v>
      </c>
      <c r="Y132" s="534">
        <f>IF(Year1_SouthEast Year1_Assessments_within45days="","",Year1_SouthEast Year1_Assessments_within45days)</f>
        <v>0</v>
      </c>
      <c r="Z132" s="534">
        <f>IF(Year2_SouthEast Year2_Assessments_within45days="","",Year2_SouthEast Year2_Assessments_within45days)</f>
        <v>65380</v>
      </c>
      <c r="AA132" s="534">
        <f>IF(Year3_SouthEast Year3_Assessments_within45days="","",Year3_SouthEast Year3_Assessments_within45days)</f>
        <v>75540</v>
      </c>
      <c r="AB132" s="534">
        <f>IF(Year4_SouthEast Year4_Assessments_within45days="","",Year4_SouthEast Year4_Assessments_within45days)</f>
        <v>82830</v>
      </c>
      <c r="AC132" s="635">
        <f>IF(Year5_SouthEast Year5_Assessments_within45days="","",Year5_SouthEast Year5_Assessments_within45days)</f>
        <v>85630</v>
      </c>
      <c r="AD132" s="638">
        <f>IF(Year1_SouthEast Year1_Continuous_assessments="","",Year1_SouthEast Year1_Continuous_assessments)</f>
        <v>0</v>
      </c>
      <c r="AE132" s="534">
        <f>IF(Year2_SouthEast Year2_Continuous_assessments="","",Year2_SouthEast Year2_Continuous_assessments)</f>
        <v>80400</v>
      </c>
      <c r="AF132" s="534">
        <f>IF(Year3_SouthEast Year3_Continuous_assessments="","",Year3_SouthEast Year3_Continuous_assessments)</f>
        <v>91330</v>
      </c>
      <c r="AG132" s="534">
        <f>IF(Year4_SouthEast Year4_Continuous_assessments="","",Year4_SouthEast Year4_Continuous_assessments)</f>
        <v>98800</v>
      </c>
      <c r="AH132" s="534">
        <f>IF(Year5_SouthEast Year5_Continuous_assessments="","",Year5_SouthEast Year5_Continuous_assessments)</f>
        <v>102220</v>
      </c>
      <c r="AI132" s="232"/>
      <c r="AJ132" s="217"/>
      <c r="AK132" s="178"/>
    </row>
    <row r="133" spans="1:46" s="101" customFormat="1" ht="12.75" customHeight="1" x14ac:dyDescent="0.2">
      <c r="A133" s="138"/>
      <c r="B133" s="370" t="s">
        <v>130</v>
      </c>
      <c r="C133" s="97"/>
      <c r="D133" s="401" t="e">
        <f t="shared" si="35"/>
        <v>#N/A</v>
      </c>
      <c r="E133" s="401">
        <f t="shared" si="36"/>
        <v>0.81499972767378948</v>
      </c>
      <c r="F133" s="401">
        <f t="shared" si="37"/>
        <v>0.8343537890980337</v>
      </c>
      <c r="G133" s="401">
        <f t="shared" si="38"/>
        <v>0.82934023200632745</v>
      </c>
      <c r="H133" s="402">
        <f t="shared" si="39"/>
        <v>0.82693435167725682</v>
      </c>
      <c r="I133" s="115"/>
      <c r="J133" s="115"/>
      <c r="K133" s="188"/>
      <c r="L133" s="188"/>
      <c r="M133" s="188"/>
      <c r="N133" s="188"/>
      <c r="O133" s="188"/>
      <c r="P133" s="188"/>
      <c r="Q133" s="189"/>
      <c r="R133" s="177"/>
      <c r="S133" s="177"/>
      <c r="T133" s="190"/>
      <c r="U133" s="139"/>
      <c r="V133" s="154"/>
      <c r="W133" s="170"/>
      <c r="X133" s="491" t="str">
        <f t="shared" si="40"/>
        <v>England</v>
      </c>
      <c r="Y133" s="424">
        <f>IF(Year1_England Year1_Assessments_within45days="","",Year1_England Year1_Assessments_within45days)</f>
        <v>0</v>
      </c>
      <c r="Z133" s="424">
        <f>IF(Year2_England Year2_Assessments_within45days="","",Year2_England Year2_Assessments_within45days)</f>
        <v>448910</v>
      </c>
      <c r="AA133" s="424">
        <f>IF(Year3_England Year3_Assessments_within45days="","",Year3_England Year3_Assessments_within45days)</f>
        <v>476950</v>
      </c>
      <c r="AB133" s="424">
        <f>IF(Year4_England Year4_Assessments_within45days="","",Year4_England Year4_Assessments_within45days)</f>
        <v>503310</v>
      </c>
      <c r="AC133" s="634">
        <f>IF(Year5_England Year5_Assessments_within45days="","",Year5_England Year5_Assessments_within45days)</f>
        <v>521870</v>
      </c>
      <c r="AD133" s="638">
        <f>IF(Year1_England Year1_Continuous_assessments="","",Year1_England Year1_Continuous_assessments)</f>
        <v>0</v>
      </c>
      <c r="AE133" s="534">
        <f>IF(Year2_England Year2_Continuous_assessments="","",Year2_England Year2_Continuous_assessments)</f>
        <v>550810</v>
      </c>
      <c r="AF133" s="534">
        <f>IF(Year3_England Year3_Continuous_assessments="","",Year3_England Year3_Continuous_assessments)</f>
        <v>571640</v>
      </c>
      <c r="AG133" s="534">
        <f>IF(Year4_England Year4_Continuous_assessments="","",Year4_England Year4_Continuous_assessments)</f>
        <v>606880</v>
      </c>
      <c r="AH133" s="534">
        <f>IF(Year5_England Year5_Continuous_assessments="","",Year5_England Year5_Continuous_assessments)</f>
        <v>631090</v>
      </c>
      <c r="AI133" s="217"/>
      <c r="AJ133" s="232"/>
      <c r="AK133" s="178"/>
    </row>
    <row r="134" spans="1:46" s="101" customFormat="1" ht="7.5" customHeight="1" x14ac:dyDescent="0.2">
      <c r="A134" s="324"/>
      <c r="B134" s="115"/>
      <c r="C134" s="115"/>
      <c r="D134" s="115"/>
      <c r="E134" s="115"/>
      <c r="F134" s="115"/>
      <c r="G134" s="115"/>
      <c r="H134" s="115"/>
      <c r="I134" s="115"/>
      <c r="J134" s="115"/>
      <c r="K134" s="188"/>
      <c r="L134" s="188"/>
      <c r="M134" s="188"/>
      <c r="N134" s="188"/>
      <c r="O134" s="188"/>
      <c r="P134" s="188"/>
      <c r="Q134" s="189"/>
      <c r="R134" s="177"/>
      <c r="S134" s="177"/>
      <c r="T134" s="190"/>
      <c r="U134" s="139"/>
      <c r="V134" s="154"/>
      <c r="W134" s="170"/>
      <c r="X134" s="88"/>
      <c r="Y134" s="88"/>
      <c r="Z134" s="223"/>
      <c r="AA134" s="223"/>
      <c r="AB134" s="224"/>
      <c r="AC134" s="224"/>
      <c r="AD134" s="226"/>
      <c r="AE134" s="232"/>
      <c r="AF134" s="232"/>
      <c r="AG134" s="232"/>
      <c r="AH134" s="217"/>
      <c r="AI134" s="217"/>
      <c r="AJ134" s="232"/>
      <c r="AK134" s="178"/>
    </row>
    <row r="135" spans="1:46" s="88" customFormat="1" ht="39" customHeight="1" x14ac:dyDescent="0.2">
      <c r="A135" s="249"/>
      <c r="B135" s="1091"/>
      <c r="C135" s="1091"/>
      <c r="D135" s="1091"/>
      <c r="E135" s="1091"/>
      <c r="F135" s="1091"/>
      <c r="G135" s="1091"/>
      <c r="H135" s="1091"/>
      <c r="I135" s="452"/>
      <c r="J135" s="192"/>
      <c r="K135" s="192"/>
      <c r="L135" s="192"/>
      <c r="M135" s="192"/>
      <c r="N135" s="192"/>
      <c r="O135" s="192"/>
      <c r="P135" s="192"/>
      <c r="Q135" s="151"/>
      <c r="R135" s="192"/>
      <c r="S135" s="192"/>
      <c r="T135" s="192"/>
      <c r="U135" s="134"/>
      <c r="V135" s="152"/>
      <c r="W135" s="168"/>
      <c r="AC135" s="224"/>
      <c r="AD135" s="226"/>
      <c r="AE135" s="210"/>
      <c r="AF135" s="210"/>
      <c r="AG135" s="210"/>
      <c r="AJ135" s="210"/>
      <c r="AK135" s="179"/>
    </row>
    <row r="136" spans="1:46" s="88" customFormat="1" ht="38.25" customHeight="1" x14ac:dyDescent="0.2">
      <c r="A136" s="249"/>
      <c r="B136" s="452"/>
      <c r="C136" s="452"/>
      <c r="D136" s="452"/>
      <c r="E136" s="452"/>
      <c r="F136" s="452"/>
      <c r="G136" s="452"/>
      <c r="H136" s="452"/>
      <c r="I136" s="452"/>
      <c r="J136" s="192"/>
      <c r="K136" s="192"/>
      <c r="L136" s="192"/>
      <c r="M136" s="192"/>
      <c r="N136" s="192"/>
      <c r="O136" s="192"/>
      <c r="P136" s="192"/>
      <c r="Q136" s="151"/>
      <c r="R136" s="192"/>
      <c r="S136" s="192"/>
      <c r="T136" s="192"/>
      <c r="U136" s="134"/>
      <c r="V136" s="152"/>
      <c r="W136" s="168"/>
      <c r="Y136" s="217"/>
      <c r="AD136" s="226"/>
      <c r="AE136" s="210"/>
      <c r="AF136" s="210"/>
      <c r="AG136" s="210"/>
      <c r="AJ136" s="210"/>
      <c r="AK136" s="179"/>
    </row>
    <row r="137" spans="1:46" s="88" customFormat="1" ht="38.25" customHeight="1" x14ac:dyDescent="0.2">
      <c r="A137" s="249"/>
      <c r="B137" s="452"/>
      <c r="C137" s="452"/>
      <c r="D137" s="452"/>
      <c r="E137" s="452"/>
      <c r="F137" s="452"/>
      <c r="G137" s="452"/>
      <c r="H137" s="452"/>
      <c r="I137" s="452"/>
      <c r="J137" s="192"/>
      <c r="K137" s="192"/>
      <c r="L137" s="192"/>
      <c r="M137" s="192"/>
      <c r="N137" s="192"/>
      <c r="O137" s="192"/>
      <c r="P137" s="192"/>
      <c r="Q137" s="151"/>
      <c r="R137" s="192"/>
      <c r="S137" s="192"/>
      <c r="T137" s="192"/>
      <c r="U137" s="134"/>
      <c r="V137" s="152"/>
      <c r="W137" s="168"/>
      <c r="Y137" s="217"/>
      <c r="AD137" s="226"/>
      <c r="AE137" s="210"/>
      <c r="AF137" s="210"/>
      <c r="AG137" s="210"/>
      <c r="AJ137" s="210"/>
      <c r="AK137" s="179"/>
    </row>
    <row r="138" spans="1:46" s="88" customFormat="1" ht="7.5" customHeight="1" x14ac:dyDescent="0.2">
      <c r="A138" s="135"/>
      <c r="B138" s="18"/>
      <c r="C138" s="18"/>
      <c r="D138" s="17"/>
      <c r="E138" s="17"/>
      <c r="F138" s="17"/>
      <c r="G138" s="17"/>
      <c r="H138" s="17"/>
      <c r="I138" s="17"/>
      <c r="J138" s="13"/>
      <c r="K138" s="19"/>
      <c r="L138" s="19"/>
      <c r="M138" s="19"/>
      <c r="N138" s="19"/>
      <c r="O138" s="19"/>
      <c r="P138" s="19"/>
      <c r="Q138" s="19"/>
      <c r="R138" s="19"/>
      <c r="S138" s="19"/>
      <c r="T138" s="20"/>
      <c r="U138" s="134"/>
      <c r="V138" s="152"/>
      <c r="W138" s="168"/>
      <c r="Y138" s="217"/>
      <c r="AJ138" s="210"/>
      <c r="AK138" s="175"/>
      <c r="AM138" s="80"/>
      <c r="AN138" s="80"/>
      <c r="AO138" s="80"/>
      <c r="AP138" s="80"/>
      <c r="AQ138" s="80"/>
      <c r="AR138" s="80"/>
    </row>
    <row r="139" spans="1:46" s="88" customFormat="1" ht="15" customHeight="1" x14ac:dyDescent="0.2">
      <c r="A139" s="1010"/>
      <c r="B139" s="1018"/>
      <c r="C139" s="1018"/>
      <c r="D139" s="1018"/>
      <c r="E139" s="1018"/>
      <c r="F139" s="1018"/>
      <c r="G139" s="1018"/>
      <c r="H139" s="1018"/>
      <c r="I139" s="1018"/>
      <c r="J139" s="1018"/>
      <c r="K139" s="1018"/>
      <c r="L139" s="1018"/>
      <c r="M139" s="1018"/>
      <c r="N139" s="1018"/>
      <c r="O139" s="1018"/>
      <c r="P139" s="1018"/>
      <c r="Q139" s="1018"/>
      <c r="R139" s="1018"/>
      <c r="S139" s="1018"/>
      <c r="T139" s="1018"/>
      <c r="U139" s="1019"/>
      <c r="V139" s="152"/>
      <c r="W139" s="168"/>
      <c r="AK139" s="179"/>
      <c r="AT139" s="80"/>
    </row>
    <row r="140" spans="1:46" s="88" customFormat="1" ht="11.25" customHeight="1" x14ac:dyDescent="0.2">
      <c r="A140" s="1020" t="str">
        <f>Home!$A$35</f>
        <v>LA's provide quarterly data on the condition that it is used by the benchmarking group for internal reporting only. Please DO NOT share other LA's data with any external partners or the public</v>
      </c>
      <c r="B140" s="1021"/>
      <c r="C140" s="1021"/>
      <c r="D140" s="1021"/>
      <c r="E140" s="1021"/>
      <c r="F140" s="1021"/>
      <c r="G140" s="1021"/>
      <c r="H140" s="1021"/>
      <c r="I140" s="1022"/>
      <c r="J140" s="1021"/>
      <c r="K140" s="1021"/>
      <c r="L140" s="1021"/>
      <c r="M140" s="1021"/>
      <c r="N140" s="1021"/>
      <c r="O140" s="1021"/>
      <c r="P140" s="1021"/>
      <c r="Q140" s="1021"/>
      <c r="R140" s="1021"/>
      <c r="S140" s="1022"/>
      <c r="T140" s="1021"/>
      <c r="U140" s="1023"/>
      <c r="V140" s="152"/>
      <c r="W140" s="168"/>
      <c r="AJ140" s="210"/>
      <c r="AK140" s="178"/>
      <c r="AM140" s="101"/>
      <c r="AT140" s="80"/>
    </row>
    <row r="141" spans="1:46" ht="11.25" customHeight="1" x14ac:dyDescent="0.2">
      <c r="A141" s="129"/>
      <c r="B141" s="130"/>
      <c r="C141" s="130"/>
      <c r="D141" s="130"/>
      <c r="E141" s="130"/>
      <c r="F141" s="130"/>
      <c r="G141" s="130"/>
      <c r="H141" s="130"/>
      <c r="I141" s="130"/>
      <c r="J141" s="131"/>
      <c r="K141" s="130"/>
      <c r="L141" s="130"/>
      <c r="M141" s="130"/>
      <c r="N141" s="130"/>
      <c r="O141" s="130"/>
      <c r="P141" s="130"/>
      <c r="Q141" s="130"/>
      <c r="R141" s="130"/>
      <c r="S141" s="130"/>
      <c r="T141" s="130"/>
      <c r="U141" s="132"/>
      <c r="V141" s="152"/>
      <c r="W141" s="168"/>
      <c r="X141" s="649"/>
      <c r="Y141" s="437"/>
      <c r="Z141" s="438"/>
      <c r="AA141" s="438"/>
      <c r="AB141" s="438"/>
      <c r="AC141" s="650"/>
      <c r="AD141" s="650"/>
      <c r="AJ141" s="210"/>
      <c r="AK141" s="175"/>
    </row>
    <row r="142" spans="1:46" s="82" customFormat="1" ht="15" customHeight="1" x14ac:dyDescent="0.2">
      <c r="A142" s="136"/>
      <c r="B142" s="1090" t="s">
        <v>208</v>
      </c>
      <c r="C142" s="1090"/>
      <c r="D142" s="1090"/>
      <c r="E142" s="1090"/>
      <c r="F142" s="1090"/>
      <c r="G142" s="1090"/>
      <c r="H142" s="1090"/>
      <c r="I142" s="1090"/>
      <c r="J142" s="70"/>
      <c r="K142" s="70"/>
      <c r="L142" s="70"/>
      <c r="M142" s="70"/>
      <c r="N142" s="346"/>
      <c r="O142" s="70"/>
      <c r="P142" s="70"/>
      <c r="Q142" s="70"/>
      <c r="R142" s="70"/>
      <c r="S142" s="70"/>
      <c r="T142" s="70"/>
      <c r="U142" s="137"/>
      <c r="V142" s="153"/>
      <c r="W142" s="169"/>
      <c r="X142" s="438"/>
      <c r="Y142" s="437"/>
      <c r="Z142" s="438"/>
      <c r="AA142" s="438"/>
      <c r="AB142" s="438"/>
      <c r="AC142" s="650"/>
      <c r="AD142" s="650"/>
      <c r="AE142" s="215"/>
      <c r="AF142" s="215"/>
      <c r="AG142" s="215"/>
      <c r="AH142" s="215"/>
      <c r="AI142" s="215"/>
      <c r="AJ142" s="215"/>
      <c r="AK142" s="176"/>
    </row>
    <row r="143" spans="1:46" ht="18" customHeight="1" x14ac:dyDescent="0.2">
      <c r="A143" s="135"/>
      <c r="B143" s="1090"/>
      <c r="C143" s="1090"/>
      <c r="D143" s="1090"/>
      <c r="E143" s="1090"/>
      <c r="F143" s="1090"/>
      <c r="G143" s="1090"/>
      <c r="H143" s="1090"/>
      <c r="I143" s="1090"/>
      <c r="J143" s="70"/>
      <c r="K143" s="70"/>
      <c r="L143" s="70"/>
      <c r="M143" s="70"/>
      <c r="N143" s="346"/>
      <c r="O143" s="70"/>
      <c r="P143" s="70"/>
      <c r="Q143" s="10"/>
      <c r="R143" s="70"/>
      <c r="S143" s="70"/>
      <c r="T143" s="70"/>
      <c r="U143" s="134"/>
      <c r="V143" s="152"/>
      <c r="W143" s="168"/>
      <c r="X143" s="438"/>
      <c r="AJ143" s="88"/>
      <c r="AK143" s="175"/>
    </row>
    <row r="144" spans="1:46" s="101" customFormat="1" ht="34.5" customHeight="1" x14ac:dyDescent="0.2">
      <c r="A144" s="138"/>
      <c r="B144" s="835" t="s">
        <v>215</v>
      </c>
      <c r="C144" s="97"/>
      <c r="D144" s="349" t="s">
        <v>140</v>
      </c>
      <c r="E144" s="349" t="s">
        <v>806</v>
      </c>
      <c r="F144" s="349" t="s">
        <v>807</v>
      </c>
      <c r="G144" s="349" t="s">
        <v>808</v>
      </c>
      <c r="H144" s="350" t="s">
        <v>144</v>
      </c>
      <c r="I144" s="115"/>
      <c r="J144" s="115"/>
      <c r="K144" s="62"/>
      <c r="L144" s="62"/>
      <c r="M144" s="62"/>
      <c r="N144" s="62"/>
      <c r="O144" s="62"/>
      <c r="P144" s="356"/>
      <c r="Q144" s="356"/>
      <c r="R144" s="177"/>
      <c r="S144" s="177"/>
      <c r="T144" s="355"/>
      <c r="U144" s="139"/>
      <c r="V144" s="154"/>
      <c r="W144" s="170"/>
      <c r="X144" s="424"/>
      <c r="Y144" s="651" t="str">
        <f>D144</f>
        <v>Within 10 Days</v>
      </c>
      <c r="Z144" s="651" t="str">
        <f>E144</f>
        <v>11-20 Days</v>
      </c>
      <c r="AA144" s="651" t="str">
        <f>F144</f>
        <v>21-30 Days</v>
      </c>
      <c r="AB144" s="651" t="str">
        <f>G144</f>
        <v>31-45 Days</v>
      </c>
      <c r="AC144" s="651" t="str">
        <f>H144</f>
        <v>Over 45 Days</v>
      </c>
      <c r="AD144" s="652" t="s">
        <v>87</v>
      </c>
      <c r="AE144" s="643" t="s">
        <v>112</v>
      </c>
      <c r="AF144" s="217"/>
      <c r="AG144" s="217"/>
      <c r="AH144" s="217"/>
      <c r="AI144" s="217"/>
      <c r="AJ144" s="217"/>
      <c r="AK144" s="178"/>
    </row>
    <row r="145" spans="1:46" s="101" customFormat="1" ht="12.75" customHeight="1" x14ac:dyDescent="0.2">
      <c r="A145" s="533">
        <f>VLOOKUP(B145,Sheet1!$B$4:$C$25,2,FALSE)</f>
        <v>0</v>
      </c>
      <c r="B145" s="112" t="str">
        <f t="shared" ref="B145:B167" si="41">B9</f>
        <v>Bracknell Forest</v>
      </c>
      <c r="C145" s="97"/>
      <c r="D145" s="182">
        <f>IF($AD145&gt;0,Y145/$AD145,NA())</f>
        <v>0.17425149700598802</v>
      </c>
      <c r="E145" s="182">
        <f t="shared" ref="E145" si="42">IF($AD145&gt;0,Z145/$AD145,NA())</f>
        <v>0.2221556886227545</v>
      </c>
      <c r="F145" s="182">
        <f>IF($AD145&gt;0,AA145/$AD145,NA())</f>
        <v>0.18982035928143712</v>
      </c>
      <c r="G145" s="182">
        <f>IF($AD145&gt;0,AB145/$AD145,NA())</f>
        <v>0.31856287425149699</v>
      </c>
      <c r="H145" s="184">
        <f>IF($AD145&gt;0,AC145/$AD145,NA())</f>
        <v>9.5209580838323357E-2</v>
      </c>
      <c r="I145" s="115"/>
      <c r="J145" s="115"/>
      <c r="K145" s="186"/>
      <c r="L145" s="186"/>
      <c r="M145" s="186"/>
      <c r="N145" s="186"/>
      <c r="O145" s="186"/>
      <c r="P145" s="186"/>
      <c r="Q145" s="187"/>
      <c r="R145" s="177"/>
      <c r="S145" s="177"/>
      <c r="T145" s="186"/>
      <c r="U145" s="139"/>
      <c r="V145" s="154"/>
      <c r="W145" s="170"/>
      <c r="X145" s="491" t="str">
        <f>B145</f>
        <v>Bracknell Forest</v>
      </c>
      <c r="Y145" s="534">
        <f>IF(Year5_Bracknell_Forest Year5_Assessments_10days="","",Year5_Bracknell_Forest Year5_Assessments_10days)</f>
        <v>291</v>
      </c>
      <c r="Z145" s="424">
        <f>IF(Year5_Bracknell_Forest Year5_Assessments_11_25days="","",Year5_Bracknell_Forest Year5_Assessments_11_25days)</f>
        <v>371</v>
      </c>
      <c r="AA145" s="424">
        <f>IF(Year5_Bracknell_Forest Year5_Assessments_26_35days="","",Year5_Bracknell_Forest Year5_Assessments_26_35days)</f>
        <v>317</v>
      </c>
      <c r="AB145" s="424">
        <f>IF(Year5_Bracknell_Forest Year5_Assessments_36_45days="","",Year5_Bracknell_Forest Year5_Assessments_36_45days)</f>
        <v>532</v>
      </c>
      <c r="AC145" s="424">
        <f>IF(Year5_Bracknell_Forest Year5_Assessments_over_45days="","",Year5_Bracknell_Forest Year5_Assessments_over_45days)</f>
        <v>159</v>
      </c>
      <c r="AD145" s="653">
        <f>SUM(Y145:AC145)</f>
        <v>1670</v>
      </c>
      <c r="AE145" s="654">
        <f>SUM(Z145:AB145)/AD145</f>
        <v>0.73053892215568861</v>
      </c>
      <c r="AF145" s="217"/>
      <c r="AG145" s="217"/>
      <c r="AH145" s="217"/>
      <c r="AI145" s="217"/>
      <c r="AJ145" s="217"/>
      <c r="AK145" s="178"/>
    </row>
    <row r="146" spans="1:46" s="101" customFormat="1" ht="12.75" customHeight="1" x14ac:dyDescent="0.2">
      <c r="A146" s="533">
        <f>VLOOKUP(B146,Sheet1!$B$4:$C$25,2,FALSE)</f>
        <v>0</v>
      </c>
      <c r="B146" s="112" t="str">
        <f t="shared" si="41"/>
        <v>Brighton &amp; Hove</v>
      </c>
      <c r="C146" s="97"/>
      <c r="D146" s="182">
        <f t="shared" ref="D146:D168" si="43">IF($AD146&gt;0,Y146/$AD146,NA())</f>
        <v>0.18326545723805998</v>
      </c>
      <c r="E146" s="182">
        <f t="shared" ref="E146:E168" si="44">IF($AD146&gt;0,Z146/$AD146,NA())</f>
        <v>0.1388374676045909</v>
      </c>
      <c r="F146" s="182">
        <f t="shared" ref="F146:F168" si="45">IF($AD146&gt;0,AA146/$AD146,NA())</f>
        <v>0.26952980377637914</v>
      </c>
      <c r="G146" s="182">
        <f t="shared" ref="G146:G168" si="46">IF($AD146&gt;0,AB146/$AD146,NA())</f>
        <v>0.29692706405035174</v>
      </c>
      <c r="H146" s="184">
        <f t="shared" ref="H146:H168" si="47">IF($AD146&gt;0,AC146/$AD146,NA())</f>
        <v>0.1114402073306183</v>
      </c>
      <c r="I146" s="115"/>
      <c r="J146" s="115"/>
      <c r="K146" s="186"/>
      <c r="L146" s="186"/>
      <c r="M146" s="186"/>
      <c r="N146" s="186"/>
      <c r="O146" s="186"/>
      <c r="P146" s="186"/>
      <c r="Q146" s="187"/>
      <c r="R146" s="177"/>
      <c r="S146" s="177"/>
      <c r="T146" s="186"/>
      <c r="U146" s="139"/>
      <c r="V146" s="154"/>
      <c r="W146" s="170"/>
      <c r="X146" s="491" t="str">
        <f t="shared" ref="X146:X167" si="48">B146</f>
        <v>Brighton &amp; Hove</v>
      </c>
      <c r="Y146" s="534">
        <f>IF(Year5_Brighton_Hove Year5_Assessments_10days="","",Year5_Brighton_Hove Year5_Assessments_10days)</f>
        <v>495</v>
      </c>
      <c r="Z146" s="424">
        <f>IF(Year5_Brighton_Hove Year5_Assessments_11_25days="","",Year5_Brighton_Hove Year5_Assessments_11_25days)</f>
        <v>375</v>
      </c>
      <c r="AA146" s="424">
        <f>IF(Year5_Brighton_Hove Year5_Assessments_26_35days="","",Year5_Brighton_Hove Year5_Assessments_26_35days)</f>
        <v>728</v>
      </c>
      <c r="AB146" s="424">
        <f>IF(Year5_Brighton_Hove Year5_Assessments_36_45days="","",Year5_Brighton_Hove Year5_Assessments_36_45days)</f>
        <v>802</v>
      </c>
      <c r="AC146" s="424">
        <f>IF(Year5_Brighton_Hove Year5_Assessments_over_45days="","",Year5_Brighton_Hove Year5_Assessments_over_45days)</f>
        <v>301</v>
      </c>
      <c r="AD146" s="653">
        <f t="shared" ref="AD146:AD157" si="49">SUM(Y146:AC146)</f>
        <v>2701</v>
      </c>
      <c r="AE146" s="654">
        <f t="shared" ref="AE146:AE168" si="50">SUM(Z146:AB146)/AD146</f>
        <v>0.7052943354313217</v>
      </c>
      <c r="AF146" s="217"/>
      <c r="AG146" s="217"/>
      <c r="AH146" s="217"/>
      <c r="AI146" s="217"/>
      <c r="AJ146" s="217"/>
      <c r="AK146" s="178"/>
    </row>
    <row r="147" spans="1:46" s="101" customFormat="1" ht="12.75" customHeight="1" x14ac:dyDescent="0.2">
      <c r="A147" s="533">
        <f>VLOOKUP(B147,Sheet1!$B$4:$C$25,2,FALSE)</f>
        <v>0</v>
      </c>
      <c r="B147" s="112" t="str">
        <f t="shared" si="41"/>
        <v>Buckinghamshire</v>
      </c>
      <c r="C147" s="97"/>
      <c r="D147" s="182">
        <f t="shared" si="43"/>
        <v>0.17391824049725077</v>
      </c>
      <c r="E147" s="182">
        <f t="shared" si="44"/>
        <v>0.13028926607697824</v>
      </c>
      <c r="F147" s="182">
        <f t="shared" si="45"/>
        <v>0.21742768348075545</v>
      </c>
      <c r="G147" s="182">
        <f t="shared" si="46"/>
        <v>0.32153956490557017</v>
      </c>
      <c r="H147" s="184">
        <f t="shared" si="47"/>
        <v>0.15682524503944537</v>
      </c>
      <c r="I147" s="115"/>
      <c r="J147" s="115"/>
      <c r="K147" s="186"/>
      <c r="L147" s="186"/>
      <c r="M147" s="186"/>
      <c r="N147" s="186"/>
      <c r="O147" s="186"/>
      <c r="P147" s="186"/>
      <c r="Q147" s="187"/>
      <c r="R147" s="177"/>
      <c r="S147" s="177"/>
      <c r="T147" s="186"/>
      <c r="U147" s="139"/>
      <c r="V147" s="154"/>
      <c r="W147" s="170"/>
      <c r="X147" s="491" t="str">
        <f t="shared" si="48"/>
        <v>Buckinghamshire</v>
      </c>
      <c r="Y147" s="534">
        <f>IF(Year5_Buckinghamshire Year5_Assessments_10days="","",Year5_Buckinghamshire Year5_Assessments_10days)</f>
        <v>1455</v>
      </c>
      <c r="Z147" s="424">
        <f>IF(Year5_Buckinghamshire Year5_Assessments_11_25days="","",Year5_Buckinghamshire Year5_Assessments_11_25days)</f>
        <v>1090</v>
      </c>
      <c r="AA147" s="424">
        <f>IF(Year5_Buckinghamshire Year5_Assessments_26_35days="","",Year5_Buckinghamshire Year5_Assessments_26_35days)</f>
        <v>1819</v>
      </c>
      <c r="AB147" s="424">
        <f>IF(Year5_Buckinghamshire Year5_Assessments_36_45days="","",Year5_Buckinghamshire Year5_Assessments_36_45days)</f>
        <v>2690</v>
      </c>
      <c r="AC147" s="424">
        <f>IF(Year5_Buckinghamshire Year5_Assessments_over_45days="","",Year5_Buckinghamshire Year5_Assessments_over_45days)</f>
        <v>1312</v>
      </c>
      <c r="AD147" s="653">
        <f t="shared" si="49"/>
        <v>8366</v>
      </c>
      <c r="AE147" s="654">
        <f t="shared" si="50"/>
        <v>0.66925651446330381</v>
      </c>
      <c r="AF147" s="217"/>
      <c r="AG147" s="217"/>
      <c r="AH147" s="217"/>
      <c r="AI147" s="217"/>
      <c r="AJ147" s="217"/>
      <c r="AK147" s="178"/>
    </row>
    <row r="148" spans="1:46" s="101" customFormat="1" ht="12.75" customHeight="1" x14ac:dyDescent="0.2">
      <c r="A148" s="533">
        <f>VLOOKUP(B148,Sheet1!$B$4:$C$25,2,FALSE)</f>
        <v>0</v>
      </c>
      <c r="B148" s="112" t="str">
        <f t="shared" si="41"/>
        <v>East Sussex</v>
      </c>
      <c r="C148" s="97"/>
      <c r="D148" s="182">
        <f t="shared" si="43"/>
        <v>8.5195530726256977E-2</v>
      </c>
      <c r="E148" s="182">
        <f t="shared" si="44"/>
        <v>0.1430167597765363</v>
      </c>
      <c r="F148" s="182">
        <f t="shared" si="45"/>
        <v>0.15502793296089384</v>
      </c>
      <c r="G148" s="182">
        <f t="shared" si="46"/>
        <v>0.22318435754189944</v>
      </c>
      <c r="H148" s="184">
        <f t="shared" si="47"/>
        <v>0.3935754189944134</v>
      </c>
      <c r="I148" s="115"/>
      <c r="J148" s="115"/>
      <c r="K148" s="186"/>
      <c r="L148" s="186"/>
      <c r="M148" s="186"/>
      <c r="N148" s="186"/>
      <c r="O148" s="186"/>
      <c r="P148" s="186"/>
      <c r="Q148" s="187"/>
      <c r="R148" s="177"/>
      <c r="S148" s="177"/>
      <c r="T148" s="186"/>
      <c r="U148" s="139"/>
      <c r="V148" s="154"/>
      <c r="W148" s="170"/>
      <c r="X148" s="491" t="str">
        <f t="shared" si="48"/>
        <v>East Sussex</v>
      </c>
      <c r="Y148" s="655">
        <f>IF(Year5_East_Sussex Year5_Assessments_10days="","",Year5_East_Sussex Year5_Assessments_10days)</f>
        <v>305</v>
      </c>
      <c r="Z148" s="424">
        <f>IF(Year5_East_Sussex Year5_Assessments_11_25days="","",Year5_East_Sussex Year5_Assessments_11_25days)</f>
        <v>512</v>
      </c>
      <c r="AA148" s="424">
        <f>IF(Year5_East_Sussex Year5_Assessments_26_35days="","",Year5_East_Sussex Year5_Assessments_26_35days)</f>
        <v>555</v>
      </c>
      <c r="AB148" s="424">
        <f>IF(Year5_East_Sussex Year5_Assessments_36_45days="","",Year5_East_Sussex Year5_Assessments_36_45days)</f>
        <v>799</v>
      </c>
      <c r="AC148" s="424">
        <f>IF(Year5_East_Sussex Year5_Assessments_over_45days="","",Year5_East_Sussex Year5_Assessments_over_45days)</f>
        <v>1409</v>
      </c>
      <c r="AD148" s="653">
        <f t="shared" si="49"/>
        <v>3580</v>
      </c>
      <c r="AE148" s="654">
        <f t="shared" si="50"/>
        <v>0.52122905027932964</v>
      </c>
      <c r="AF148" s="217"/>
      <c r="AG148" s="217"/>
      <c r="AH148" s="217"/>
      <c r="AI148" s="217"/>
      <c r="AJ148" s="217"/>
      <c r="AK148" s="178"/>
    </row>
    <row r="149" spans="1:46" s="101" customFormat="1" ht="12.75" customHeight="1" x14ac:dyDescent="0.2">
      <c r="A149" s="533">
        <f>VLOOKUP(B149,Sheet1!$B$4:$C$25,2,FALSE)</f>
        <v>0</v>
      </c>
      <c r="B149" s="112" t="str">
        <f t="shared" si="41"/>
        <v>Hampshire</v>
      </c>
      <c r="C149" s="97"/>
      <c r="D149" s="182">
        <f t="shared" si="43"/>
        <v>0.29909399773499434</v>
      </c>
      <c r="E149" s="182">
        <f t="shared" si="44"/>
        <v>0.41800679501698756</v>
      </c>
      <c r="F149" s="182">
        <f t="shared" si="45"/>
        <v>0.10203850509626274</v>
      </c>
      <c r="G149" s="182">
        <f t="shared" si="46"/>
        <v>9.2865232163080402E-2</v>
      </c>
      <c r="H149" s="184">
        <f t="shared" si="47"/>
        <v>8.7995469988674968E-2</v>
      </c>
      <c r="I149" s="115"/>
      <c r="J149" s="115"/>
      <c r="K149" s="186"/>
      <c r="L149" s="186"/>
      <c r="M149" s="186"/>
      <c r="N149" s="186"/>
      <c r="O149" s="186"/>
      <c r="P149" s="186"/>
      <c r="Q149" s="187"/>
      <c r="R149" s="177"/>
      <c r="S149" s="177"/>
      <c r="T149" s="186"/>
      <c r="U149" s="139"/>
      <c r="V149" s="154"/>
      <c r="W149" s="170"/>
      <c r="X149" s="491" t="str">
        <f t="shared" si="48"/>
        <v>Hampshire</v>
      </c>
      <c r="Y149" s="534">
        <f>IF(Year5_Hampshire Year5_Assessments_10days="","",Year5_Hampshire Year5_Assessments_10days)</f>
        <v>5282</v>
      </c>
      <c r="Z149" s="424">
        <f>IF(Year5_Hampshire Year5_Assessments_11_25days="","",Year5_Hampshire Year5_Assessments_11_25days)</f>
        <v>7382</v>
      </c>
      <c r="AA149" s="424">
        <f>IF(Year5_Hampshire Year5_Assessments_26_35days="","",Year5_Hampshire Year5_Assessments_26_35days)</f>
        <v>1802</v>
      </c>
      <c r="AB149" s="424">
        <f>IF(Year5_Hampshire Year5_Assessments_36_45days="","",Year5_Hampshire Year5_Assessments_36_45days)</f>
        <v>1640</v>
      </c>
      <c r="AC149" s="424">
        <f>IF(Year5_Hampshire Year5_Assessments_over_45days="","",Year5_Hampshire Year5_Assessments_over_45days)</f>
        <v>1554</v>
      </c>
      <c r="AD149" s="653">
        <f t="shared" si="49"/>
        <v>17660</v>
      </c>
      <c r="AE149" s="654">
        <f t="shared" si="50"/>
        <v>0.61291053227633074</v>
      </c>
      <c r="AF149" s="217"/>
      <c r="AG149" s="217"/>
      <c r="AH149" s="217"/>
      <c r="AI149" s="217"/>
      <c r="AJ149" s="217"/>
      <c r="AK149" s="178"/>
    </row>
    <row r="150" spans="1:46" s="101" customFormat="1" ht="12.75" customHeight="1" x14ac:dyDescent="0.2">
      <c r="A150" s="533">
        <f>VLOOKUP(B150,Sheet1!$B$4:$C$25,2,FALSE)</f>
        <v>0</v>
      </c>
      <c r="B150" s="112" t="str">
        <f t="shared" si="41"/>
        <v>Isle of Wight</v>
      </c>
      <c r="C150" s="97"/>
      <c r="D150" s="182">
        <f t="shared" si="43"/>
        <v>0.27659574468085107</v>
      </c>
      <c r="E150" s="182">
        <f t="shared" si="44"/>
        <v>0.28443449048152297</v>
      </c>
      <c r="F150" s="182">
        <f t="shared" si="45"/>
        <v>0.15677491601343785</v>
      </c>
      <c r="G150" s="182">
        <f t="shared" si="46"/>
        <v>0.14333706606942889</v>
      </c>
      <c r="H150" s="184">
        <f t="shared" si="47"/>
        <v>0.13885778275475924</v>
      </c>
      <c r="I150" s="115"/>
      <c r="J150" s="115"/>
      <c r="K150" s="186"/>
      <c r="L150" s="186"/>
      <c r="M150" s="186"/>
      <c r="N150" s="186"/>
      <c r="O150" s="186"/>
      <c r="P150" s="186"/>
      <c r="Q150" s="187"/>
      <c r="R150" s="177"/>
      <c r="S150" s="177"/>
      <c r="T150" s="186"/>
      <c r="U150" s="139"/>
      <c r="V150" s="154"/>
      <c r="W150" s="170"/>
      <c r="X150" s="491" t="str">
        <f t="shared" si="48"/>
        <v>Isle of Wight</v>
      </c>
      <c r="Y150" s="534">
        <f>IF(Year5_Isle_of_Wight Year5_Assessments_10days="","",Year5_Isle_of_Wight Year5_Assessments_10days)</f>
        <v>741</v>
      </c>
      <c r="Z150" s="424">
        <f>IF(Year5_Isle_of_Wight Year5_Assessments_11_25days="","",Year5_Isle_of_Wight Year5_Assessments_11_25days)</f>
        <v>762</v>
      </c>
      <c r="AA150" s="424">
        <f>IF(Year5_Isle_of_Wight Year5_Assessments_26_35days="","",Year5_Isle_of_Wight Year5_Assessments_26_35days)</f>
        <v>420</v>
      </c>
      <c r="AB150" s="424">
        <f>IF(Year5_Isle_of_Wight Year5_Assessments_36_45days="","",Year5_Isle_of_Wight Year5_Assessments_36_45days)</f>
        <v>384</v>
      </c>
      <c r="AC150" s="424">
        <f>IF(Year5_Isle_of_Wight Year5_Assessments_over_45days="","",Year5_Isle_of_Wight Year5_Assessments_over_45days)</f>
        <v>372</v>
      </c>
      <c r="AD150" s="653">
        <f t="shared" si="49"/>
        <v>2679</v>
      </c>
      <c r="AE150" s="654">
        <f t="shared" si="50"/>
        <v>0.58454647256438974</v>
      </c>
      <c r="AF150" s="217"/>
      <c r="AG150" s="217"/>
      <c r="AH150" s="217"/>
      <c r="AI150" s="217"/>
      <c r="AJ150" s="217"/>
      <c r="AK150" s="178"/>
      <c r="AT150" s="101" t="s">
        <v>104</v>
      </c>
    </row>
    <row r="151" spans="1:46" s="101" customFormat="1" ht="12.75" customHeight="1" x14ac:dyDescent="0.2">
      <c r="A151" s="533">
        <f>VLOOKUP(B151,Sheet1!$B$4:$C$25,2,FALSE)</f>
        <v>0</v>
      </c>
      <c r="B151" s="112" t="str">
        <f t="shared" si="41"/>
        <v>Kent</v>
      </c>
      <c r="C151" s="97"/>
      <c r="D151" s="182">
        <f t="shared" si="43"/>
        <v>7.6592128326339826E-2</v>
      </c>
      <c r="E151" s="182">
        <f t="shared" si="44"/>
        <v>0.11504753811016094</v>
      </c>
      <c r="F151" s="182">
        <f t="shared" si="45"/>
        <v>0.23662824666702076</v>
      </c>
      <c r="G151" s="182">
        <f t="shared" si="46"/>
        <v>0.44032506506612845</v>
      </c>
      <c r="H151" s="184">
        <f t="shared" si="47"/>
        <v>0.13140702183035002</v>
      </c>
      <c r="I151" s="115"/>
      <c r="J151" s="115"/>
      <c r="K151" s="186"/>
      <c r="L151" s="186"/>
      <c r="M151" s="186"/>
      <c r="N151" s="186"/>
      <c r="O151" s="186"/>
      <c r="P151" s="186"/>
      <c r="Q151" s="187"/>
      <c r="R151" s="177"/>
      <c r="S151" s="177"/>
      <c r="T151" s="186"/>
      <c r="U151" s="139"/>
      <c r="V151" s="154"/>
      <c r="W151" s="170"/>
      <c r="X151" s="491" t="str">
        <f t="shared" si="48"/>
        <v>Kent</v>
      </c>
      <c r="Y151" s="655">
        <f>IF(Year5_Kent Year5_Assessments_10days="","",Year5_Kent Year5_Assessments_10days)</f>
        <v>1442</v>
      </c>
      <c r="Z151" s="656">
        <f>IF(Year5_Kent Year5_Assessments_11_25days="","",Year5_Kent Year5_Assessments_11_25days)</f>
        <v>2166</v>
      </c>
      <c r="AA151" s="656">
        <f>IF(Year5_Kent Year5_Assessments_26_35days="","",Year5_Kent Year5_Assessments_26_35days)</f>
        <v>4455</v>
      </c>
      <c r="AB151" s="656">
        <f>IF(Year5_Kent Year5_Assessments_36_45days="","",Year5_Kent Year5_Assessments_36_45days)</f>
        <v>8290</v>
      </c>
      <c r="AC151" s="656">
        <f>IF(Year5_Kent Year5_Assessments_over_45days="","",Year5_Kent Year5_Assessments_over_45days)</f>
        <v>2474</v>
      </c>
      <c r="AD151" s="653">
        <f t="shared" si="49"/>
        <v>18827</v>
      </c>
      <c r="AE151" s="654">
        <f t="shared" si="50"/>
        <v>0.7920008498433101</v>
      </c>
      <c r="AF151" s="217"/>
      <c r="AG151" s="217"/>
      <c r="AH151" s="217"/>
      <c r="AI151" s="217"/>
      <c r="AJ151" s="217"/>
      <c r="AK151" s="178"/>
    </row>
    <row r="152" spans="1:46" s="101" customFormat="1" ht="12.75" customHeight="1" x14ac:dyDescent="0.2">
      <c r="A152" s="533">
        <f>VLOOKUP(B152,Sheet1!$B$4:$C$25,2,FALSE)</f>
        <v>0</v>
      </c>
      <c r="B152" s="112" t="str">
        <f t="shared" si="41"/>
        <v>Medway</v>
      </c>
      <c r="C152" s="97"/>
      <c r="D152" s="182">
        <f t="shared" si="43"/>
        <v>5.8589079314467912E-2</v>
      </c>
      <c r="E152" s="182">
        <f t="shared" si="44"/>
        <v>9.8445595854922283E-2</v>
      </c>
      <c r="F152" s="182">
        <f t="shared" si="45"/>
        <v>0.15464328417696294</v>
      </c>
      <c r="G152" s="182">
        <f t="shared" si="46"/>
        <v>0.54762853726584293</v>
      </c>
      <c r="H152" s="184">
        <f t="shared" si="47"/>
        <v>0.1406935033878039</v>
      </c>
      <c r="I152" s="115"/>
      <c r="J152" s="115"/>
      <c r="K152" s="186"/>
      <c r="L152" s="186"/>
      <c r="M152" s="186"/>
      <c r="N152" s="186"/>
      <c r="O152" s="186"/>
      <c r="P152" s="186"/>
      <c r="Q152" s="187"/>
      <c r="R152" s="177"/>
      <c r="S152" s="177"/>
      <c r="T152" s="186"/>
      <c r="U152" s="139"/>
      <c r="V152" s="154"/>
      <c r="W152" s="170"/>
      <c r="X152" s="491" t="str">
        <f t="shared" si="48"/>
        <v>Medway</v>
      </c>
      <c r="Y152" s="655">
        <f>IF(Year5_Medway Year5_Assessments_10days="","",Year5_Medway Year5_Assessments_10days)</f>
        <v>147</v>
      </c>
      <c r="Z152" s="656">
        <f>IF(Year5_Medway Year5_Assessments_11_25days="","",Year5_Medway Year5_Assessments_11_25days)</f>
        <v>247</v>
      </c>
      <c r="AA152" s="656">
        <f>IF(Year5_Medway Year5_Assessments_26_35days="","",Year5_Medway Year5_Assessments_26_35days)</f>
        <v>388</v>
      </c>
      <c r="AB152" s="656">
        <f>IF(Year5_Medway Year5_Assessments_36_45days="","",Year5_Medway Year5_Assessments_36_45days)</f>
        <v>1374</v>
      </c>
      <c r="AC152" s="656">
        <f>IF(Year5_Medway Year5_Assessments_over_45days="","",Year5_Medway Year5_Assessments_over_45days)</f>
        <v>353</v>
      </c>
      <c r="AD152" s="653">
        <f t="shared" si="49"/>
        <v>2509</v>
      </c>
      <c r="AE152" s="654">
        <f t="shared" si="50"/>
        <v>0.80071741729772816</v>
      </c>
      <c r="AF152" s="217"/>
      <c r="AG152" s="217"/>
      <c r="AH152" s="217"/>
      <c r="AI152" s="217"/>
      <c r="AJ152" s="217"/>
      <c r="AK152" s="178"/>
    </row>
    <row r="153" spans="1:46" s="101" customFormat="1" ht="12.75" customHeight="1" x14ac:dyDescent="0.2">
      <c r="A153" s="533">
        <f>VLOOKUP(B153,Sheet1!$B$4:$C$25,2,FALSE)</f>
        <v>0</v>
      </c>
      <c r="B153" s="112" t="str">
        <f t="shared" si="41"/>
        <v>Milton Keynes</v>
      </c>
      <c r="C153" s="97"/>
      <c r="D153" s="182">
        <f t="shared" si="43"/>
        <v>0.2797107998192499</v>
      </c>
      <c r="E153" s="182">
        <f t="shared" si="44"/>
        <v>0.27519204699502936</v>
      </c>
      <c r="F153" s="182">
        <f t="shared" si="45"/>
        <v>0.20921825576140984</v>
      </c>
      <c r="G153" s="182">
        <f t="shared" si="46"/>
        <v>0.11342069588793494</v>
      </c>
      <c r="H153" s="184">
        <f t="shared" si="47"/>
        <v>0.12245820153637596</v>
      </c>
      <c r="I153" s="115"/>
      <c r="J153" s="115"/>
      <c r="K153" s="186"/>
      <c r="L153" s="186"/>
      <c r="M153" s="186"/>
      <c r="N153" s="186"/>
      <c r="O153" s="186"/>
      <c r="P153" s="186"/>
      <c r="Q153" s="187"/>
      <c r="R153" s="177"/>
      <c r="S153" s="177"/>
      <c r="T153" s="186"/>
      <c r="U153" s="139"/>
      <c r="V153" s="154"/>
      <c r="W153" s="170"/>
      <c r="X153" s="491" t="str">
        <f t="shared" si="48"/>
        <v>Milton Keynes</v>
      </c>
      <c r="Y153" s="655">
        <f>IF(Year5_Milton_Keynes Year5_Assessments_10days="","",Year5_Milton_Keynes Year5_Assessments_10days)</f>
        <v>619</v>
      </c>
      <c r="Z153" s="656">
        <f>IF(Year5_Milton_Keynes Year5_Assessments_11_25days="","",Year5_Milton_Keynes Year5_Assessments_11_25days)</f>
        <v>609</v>
      </c>
      <c r="AA153" s="656">
        <f>IF(Year5_Milton_Keynes Year5_Assessments_26_35days="","",Year5_Milton_Keynes Year5_Assessments_26_35days)</f>
        <v>463</v>
      </c>
      <c r="AB153" s="656">
        <f>IF(Year5_Milton_Keynes Year5_Assessments_36_45days="","",Year5_Milton_Keynes Year5_Assessments_36_45days)</f>
        <v>251</v>
      </c>
      <c r="AC153" s="656">
        <f>IF(Year5_Milton_Keynes Year5_Assessments_over_45days="","",Year5_Milton_Keynes Year5_Assessments_over_45days)</f>
        <v>271</v>
      </c>
      <c r="AD153" s="653">
        <f t="shared" si="49"/>
        <v>2213</v>
      </c>
      <c r="AE153" s="654">
        <f t="shared" si="50"/>
        <v>0.59783099864437417</v>
      </c>
      <c r="AF153" s="217"/>
      <c r="AG153" s="217"/>
      <c r="AH153" s="217"/>
      <c r="AI153" s="217"/>
      <c r="AJ153" s="217"/>
      <c r="AK153" s="178"/>
    </row>
    <row r="154" spans="1:46" s="101" customFormat="1" ht="12.75" customHeight="1" x14ac:dyDescent="0.2">
      <c r="A154" s="533">
        <f>VLOOKUP(B154,Sheet1!$B$4:$C$25,2,FALSE)</f>
        <v>0</v>
      </c>
      <c r="B154" s="112" t="str">
        <f t="shared" si="41"/>
        <v>Oxfordshire</v>
      </c>
      <c r="C154" s="97"/>
      <c r="D154" s="182">
        <f t="shared" si="43"/>
        <v>4.4214162348877373E-2</v>
      </c>
      <c r="E154" s="182">
        <f t="shared" si="44"/>
        <v>9.6545768566493953E-2</v>
      </c>
      <c r="F154" s="182">
        <f t="shared" si="45"/>
        <v>0.12521588946459414</v>
      </c>
      <c r="G154" s="182">
        <f t="shared" si="46"/>
        <v>0.25094991364421415</v>
      </c>
      <c r="H154" s="184">
        <f t="shared" si="47"/>
        <v>0.48307426597582037</v>
      </c>
      <c r="I154" s="115"/>
      <c r="J154" s="115"/>
      <c r="K154" s="186"/>
      <c r="L154" s="186"/>
      <c r="M154" s="186"/>
      <c r="N154" s="186"/>
      <c r="O154" s="186"/>
      <c r="P154" s="186"/>
      <c r="Q154" s="187"/>
      <c r="R154" s="177"/>
      <c r="S154" s="177"/>
      <c r="T154" s="186"/>
      <c r="U154" s="139"/>
      <c r="V154" s="154"/>
      <c r="W154" s="170"/>
      <c r="X154" s="491" t="str">
        <f t="shared" si="48"/>
        <v>Oxfordshire</v>
      </c>
      <c r="Y154" s="534">
        <f>IF(Year5_Oxfordshire Year5_Assessments_10days="","",Year5_Oxfordshire Year5_Assessments_10days)</f>
        <v>256</v>
      </c>
      <c r="Z154" s="424">
        <f>IF(Year5_Oxfordshire Year5_Assessments_11_25days="","",Year5_Oxfordshire Year5_Assessments_11_25days)</f>
        <v>559</v>
      </c>
      <c r="AA154" s="424">
        <f>IF(Year5_Oxfordshire Year5_Assessments_26_35days="","",Year5_Oxfordshire Year5_Assessments_26_35days)</f>
        <v>725</v>
      </c>
      <c r="AB154" s="424">
        <f>IF(Year5_Oxfordshire Year5_Assessments_36_45days="","",Year5_Oxfordshire Year5_Assessments_36_45days)</f>
        <v>1453</v>
      </c>
      <c r="AC154" s="424">
        <f>IF(Year5_Oxfordshire Year5_Assessments_over_45days="","",Year5_Oxfordshire Year5_Assessments_over_45days)</f>
        <v>2797</v>
      </c>
      <c r="AD154" s="653">
        <f t="shared" si="49"/>
        <v>5790</v>
      </c>
      <c r="AE154" s="654">
        <f t="shared" si="50"/>
        <v>0.47271157167530226</v>
      </c>
      <c r="AF154" s="217"/>
      <c r="AG154" s="217"/>
      <c r="AH154" s="217"/>
      <c r="AI154" s="217"/>
      <c r="AJ154" s="217"/>
      <c r="AK154" s="178"/>
    </row>
    <row r="155" spans="1:46" s="101" customFormat="1" ht="12.75" customHeight="1" x14ac:dyDescent="0.2">
      <c r="A155" s="533">
        <f>VLOOKUP(B155,Sheet1!$B$4:$C$25,2,FALSE)</f>
        <v>0</v>
      </c>
      <c r="B155" s="112" t="str">
        <f t="shared" si="41"/>
        <v>Portsmouth</v>
      </c>
      <c r="C155" s="97"/>
      <c r="D155" s="182">
        <f t="shared" si="43"/>
        <v>0.30407523510971785</v>
      </c>
      <c r="E155" s="182">
        <f t="shared" si="44"/>
        <v>0.25642633228840123</v>
      </c>
      <c r="F155" s="182">
        <f t="shared" si="45"/>
        <v>0.18777429467084639</v>
      </c>
      <c r="G155" s="182">
        <f t="shared" si="46"/>
        <v>0.18746081504702194</v>
      </c>
      <c r="H155" s="184">
        <f t="shared" si="47"/>
        <v>6.4263322884012541E-2</v>
      </c>
      <c r="I155" s="115"/>
      <c r="J155" s="115"/>
      <c r="K155" s="186"/>
      <c r="L155" s="186"/>
      <c r="M155" s="186"/>
      <c r="N155" s="186"/>
      <c r="O155" s="186"/>
      <c r="P155" s="186"/>
      <c r="Q155" s="187"/>
      <c r="R155" s="177"/>
      <c r="S155" s="177"/>
      <c r="T155" s="186"/>
      <c r="U155" s="139"/>
      <c r="V155" s="154"/>
      <c r="W155" s="170"/>
      <c r="X155" s="491" t="str">
        <f t="shared" si="48"/>
        <v>Portsmouth</v>
      </c>
      <c r="Y155" s="534">
        <f>IF(Year5_Portsmouth Year5_Assessments_10days="","",Year5_Portsmouth Year5_Assessments_10days)</f>
        <v>970</v>
      </c>
      <c r="Z155" s="424">
        <f>IF(Year5_Portsmouth Year5_Assessments_11_25days="","",Year5_Portsmouth Year5_Assessments_11_25days)</f>
        <v>818</v>
      </c>
      <c r="AA155" s="424">
        <f>IF(Year5_Portsmouth Year5_Assessments_26_35days="","",Year5_Portsmouth Year5_Assessments_26_35days)</f>
        <v>599</v>
      </c>
      <c r="AB155" s="424">
        <f>IF(Year5_Portsmouth Year5_Assessments_36_45days="","",Year5_Portsmouth Year5_Assessments_36_45days)</f>
        <v>598</v>
      </c>
      <c r="AC155" s="424">
        <f>IF(Year5_Portsmouth Year5_Assessments_over_45days="","",Year5_Portsmouth Year5_Assessments_over_45days)</f>
        <v>205</v>
      </c>
      <c r="AD155" s="653">
        <f t="shared" si="49"/>
        <v>3190</v>
      </c>
      <c r="AE155" s="654">
        <f t="shared" si="50"/>
        <v>0.63166144200626961</v>
      </c>
      <c r="AF155" s="217"/>
      <c r="AG155" s="217"/>
      <c r="AH155" s="217"/>
      <c r="AI155" s="217"/>
      <c r="AJ155" s="217"/>
      <c r="AK155" s="178"/>
    </row>
    <row r="156" spans="1:46" s="101" customFormat="1" ht="12.75" customHeight="1" x14ac:dyDescent="0.2">
      <c r="A156" s="533">
        <f>VLOOKUP(B156,Sheet1!$B$4:$C$25,2,FALSE)</f>
        <v>0</v>
      </c>
      <c r="B156" s="112" t="str">
        <f t="shared" si="41"/>
        <v>Reading</v>
      </c>
      <c r="C156" s="97"/>
      <c r="D156" s="182">
        <f t="shared" si="43"/>
        <v>0.18237190970978143</v>
      </c>
      <c r="E156" s="182">
        <f t="shared" si="44"/>
        <v>0.12647796488713722</v>
      </c>
      <c r="F156" s="182">
        <f t="shared" si="45"/>
        <v>0.15657470440702256</v>
      </c>
      <c r="G156" s="182">
        <f t="shared" si="46"/>
        <v>0.39663203152991761</v>
      </c>
      <c r="H156" s="184">
        <f t="shared" si="47"/>
        <v>0.13794338946614118</v>
      </c>
      <c r="I156" s="115"/>
      <c r="J156" s="115"/>
      <c r="K156" s="186"/>
      <c r="L156" s="186"/>
      <c r="M156" s="186"/>
      <c r="N156" s="186"/>
      <c r="O156" s="186"/>
      <c r="P156" s="186"/>
      <c r="Q156" s="187"/>
      <c r="R156" s="177"/>
      <c r="S156" s="177"/>
      <c r="T156" s="186"/>
      <c r="U156" s="139"/>
      <c r="V156" s="154"/>
      <c r="W156" s="170"/>
      <c r="X156" s="491" t="str">
        <f t="shared" si="48"/>
        <v>Reading</v>
      </c>
      <c r="Y156" s="534">
        <f>IF(Year5_Reading Year5_Assessments_10days="","",Year5_Reading Year5_Assessments_10days)</f>
        <v>509</v>
      </c>
      <c r="Z156" s="424">
        <f>IF(Year5_Reading Year5_Assessments_11_25days="","",Year5_Reading Year5_Assessments_11_25days)</f>
        <v>353</v>
      </c>
      <c r="AA156" s="424">
        <f>IF(Year5_Reading Year5_Assessments_26_35days="","",Year5_Reading Year5_Assessments_26_35days)</f>
        <v>437</v>
      </c>
      <c r="AB156" s="424">
        <f>IF(Year5_Reading Year5_Assessments_36_45days="","",Year5_Reading Year5_Assessments_36_45days)</f>
        <v>1107</v>
      </c>
      <c r="AC156" s="424">
        <f>IF(Year5_Reading Year5_Assessments_over_45days="","",Year5_Reading Year5_Assessments_over_45days)</f>
        <v>385</v>
      </c>
      <c r="AD156" s="653">
        <f t="shared" si="49"/>
        <v>2791</v>
      </c>
      <c r="AE156" s="654">
        <f t="shared" si="50"/>
        <v>0.67968470082407739</v>
      </c>
      <c r="AF156" s="217"/>
      <c r="AG156" s="217"/>
      <c r="AH156" s="217"/>
      <c r="AI156" s="217"/>
      <c r="AJ156" s="217"/>
      <c r="AK156" s="178"/>
    </row>
    <row r="157" spans="1:46" s="101" customFormat="1" ht="12.75" customHeight="1" x14ac:dyDescent="0.2">
      <c r="A157" s="533">
        <f>VLOOKUP(B157,Sheet1!$B$4:$C$25,2,FALSE)</f>
        <v>0</v>
      </c>
      <c r="B157" s="112" t="str">
        <f t="shared" si="41"/>
        <v>Slough</v>
      </c>
      <c r="C157" s="97"/>
      <c r="D157" s="182">
        <f t="shared" si="43"/>
        <v>0</v>
      </c>
      <c r="E157" s="182">
        <f t="shared" si="44"/>
        <v>7.6043068640646028E-2</v>
      </c>
      <c r="F157" s="182">
        <f t="shared" si="45"/>
        <v>0.2079407806191117</v>
      </c>
      <c r="G157" s="182">
        <f t="shared" si="46"/>
        <v>0.28196500672947511</v>
      </c>
      <c r="H157" s="184">
        <f t="shared" si="47"/>
        <v>0.43405114401076716</v>
      </c>
      <c r="I157" s="115"/>
      <c r="J157" s="115"/>
      <c r="K157" s="186"/>
      <c r="L157" s="186"/>
      <c r="M157" s="186"/>
      <c r="N157" s="186"/>
      <c r="O157" s="186"/>
      <c r="P157" s="186"/>
      <c r="Q157" s="187"/>
      <c r="R157" s="177"/>
      <c r="S157" s="177"/>
      <c r="T157" s="186"/>
      <c r="U157" s="139"/>
      <c r="V157" s="154"/>
      <c r="W157" s="170"/>
      <c r="X157" s="491" t="str">
        <f t="shared" si="48"/>
        <v>Slough</v>
      </c>
      <c r="Y157" s="534">
        <f>IF(Year5_Slough Year5_Assessments_10days="","",Year5_Slough Year5_Assessments_10days)</f>
        <v>0</v>
      </c>
      <c r="Z157" s="424">
        <f>IF(Year5_Slough Year5_Assessments_11_25days="","",Year5_Slough Year5_Assessments_11_25days)</f>
        <v>113</v>
      </c>
      <c r="AA157" s="424">
        <f>IF(Year5_Slough Year5_Assessments_26_35days="","",Year5_Slough Year5_Assessments_26_35days)</f>
        <v>309</v>
      </c>
      <c r="AB157" s="424">
        <f>IF(Year5_Slough Year5_Assessments_36_45days="","",Year5_Slough Year5_Assessments_36_45days)</f>
        <v>419</v>
      </c>
      <c r="AC157" s="424">
        <f>IF(Year5_Slough Year5_Assessments_over_45days="","",Year5_Slough Year5_Assessments_over_45days)</f>
        <v>645</v>
      </c>
      <c r="AD157" s="653">
        <f t="shared" si="49"/>
        <v>1486</v>
      </c>
      <c r="AE157" s="654">
        <f t="shared" si="50"/>
        <v>0.56594885598923284</v>
      </c>
      <c r="AF157" s="217"/>
      <c r="AG157" s="217"/>
      <c r="AH157" s="217"/>
      <c r="AI157" s="217"/>
      <c r="AJ157" s="217"/>
      <c r="AK157" s="178"/>
    </row>
    <row r="158" spans="1:46" s="101" customFormat="1" ht="12.75" customHeight="1" x14ac:dyDescent="0.2">
      <c r="A158" s="533">
        <f>VLOOKUP(B158,Sheet1!$B$4:$C$25,2,FALSE)</f>
        <v>0</v>
      </c>
      <c r="B158" s="112" t="str">
        <f t="shared" si="41"/>
        <v>Somerset</v>
      </c>
      <c r="C158" s="97"/>
      <c r="D158" s="182">
        <f t="shared" si="43"/>
        <v>0.20286481647269472</v>
      </c>
      <c r="E158" s="182">
        <f t="shared" si="44"/>
        <v>0.16383169203222919</v>
      </c>
      <c r="F158" s="182">
        <f t="shared" si="45"/>
        <v>0.18316920322291852</v>
      </c>
      <c r="G158" s="182">
        <f t="shared" si="46"/>
        <v>0.25675917636526407</v>
      </c>
      <c r="H158" s="184">
        <f t="shared" si="47"/>
        <v>0.19337511190689347</v>
      </c>
      <c r="I158" s="115"/>
      <c r="J158" s="115"/>
      <c r="K158" s="186"/>
      <c r="L158" s="186"/>
      <c r="M158" s="186"/>
      <c r="N158" s="186"/>
      <c r="O158" s="186"/>
      <c r="P158" s="186"/>
      <c r="Q158" s="187"/>
      <c r="R158" s="177"/>
      <c r="S158" s="177"/>
      <c r="T158" s="186"/>
      <c r="U158" s="139"/>
      <c r="V158" s="154"/>
      <c r="W158" s="170"/>
      <c r="X158" s="491" t="str">
        <f t="shared" si="48"/>
        <v>Somerset</v>
      </c>
      <c r="Y158" s="534">
        <f>IF(Year5_Somerset Year5_Assessments_10days="","",Year5_Somerset Year5_Assessments_10days)</f>
        <v>1133</v>
      </c>
      <c r="Z158" s="424">
        <f>IF(Year5_Somerset Year5_Assessments_11_25days="","",Year5_Somerset Year5_Assessments_11_25days)</f>
        <v>915</v>
      </c>
      <c r="AA158" s="424">
        <f>IF(Year5_Somerset Year5_Assessments_26_35days="","",Year5_Somerset Year5_Assessments_26_35days)</f>
        <v>1023</v>
      </c>
      <c r="AB158" s="424">
        <f>IF(Year5_Somerset Year5_Assessments_36_45days="","",Year5_Somerset Year5_Assessments_36_45days)</f>
        <v>1434</v>
      </c>
      <c r="AC158" s="424">
        <f>IF(Year5_Somerset Year5_Assessments_over_45days="","",Year5_Somerset Year5_Assessments_over_45days)</f>
        <v>1080</v>
      </c>
      <c r="AD158" s="653">
        <f>SUM(Y158:AC158)</f>
        <v>5585</v>
      </c>
      <c r="AE158" s="654">
        <f t="shared" si="50"/>
        <v>0.60376007162041179</v>
      </c>
      <c r="AF158" s="217"/>
      <c r="AG158" s="217"/>
      <c r="AH158" s="217"/>
      <c r="AI158" s="217"/>
      <c r="AJ158" s="217"/>
      <c r="AK158" s="178"/>
    </row>
    <row r="159" spans="1:46" s="101" customFormat="1" ht="12.75" customHeight="1" x14ac:dyDescent="0.2">
      <c r="A159" s="533">
        <f>VLOOKUP(B159,Sheet1!$B$4:$C$25,2,FALSE)</f>
        <v>0</v>
      </c>
      <c r="B159" s="112" t="str">
        <f t="shared" si="41"/>
        <v>Southampton</v>
      </c>
      <c r="C159" s="97"/>
      <c r="D159" s="182">
        <f t="shared" si="43"/>
        <v>9.4909404659188956E-2</v>
      </c>
      <c r="E159" s="182">
        <f t="shared" si="44"/>
        <v>0.15573770491803279</v>
      </c>
      <c r="F159" s="182">
        <f t="shared" si="45"/>
        <v>0.13416738567730802</v>
      </c>
      <c r="G159" s="182">
        <f t="shared" si="46"/>
        <v>0.4443485763589301</v>
      </c>
      <c r="H159" s="184">
        <f t="shared" si="47"/>
        <v>0.17083692838654013</v>
      </c>
      <c r="I159" s="115"/>
      <c r="J159" s="115"/>
      <c r="K159" s="186"/>
      <c r="L159" s="186"/>
      <c r="M159" s="186"/>
      <c r="N159" s="186"/>
      <c r="O159" s="186"/>
      <c r="P159" s="186"/>
      <c r="Q159" s="187"/>
      <c r="R159" s="177"/>
      <c r="S159" s="177"/>
      <c r="T159" s="186"/>
      <c r="U159" s="139"/>
      <c r="V159" s="154"/>
      <c r="W159" s="170"/>
      <c r="X159" s="491" t="str">
        <f t="shared" si="48"/>
        <v>Southampton</v>
      </c>
      <c r="Y159" s="534">
        <f>IF(Year5_Southampton Year5_Assessments_10days="","",Year5_Southampton Year5_Assessments_10days)</f>
        <v>220</v>
      </c>
      <c r="Z159" s="424">
        <f>IF(Year5_Southampton Year5_Assessments_11_25days="","",Year5_Southampton Year5_Assessments_11_25days)</f>
        <v>361</v>
      </c>
      <c r="AA159" s="424">
        <f>IF(Year5_Southampton Year5_Assessments_26_35days="","",Year5_Southampton Year5_Assessments_26_35days)</f>
        <v>311</v>
      </c>
      <c r="AB159" s="424">
        <f>IF(Year5_Southampton Year5_Assessments_36_45days="","",Year5_Southampton Year5_Assessments_36_45days)</f>
        <v>1030</v>
      </c>
      <c r="AC159" s="424">
        <f>IF(Year5_Southampton Year5_Assessments_over_45days="","",Year5_Southampton Year5_Assessments_over_45days)</f>
        <v>396</v>
      </c>
      <c r="AD159" s="653">
        <f t="shared" ref="AD159:AD168" si="51">SUM(Y159:AC159)</f>
        <v>2318</v>
      </c>
      <c r="AE159" s="654">
        <f t="shared" si="50"/>
        <v>0.73425366695427097</v>
      </c>
      <c r="AF159" s="217"/>
      <c r="AG159" s="217"/>
      <c r="AH159" s="217"/>
      <c r="AI159" s="217"/>
      <c r="AJ159" s="217"/>
      <c r="AK159" s="178"/>
    </row>
    <row r="160" spans="1:46" s="101" customFormat="1" ht="12.75" customHeight="1" x14ac:dyDescent="0.2">
      <c r="A160" s="533">
        <f>VLOOKUP(B160,Sheet1!$B$4:$C$25,2,FALSE)</f>
        <v>0</v>
      </c>
      <c r="B160" s="112" t="str">
        <f t="shared" si="41"/>
        <v>Surrey</v>
      </c>
      <c r="C160" s="97"/>
      <c r="D160" s="182">
        <f t="shared" si="43"/>
        <v>5.92256936163447E-2</v>
      </c>
      <c r="E160" s="182">
        <f t="shared" si="44"/>
        <v>0.16821686938548375</v>
      </c>
      <c r="F160" s="182">
        <f t="shared" si="45"/>
        <v>0.17640511964385086</v>
      </c>
      <c r="G160" s="182">
        <f t="shared" si="46"/>
        <v>0.35471818109547659</v>
      </c>
      <c r="H160" s="184">
        <f t="shared" si="47"/>
        <v>0.24143413625884411</v>
      </c>
      <c r="I160" s="115"/>
      <c r="J160" s="115"/>
      <c r="K160" s="186"/>
      <c r="L160" s="186"/>
      <c r="M160" s="186"/>
      <c r="N160" s="186"/>
      <c r="O160" s="186"/>
      <c r="P160" s="186"/>
      <c r="Q160" s="187"/>
      <c r="R160" s="177"/>
      <c r="S160" s="177"/>
      <c r="T160" s="186"/>
      <c r="U160" s="139"/>
      <c r="V160" s="154"/>
      <c r="W160" s="170"/>
      <c r="X160" s="491" t="str">
        <f t="shared" si="48"/>
        <v>Surrey</v>
      </c>
      <c r="Y160" s="534">
        <f>IF(Year5_Surrey Year5_Assessments_10days="","",Year5_Surrey Year5_Assessments_10days)</f>
        <v>745</v>
      </c>
      <c r="Z160" s="424">
        <f>IF(Year5_Surrey Year5_Assessments_11_25days="","",Year5_Surrey Year5_Assessments_11_25days)</f>
        <v>2116</v>
      </c>
      <c r="AA160" s="424">
        <f>IF(Year5_Surrey Year5_Assessments_26_35days="","",Year5_Surrey Year5_Assessments_26_35days)</f>
        <v>2219</v>
      </c>
      <c r="AB160" s="424">
        <f>IF(Year5_Surrey Year5_Assessments_36_45days="","",Year5_Surrey Year5_Assessments_36_45days)</f>
        <v>4462</v>
      </c>
      <c r="AC160" s="424">
        <f>IF(Year5_Surrey Year5_Assessments_over_45days="","",Year5_Surrey Year5_Assessments_over_45days)</f>
        <v>3037</v>
      </c>
      <c r="AD160" s="653">
        <f t="shared" si="51"/>
        <v>12579</v>
      </c>
      <c r="AE160" s="654">
        <f t="shared" si="50"/>
        <v>0.6993401701248112</v>
      </c>
      <c r="AF160" s="217"/>
      <c r="AG160" s="217"/>
      <c r="AH160" s="217"/>
      <c r="AI160" s="217"/>
      <c r="AJ160" s="217"/>
      <c r="AK160" s="178"/>
    </row>
    <row r="161" spans="1:46" s="101" customFormat="1" ht="12.75" customHeight="1" x14ac:dyDescent="0.2">
      <c r="A161" s="533">
        <f>VLOOKUP(B161,Sheet1!$B$4:$C$25,2,FALSE)</f>
        <v>0</v>
      </c>
      <c r="B161" s="112" t="str">
        <f t="shared" si="41"/>
        <v>Swindon</v>
      </c>
      <c r="C161" s="97"/>
      <c r="D161" s="182">
        <f t="shared" si="43"/>
        <v>9.3938432243732148E-2</v>
      </c>
      <c r="E161" s="182">
        <f t="shared" si="44"/>
        <v>0.2050142811805776</v>
      </c>
      <c r="F161" s="182">
        <f t="shared" si="45"/>
        <v>0.19105046017137417</v>
      </c>
      <c r="G161" s="182">
        <f t="shared" si="46"/>
        <v>0.2269120913995557</v>
      </c>
      <c r="H161" s="184">
        <f t="shared" si="47"/>
        <v>0.28308473500476039</v>
      </c>
      <c r="I161" s="115"/>
      <c r="J161" s="115"/>
      <c r="K161" s="186"/>
      <c r="L161" s="186"/>
      <c r="M161" s="186"/>
      <c r="N161" s="186"/>
      <c r="O161" s="186"/>
      <c r="P161" s="186"/>
      <c r="Q161" s="187"/>
      <c r="R161" s="177"/>
      <c r="S161" s="177"/>
      <c r="T161" s="186"/>
      <c r="U161" s="139"/>
      <c r="V161" s="154"/>
      <c r="W161" s="170"/>
      <c r="X161" s="491" t="str">
        <f t="shared" si="48"/>
        <v>Swindon</v>
      </c>
      <c r="Y161" s="534">
        <f>IF(Year5_Swindon Year5_Assessments_10days="","",Year5_Swindon Year5_Assessments_10days)</f>
        <v>296</v>
      </c>
      <c r="Z161" s="424">
        <f>IF(Year5_Swindon Year5_Assessments_11_25days="","",Year5_Swindon Year5_Assessments_11_25days)</f>
        <v>646</v>
      </c>
      <c r="AA161" s="424">
        <f>IF(Year5_Swindon Year5_Assessments_26_35days="","",Year5_Swindon Year5_Assessments_26_35days)</f>
        <v>602</v>
      </c>
      <c r="AB161" s="424">
        <f>IF(Year5_Swindon Year5_Assessments_36_45days="","",Year5_Swindon Year5_Assessments_36_45days)</f>
        <v>715</v>
      </c>
      <c r="AC161" s="424">
        <f>IF(Year5_Swindon Year5_Assessments_over_45days="","",Year5_Swindon Year5_Assessments_over_45days)</f>
        <v>892</v>
      </c>
      <c r="AD161" s="653">
        <f t="shared" si="51"/>
        <v>3151</v>
      </c>
      <c r="AE161" s="654">
        <f t="shared" si="50"/>
        <v>0.6229768327515075</v>
      </c>
      <c r="AF161" s="217"/>
      <c r="AG161" s="217"/>
      <c r="AH161" s="217"/>
      <c r="AI161" s="217"/>
      <c r="AJ161" s="217"/>
      <c r="AK161" s="178"/>
    </row>
    <row r="162" spans="1:46" s="101" customFormat="1" ht="12.75" customHeight="1" x14ac:dyDescent="0.2">
      <c r="A162" s="533">
        <f>VLOOKUP(B162,Sheet1!$B$4:$C$25,2,FALSE)</f>
        <v>0</v>
      </c>
      <c r="B162" s="112" t="str">
        <f t="shared" si="41"/>
        <v>Torbay</v>
      </c>
      <c r="C162" s="97"/>
      <c r="D162" s="182">
        <f t="shared" si="43"/>
        <v>0.12254641909814323</v>
      </c>
      <c r="E162" s="182">
        <f t="shared" si="44"/>
        <v>0.2153846153846154</v>
      </c>
      <c r="F162" s="182">
        <f t="shared" si="45"/>
        <v>0.14164456233421752</v>
      </c>
      <c r="G162" s="182">
        <f t="shared" si="46"/>
        <v>0.24084880636604775</v>
      </c>
      <c r="H162" s="184">
        <f t="shared" si="47"/>
        <v>0.27957559681697614</v>
      </c>
      <c r="I162" s="115"/>
      <c r="J162" s="115"/>
      <c r="K162" s="186"/>
      <c r="L162" s="186"/>
      <c r="M162" s="186"/>
      <c r="N162" s="186"/>
      <c r="O162" s="186"/>
      <c r="P162" s="186"/>
      <c r="Q162" s="187"/>
      <c r="R162" s="177"/>
      <c r="S162" s="177"/>
      <c r="T162" s="186"/>
      <c r="U162" s="139"/>
      <c r="V162" s="154"/>
      <c r="W162" s="170"/>
      <c r="X162" s="491" t="str">
        <f t="shared" si="48"/>
        <v>Torbay</v>
      </c>
      <c r="Y162" s="534">
        <f>IF(Year5_Torbay Year5_Assessments_10days="","",Year5_Torbay Year5_Assessments_10days)</f>
        <v>231</v>
      </c>
      <c r="Z162" s="424">
        <f>IF(Year5_Torbay Year5_Assessments_11_25days="","",Year5_Torbay Year5_Assessments_11_25days)</f>
        <v>406</v>
      </c>
      <c r="AA162" s="424">
        <f>IF(Year5_Torbay Year5_Assessments_26_35days="","",Year5_Torbay Year5_Assessments_26_35days)</f>
        <v>267</v>
      </c>
      <c r="AB162" s="424">
        <f>IF(Year5_Torbay Year5_Assessments_36_45days="","",Year5_Torbay Year5_Assessments_36_45days)</f>
        <v>454</v>
      </c>
      <c r="AC162" s="424">
        <f>IF(Year5_Torbay Year5_Assessments_over_45days="","",Year5_Torbay Year5_Assessments_over_45days)</f>
        <v>527</v>
      </c>
      <c r="AD162" s="653">
        <f t="shared" si="51"/>
        <v>1885</v>
      </c>
      <c r="AE162" s="654">
        <f t="shared" si="50"/>
        <v>0.59787798408488069</v>
      </c>
      <c r="AF162" s="217"/>
      <c r="AG162" s="217"/>
      <c r="AH162" s="217"/>
      <c r="AI162" s="217"/>
      <c r="AJ162" s="217"/>
      <c r="AK162" s="178"/>
    </row>
    <row r="163" spans="1:46" s="101" customFormat="1" ht="12.75" customHeight="1" x14ac:dyDescent="0.2">
      <c r="A163" s="533">
        <f>VLOOKUP(B163,Sheet1!$B$4:$C$25,2,FALSE)</f>
        <v>0</v>
      </c>
      <c r="B163" s="112" t="str">
        <f t="shared" si="41"/>
        <v>West Berkshire</v>
      </c>
      <c r="C163" s="97"/>
      <c r="D163" s="182">
        <f t="shared" si="43"/>
        <v>0.24157303370786518</v>
      </c>
      <c r="E163" s="182">
        <f t="shared" si="44"/>
        <v>0.1348314606741573</v>
      </c>
      <c r="F163" s="182">
        <f t="shared" si="45"/>
        <v>0.11292134831460675</v>
      </c>
      <c r="G163" s="182">
        <f t="shared" si="46"/>
        <v>0.49325842696629213</v>
      </c>
      <c r="H163" s="184">
        <f t="shared" si="47"/>
        <v>1.7415730337078651E-2</v>
      </c>
      <c r="I163" s="115"/>
      <c r="J163" s="115"/>
      <c r="K163" s="186"/>
      <c r="L163" s="186"/>
      <c r="M163" s="186"/>
      <c r="N163" s="186"/>
      <c r="O163" s="186"/>
      <c r="P163" s="186"/>
      <c r="Q163" s="187"/>
      <c r="R163" s="177"/>
      <c r="S163" s="177"/>
      <c r="T163" s="186"/>
      <c r="U163" s="139"/>
      <c r="V163" s="154"/>
      <c r="W163" s="170"/>
      <c r="X163" s="491" t="str">
        <f t="shared" si="48"/>
        <v>West Berkshire</v>
      </c>
      <c r="Y163" s="534">
        <f>IF(Year5_West_Berkshire Year5_Assessments_10days="","",Year5_West_Berkshire Year5_Assessments_10days)</f>
        <v>430</v>
      </c>
      <c r="Z163" s="424">
        <f>IF(Year5_West_Berkshire Year5_Assessments_11_25days="","",Year5_West_Berkshire Year5_Assessments_11_25days)</f>
        <v>240</v>
      </c>
      <c r="AA163" s="424">
        <f>IF(Year5_West_Berkshire Year5_Assessments_26_35days="","",Year5_West_Berkshire Year5_Assessments_26_35days)</f>
        <v>201</v>
      </c>
      <c r="AB163" s="424">
        <f>IF(Year5_West_Berkshire Year5_Assessments_36_45days="","",Year5_West_Berkshire Year5_Assessments_36_45days)</f>
        <v>878</v>
      </c>
      <c r="AC163" s="424">
        <f>IF(Year5_West_Berkshire Year5_Assessments_over_45days="","",Year5_West_Berkshire Year5_Assessments_over_45days)</f>
        <v>31</v>
      </c>
      <c r="AD163" s="653">
        <f t="shared" si="51"/>
        <v>1780</v>
      </c>
      <c r="AE163" s="654">
        <f t="shared" si="50"/>
        <v>0.74101123595505614</v>
      </c>
      <c r="AF163" s="232"/>
      <c r="AG163" s="217"/>
      <c r="AH163" s="217"/>
      <c r="AI163" s="217"/>
      <c r="AJ163" s="217"/>
      <c r="AK163" s="178"/>
    </row>
    <row r="164" spans="1:46" s="101" customFormat="1" ht="12.75" customHeight="1" x14ac:dyDescent="0.2">
      <c r="A164" s="533">
        <f>VLOOKUP(B164,Sheet1!$B$4:$C$25,2,FALSE)</f>
        <v>0</v>
      </c>
      <c r="B164" s="112" t="str">
        <f t="shared" si="41"/>
        <v>West Sussex</v>
      </c>
      <c r="C164" s="97"/>
      <c r="D164" s="182">
        <f t="shared" si="43"/>
        <v>0.80557776889244304</v>
      </c>
      <c r="E164" s="182">
        <f t="shared" si="44"/>
        <v>8.3266693322670934E-2</v>
      </c>
      <c r="F164" s="182">
        <f t="shared" si="45"/>
        <v>4.7780887644942024E-2</v>
      </c>
      <c r="G164" s="182">
        <f t="shared" si="46"/>
        <v>4.1183526589364257E-2</v>
      </c>
      <c r="H164" s="184">
        <f t="shared" si="47"/>
        <v>2.2191123550579769E-2</v>
      </c>
      <c r="I164" s="115"/>
      <c r="J164" s="115"/>
      <c r="K164" s="186"/>
      <c r="L164" s="186"/>
      <c r="M164" s="186"/>
      <c r="N164" s="186"/>
      <c r="O164" s="186"/>
      <c r="P164" s="186"/>
      <c r="Q164" s="187"/>
      <c r="R164" s="177"/>
      <c r="S164" s="177"/>
      <c r="T164" s="186"/>
      <c r="U164" s="139"/>
      <c r="V164" s="154"/>
      <c r="W164" s="170"/>
      <c r="X164" s="491" t="str">
        <f t="shared" si="48"/>
        <v>West Sussex</v>
      </c>
      <c r="Y164" s="534">
        <f>IF(Year5_West_Sussex Year5_Assessments_10days="","",Year5_West_Sussex Year5_Assessments_10days)</f>
        <v>8059</v>
      </c>
      <c r="Z164" s="424">
        <f>IF(Year5_West_Sussex Year5_Assessments_11_25days="","",Year5_West_Sussex Year5_Assessments_11_25days)</f>
        <v>833</v>
      </c>
      <c r="AA164" s="424">
        <f>IF(Year5_West_Sussex Year5_Assessments_26_35days="","",Year5_West_Sussex Year5_Assessments_26_35days)</f>
        <v>478</v>
      </c>
      <c r="AB164" s="424">
        <f>IF(Year5_West_Sussex Year5_Assessments_36_45days="","",Year5_West_Sussex Year5_Assessments_36_45days)</f>
        <v>412</v>
      </c>
      <c r="AC164" s="424">
        <f>IF(Year5_West_Sussex Year5_Assessments_over_45days="","",Year5_West_Sussex Year5_Assessments_over_45days)</f>
        <v>222</v>
      </c>
      <c r="AD164" s="653">
        <f t="shared" si="51"/>
        <v>10004</v>
      </c>
      <c r="AE164" s="654">
        <f t="shared" si="50"/>
        <v>0.17223110755697721</v>
      </c>
      <c r="AF164" s="232"/>
      <c r="AG164" s="217"/>
      <c r="AH164" s="217"/>
      <c r="AI164" s="217"/>
      <c r="AJ164" s="217"/>
      <c r="AK164" s="178"/>
    </row>
    <row r="165" spans="1:46" s="101" customFormat="1" ht="12.75" customHeight="1" x14ac:dyDescent="0.2">
      <c r="A165" s="533">
        <f>VLOOKUP(B165,Sheet1!$B$4:$C$25,2,FALSE)</f>
        <v>0</v>
      </c>
      <c r="B165" s="112" t="str">
        <f t="shared" si="41"/>
        <v>Windsor &amp; Maidenhead</v>
      </c>
      <c r="C165" s="97"/>
      <c r="D165" s="182">
        <f t="shared" si="43"/>
        <v>0</v>
      </c>
      <c r="E165" s="182">
        <f t="shared" si="44"/>
        <v>0.1074660633484163</v>
      </c>
      <c r="F165" s="182">
        <f t="shared" si="45"/>
        <v>9.7285067873303169E-2</v>
      </c>
      <c r="G165" s="182">
        <f t="shared" si="46"/>
        <v>0.36651583710407237</v>
      </c>
      <c r="H165" s="184">
        <f t="shared" si="47"/>
        <v>0.42873303167420812</v>
      </c>
      <c r="I165" s="115"/>
      <c r="J165" s="115"/>
      <c r="K165" s="186"/>
      <c r="L165" s="186"/>
      <c r="M165" s="186"/>
      <c r="N165" s="186"/>
      <c r="O165" s="186"/>
      <c r="P165" s="186"/>
      <c r="Q165" s="187"/>
      <c r="R165" s="177"/>
      <c r="S165" s="177"/>
      <c r="T165" s="186"/>
      <c r="U165" s="139"/>
      <c r="V165" s="154"/>
      <c r="W165" s="170"/>
      <c r="X165" s="491" t="str">
        <f t="shared" si="48"/>
        <v>Windsor &amp; Maidenhead</v>
      </c>
      <c r="Y165" s="534">
        <f>IF(Year5_Windsor_Maidenhead Year5_Assessments_10days="","",Year5_Windsor_Maidenhead Year5_Assessments_10days)</f>
        <v>0</v>
      </c>
      <c r="Z165" s="424">
        <f>IF(Year5_Windsor_Maidenhead Year5_Assessments_11_25days="","",Year5_Windsor_Maidenhead Year5_Assessments_11_25days)</f>
        <v>95</v>
      </c>
      <c r="AA165" s="424">
        <f>IF(Year5_Windsor_Maidenhead Year5_Assessments_26_35days="","",Year5_Windsor_Maidenhead Year5_Assessments_26_35days)</f>
        <v>86</v>
      </c>
      <c r="AB165" s="424">
        <f>IF(Year5_Windsor_Maidenhead Year5_Assessments_36_45days="","",Year5_Windsor_Maidenhead Year5_Assessments_36_45days)</f>
        <v>324</v>
      </c>
      <c r="AC165" s="424">
        <f>IF(Year5_Windsor_Maidenhead Year5_Assessments_over_45days="","",Year5_Windsor_Maidenhead Year5_Assessments_over_45days)</f>
        <v>379</v>
      </c>
      <c r="AD165" s="653">
        <f t="shared" si="51"/>
        <v>884</v>
      </c>
      <c r="AE165" s="654">
        <f t="shared" si="50"/>
        <v>0.57126696832579182</v>
      </c>
      <c r="AF165" s="232"/>
      <c r="AG165" s="232"/>
      <c r="AH165" s="232"/>
      <c r="AI165" s="232"/>
      <c r="AJ165" s="217"/>
      <c r="AK165" s="178"/>
    </row>
    <row r="166" spans="1:46" s="101" customFormat="1" ht="12.75" customHeight="1" x14ac:dyDescent="0.2">
      <c r="A166" s="533">
        <f>VLOOKUP(B166,Sheet1!$B$4:$C$25,2,FALSE)</f>
        <v>0</v>
      </c>
      <c r="B166" s="112" t="str">
        <f t="shared" si="41"/>
        <v>Wokingham</v>
      </c>
      <c r="C166" s="97"/>
      <c r="D166" s="182">
        <f t="shared" si="43"/>
        <v>0.11770072992700729</v>
      </c>
      <c r="E166" s="182">
        <f t="shared" si="44"/>
        <v>0.1478102189781022</v>
      </c>
      <c r="F166" s="182">
        <f t="shared" si="45"/>
        <v>0.19525547445255476</v>
      </c>
      <c r="G166" s="182">
        <f t="shared" si="46"/>
        <v>0.27007299270072993</v>
      </c>
      <c r="H166" s="184">
        <f t="shared" si="47"/>
        <v>0.26916058394160586</v>
      </c>
      <c r="I166" s="115"/>
      <c r="J166" s="115"/>
      <c r="K166" s="186"/>
      <c r="L166" s="186"/>
      <c r="M166" s="186"/>
      <c r="N166" s="186"/>
      <c r="O166" s="186"/>
      <c r="P166" s="186"/>
      <c r="Q166" s="187"/>
      <c r="R166" s="177"/>
      <c r="S166" s="177"/>
      <c r="T166" s="186"/>
      <c r="U166" s="139"/>
      <c r="V166" s="154"/>
      <c r="W166" s="170"/>
      <c r="X166" s="491" t="str">
        <f t="shared" si="48"/>
        <v>Wokingham</v>
      </c>
      <c r="Y166" s="534">
        <f>IF(Year5_Wokingham Year5_Assessments_10days="","",Year5_Wokingham Year5_Assessments_10days)</f>
        <v>129</v>
      </c>
      <c r="Z166" s="424">
        <f>IF(Year5_Wokingham Year5_Assessments_11_25days="","",Year5_Wokingham Year5_Assessments_11_25days)</f>
        <v>162</v>
      </c>
      <c r="AA166" s="424">
        <f>IF(Year5_Wokingham Year5_Assessments_26_35days="","",Year5_Wokingham Year5_Assessments_26_35days)</f>
        <v>214</v>
      </c>
      <c r="AB166" s="424">
        <f>IF(Year5_Wokingham Year5_Assessments_36_45days="","",Year5_Wokingham Year5_Assessments_36_45days)</f>
        <v>296</v>
      </c>
      <c r="AC166" s="424">
        <f>IF(Year5_Wokingham Year5_Assessments_over_45days="","",Year5_Wokingham Year5_Assessments_over_45days)</f>
        <v>295</v>
      </c>
      <c r="AD166" s="653">
        <f t="shared" si="51"/>
        <v>1096</v>
      </c>
      <c r="AE166" s="654">
        <f t="shared" si="50"/>
        <v>0.61313868613138689</v>
      </c>
      <c r="AF166" s="232"/>
      <c r="AG166" s="232"/>
      <c r="AH166" s="232"/>
      <c r="AI166" s="232"/>
      <c r="AJ166" s="217"/>
      <c r="AK166" s="178"/>
    </row>
    <row r="167" spans="1:46" s="101" customFormat="1" ht="12.75" customHeight="1" x14ac:dyDescent="0.2">
      <c r="A167" s="138"/>
      <c r="B167" s="146" t="str">
        <f t="shared" si="41"/>
        <v>South East</v>
      </c>
      <c r="C167" s="97"/>
      <c r="D167" s="183">
        <f t="shared" si="43"/>
        <v>0.21708080610448052</v>
      </c>
      <c r="E167" s="183">
        <f t="shared" si="44"/>
        <v>0.18743885736646448</v>
      </c>
      <c r="F167" s="183">
        <f t="shared" si="45"/>
        <v>0.16171003717472118</v>
      </c>
      <c r="G167" s="183">
        <f t="shared" si="46"/>
        <v>0.27147329289767169</v>
      </c>
      <c r="H167" s="185">
        <f t="shared" si="47"/>
        <v>0.16229700645666209</v>
      </c>
      <c r="I167" s="115"/>
      <c r="J167" s="115"/>
      <c r="K167" s="188"/>
      <c r="L167" s="188"/>
      <c r="M167" s="188"/>
      <c r="N167" s="188"/>
      <c r="O167" s="188"/>
      <c r="P167" s="188"/>
      <c r="Q167" s="189"/>
      <c r="R167" s="177"/>
      <c r="S167" s="177"/>
      <c r="T167" s="190"/>
      <c r="U167" s="139"/>
      <c r="V167" s="154"/>
      <c r="W167" s="170"/>
      <c r="X167" s="491" t="str">
        <f t="shared" si="48"/>
        <v>South East</v>
      </c>
      <c r="Y167" s="424">
        <f>IF(Year5_SouthEast Year5_Assessments_10days="","",Year5_SouthEast Year5_Assessments_10days)</f>
        <v>22190</v>
      </c>
      <c r="Z167" s="424">
        <f>IF(Year5_SouthEast Year5_Assessments_11_25days="","",Year5_SouthEast Year5_Assessments_11_25days)</f>
        <v>19160</v>
      </c>
      <c r="AA167" s="424">
        <f>IF(Year5_SouthEast Year5_Assessments_26_35days="","",Year5_SouthEast Year5_Assessments_26_35days)</f>
        <v>16530</v>
      </c>
      <c r="AB167" s="424">
        <f>IF(Year5_SouthEast Year5_Assessments_36_45days="","",Year5_SouthEast Year5_Assessments_36_45days)</f>
        <v>27750</v>
      </c>
      <c r="AC167" s="424">
        <f>IF(Year5_SouthEast Year5_Assessments_over_45days="","",Year5_SouthEast Year5_Assessments_over_45days)</f>
        <v>16590</v>
      </c>
      <c r="AD167" s="653">
        <f>SUM(Y167:AC167)</f>
        <v>102220</v>
      </c>
      <c r="AE167" s="654">
        <f t="shared" si="50"/>
        <v>0.62062218743885733</v>
      </c>
      <c r="AF167" s="232"/>
      <c r="AG167" s="232"/>
      <c r="AH167" s="232"/>
      <c r="AI167" s="232"/>
      <c r="AJ167" s="217"/>
      <c r="AK167" s="178"/>
    </row>
    <row r="168" spans="1:46" s="101" customFormat="1" ht="12.75" customHeight="1" x14ac:dyDescent="0.2">
      <c r="A168" s="138"/>
      <c r="B168" s="370" t="s">
        <v>130</v>
      </c>
      <c r="C168" s="97"/>
      <c r="D168" s="401">
        <f t="shared" si="43"/>
        <v>0.16356865541557722</v>
      </c>
      <c r="E168" s="401">
        <f t="shared" si="44"/>
        <v>0.17033515569289279</v>
      </c>
      <c r="F168" s="401">
        <f t="shared" si="45"/>
        <v>0.1635528088107123</v>
      </c>
      <c r="G168" s="401">
        <f t="shared" si="46"/>
        <v>0.32953014816575549</v>
      </c>
      <c r="H168" s="402">
        <f t="shared" si="47"/>
        <v>0.17301323191506221</v>
      </c>
      <c r="I168" s="115"/>
      <c r="J168" s="115"/>
      <c r="K168" s="188"/>
      <c r="L168" s="188"/>
      <c r="M168" s="188"/>
      <c r="N168" s="188"/>
      <c r="O168" s="188"/>
      <c r="P168" s="188"/>
      <c r="Q168" s="189"/>
      <c r="R168" s="177"/>
      <c r="S168" s="177"/>
      <c r="T168" s="190"/>
      <c r="U168" s="139"/>
      <c r="V168" s="154"/>
      <c r="W168" s="170"/>
      <c r="X168" s="491" t="str">
        <f>B168</f>
        <v>England</v>
      </c>
      <c r="Y168" s="424">
        <f>IF(Year5_England Year5_Assessments_10days="","",Year5_England Year5_Assessments_10days)</f>
        <v>103220</v>
      </c>
      <c r="Z168" s="424">
        <f>IF(Year5_England Year5_Assessments_11_25days="","",Year5_England Year5_Assessments_11_25days)</f>
        <v>107490</v>
      </c>
      <c r="AA168" s="424">
        <f>IF(Year5_England Year5_Assessments_26_35days="","",Year5_England Year5_Assessments_26_35days)</f>
        <v>103210</v>
      </c>
      <c r="AB168" s="424">
        <f>IF(Year5_England Year5_Assessments_36_45days="","",Year5_England Year5_Assessments_36_45days)</f>
        <v>207950</v>
      </c>
      <c r="AC168" s="424">
        <f>IF(Year5_England Year5_Assessments_over_45days="","",Year5_England Year5_Assessments_over_45days)</f>
        <v>109180</v>
      </c>
      <c r="AD168" s="653">
        <f t="shared" si="51"/>
        <v>631050</v>
      </c>
      <c r="AE168" s="654">
        <f t="shared" si="50"/>
        <v>0.66341811266936057</v>
      </c>
      <c r="AF168" s="232"/>
      <c r="AG168" s="232"/>
      <c r="AH168" s="217"/>
      <c r="AI168" s="217"/>
      <c r="AJ168" s="232"/>
      <c r="AK168" s="178"/>
    </row>
    <row r="169" spans="1:46" s="101" customFormat="1" ht="12.75" x14ac:dyDescent="0.2">
      <c r="A169" s="324"/>
      <c r="B169" s="115"/>
      <c r="C169" s="115"/>
      <c r="D169" s="115"/>
      <c r="E169" s="115"/>
      <c r="F169" s="115"/>
      <c r="G169" s="115"/>
      <c r="H169" s="115"/>
      <c r="I169" s="115"/>
      <c r="J169" s="115"/>
      <c r="K169" s="188"/>
      <c r="L169" s="188"/>
      <c r="M169" s="188"/>
      <c r="N169" s="188"/>
      <c r="O169" s="188"/>
      <c r="P169" s="188"/>
      <c r="Q169" s="189"/>
      <c r="R169" s="177"/>
      <c r="S169" s="177"/>
      <c r="T169" s="190"/>
      <c r="U169" s="139"/>
      <c r="V169" s="154"/>
      <c r="W169" s="170"/>
      <c r="X169" s="88"/>
      <c r="Y169" s="88"/>
      <c r="Z169" s="223"/>
      <c r="AA169" s="223"/>
      <c r="AB169" s="224"/>
      <c r="AC169" s="224"/>
      <c r="AD169" s="226"/>
      <c r="AE169" s="232"/>
      <c r="AF169" s="232"/>
      <c r="AG169" s="232"/>
      <c r="AH169" s="217"/>
      <c r="AI169" s="217"/>
      <c r="AJ169" s="232"/>
      <c r="AK169" s="178"/>
    </row>
    <row r="170" spans="1:46" s="88" customFormat="1" ht="33.75" customHeight="1" x14ac:dyDescent="0.2">
      <c r="A170" s="249"/>
      <c r="B170" s="1091"/>
      <c r="C170" s="1091"/>
      <c r="D170" s="1091"/>
      <c r="E170" s="1091"/>
      <c r="F170" s="1091"/>
      <c r="G170" s="1091"/>
      <c r="H170" s="1091"/>
      <c r="I170" s="357"/>
      <c r="J170" s="192"/>
      <c r="K170" s="192"/>
      <c r="L170" s="192"/>
      <c r="M170" s="192"/>
      <c r="N170" s="192"/>
      <c r="O170" s="192"/>
      <c r="P170" s="192"/>
      <c r="Q170" s="151"/>
      <c r="R170" s="192"/>
      <c r="S170" s="192"/>
      <c r="T170" s="192"/>
      <c r="U170" s="134"/>
      <c r="V170" s="152"/>
      <c r="W170" s="168"/>
      <c r="AC170" s="224"/>
      <c r="AD170" s="226"/>
      <c r="AE170" s="210"/>
      <c r="AF170" s="210"/>
      <c r="AG170" s="210"/>
      <c r="AJ170" s="210"/>
      <c r="AK170" s="179"/>
    </row>
    <row r="171" spans="1:46" s="88" customFormat="1" ht="33.75" customHeight="1" x14ac:dyDescent="0.2">
      <c r="A171" s="249"/>
      <c r="B171" s="357"/>
      <c r="C171" s="357"/>
      <c r="D171" s="357"/>
      <c r="E171" s="357"/>
      <c r="F171" s="357"/>
      <c r="G171" s="357"/>
      <c r="H171" s="357"/>
      <c r="I171" s="357"/>
      <c r="J171" s="192"/>
      <c r="K171" s="192"/>
      <c r="L171" s="192"/>
      <c r="M171" s="192"/>
      <c r="N171" s="192"/>
      <c r="O171" s="192"/>
      <c r="P171" s="192"/>
      <c r="Q171" s="151"/>
      <c r="R171" s="192"/>
      <c r="S171" s="192"/>
      <c r="T171" s="192"/>
      <c r="U171" s="134"/>
      <c r="V171" s="152"/>
      <c r="W171" s="168"/>
      <c r="Y171" s="217"/>
      <c r="AD171" s="226"/>
      <c r="AE171" s="210"/>
      <c r="AF171" s="210"/>
      <c r="AG171" s="210"/>
      <c r="AJ171" s="210"/>
      <c r="AK171" s="179"/>
    </row>
    <row r="172" spans="1:46" s="88" customFormat="1" ht="32.25" customHeight="1" x14ac:dyDescent="0.2">
      <c r="A172" s="249"/>
      <c r="B172" s="357"/>
      <c r="C172" s="357"/>
      <c r="D172" s="357"/>
      <c r="E172" s="357"/>
      <c r="F172" s="357"/>
      <c r="G172" s="357"/>
      <c r="H172" s="357"/>
      <c r="I172" s="357"/>
      <c r="J172" s="192"/>
      <c r="K172" s="192"/>
      <c r="L172" s="192"/>
      <c r="M172" s="192"/>
      <c r="N172" s="192"/>
      <c r="O172" s="192"/>
      <c r="P172" s="192"/>
      <c r="Q172" s="151"/>
      <c r="R172" s="192"/>
      <c r="S172" s="192"/>
      <c r="T172" s="192"/>
      <c r="U172" s="134"/>
      <c r="V172" s="152"/>
      <c r="W172" s="168"/>
      <c r="Y172" s="217"/>
      <c r="AD172" s="226"/>
      <c r="AE172" s="210"/>
      <c r="AF172" s="210"/>
      <c r="AG172" s="210"/>
      <c r="AJ172" s="210"/>
      <c r="AK172" s="179"/>
    </row>
    <row r="173" spans="1:46" s="88" customFormat="1" ht="7.5" customHeight="1" x14ac:dyDescent="0.2">
      <c r="A173" s="135"/>
      <c r="B173" s="18"/>
      <c r="C173" s="18"/>
      <c r="D173" s="17"/>
      <c r="E173" s="17"/>
      <c r="F173" s="17"/>
      <c r="G173" s="17"/>
      <c r="H173" s="17"/>
      <c r="I173" s="17"/>
      <c r="J173" s="13"/>
      <c r="K173" s="19"/>
      <c r="L173" s="19"/>
      <c r="M173" s="19"/>
      <c r="N173" s="19"/>
      <c r="O173" s="19"/>
      <c r="P173" s="19"/>
      <c r="Q173" s="19"/>
      <c r="R173" s="19"/>
      <c r="S173" s="19"/>
      <c r="T173" s="20"/>
      <c r="U173" s="134"/>
      <c r="V173" s="152"/>
      <c r="W173" s="168"/>
      <c r="Y173" s="217"/>
      <c r="AJ173" s="210"/>
      <c r="AK173" s="175"/>
      <c r="AM173" s="80"/>
      <c r="AN173" s="80"/>
      <c r="AO173" s="80"/>
      <c r="AP173" s="80"/>
      <c r="AQ173" s="80"/>
      <c r="AR173" s="80"/>
    </row>
    <row r="174" spans="1:46" s="88" customFormat="1" ht="15" customHeight="1" x14ac:dyDescent="0.2">
      <c r="A174" s="1010"/>
      <c r="B174" s="1018"/>
      <c r="C174" s="1018"/>
      <c r="D174" s="1018"/>
      <c r="E174" s="1018"/>
      <c r="F174" s="1018"/>
      <c r="G174" s="1018"/>
      <c r="H174" s="1018"/>
      <c r="I174" s="1018"/>
      <c r="J174" s="1018"/>
      <c r="K174" s="1018"/>
      <c r="L174" s="1018"/>
      <c r="M174" s="1018"/>
      <c r="N174" s="1018"/>
      <c r="O174" s="1018"/>
      <c r="P174" s="1018"/>
      <c r="Q174" s="1018"/>
      <c r="R174" s="1018"/>
      <c r="S174" s="1018"/>
      <c r="T174" s="1018"/>
      <c r="U174" s="1019"/>
      <c r="V174" s="152"/>
      <c r="W174" s="168"/>
      <c r="AK174" s="179"/>
      <c r="AT174" s="80"/>
    </row>
    <row r="175" spans="1:46" s="88" customFormat="1" ht="11.25" customHeight="1" x14ac:dyDescent="0.2">
      <c r="A175" s="1020" t="str">
        <f>Home!$A$35</f>
        <v>LA's provide quarterly data on the condition that it is used by the benchmarking group for internal reporting only. Please DO NOT share other LA's data with any external partners or the public</v>
      </c>
      <c r="B175" s="1021"/>
      <c r="C175" s="1021"/>
      <c r="D175" s="1021"/>
      <c r="E175" s="1021"/>
      <c r="F175" s="1021"/>
      <c r="G175" s="1021"/>
      <c r="H175" s="1021"/>
      <c r="I175" s="1022"/>
      <c r="J175" s="1021"/>
      <c r="K175" s="1021"/>
      <c r="L175" s="1021"/>
      <c r="M175" s="1021"/>
      <c r="N175" s="1021"/>
      <c r="O175" s="1021"/>
      <c r="P175" s="1021"/>
      <c r="Q175" s="1021"/>
      <c r="R175" s="1021"/>
      <c r="S175" s="1022"/>
      <c r="T175" s="1021"/>
      <c r="U175" s="1023"/>
      <c r="V175" s="152"/>
      <c r="W175" s="168"/>
      <c r="AJ175" s="210"/>
      <c r="AK175" s="178"/>
      <c r="AM175" s="101"/>
      <c r="AT175" s="80"/>
    </row>
    <row r="176" spans="1:46" ht="11.25" customHeight="1" x14ac:dyDescent="0.2">
      <c r="A176" s="158"/>
      <c r="B176" s="9"/>
      <c r="C176" s="9"/>
      <c r="D176" s="9"/>
      <c r="E176" s="9"/>
      <c r="F176" s="9"/>
      <c r="G176" s="9"/>
      <c r="H176" s="9"/>
      <c r="I176" s="9"/>
      <c r="J176" s="13"/>
      <c r="K176" s="9"/>
      <c r="L176" s="9"/>
      <c r="M176" s="9"/>
      <c r="N176" s="9"/>
      <c r="O176" s="9"/>
      <c r="P176" s="9"/>
      <c r="Q176" s="9"/>
      <c r="R176" s="9"/>
      <c r="S176" s="9"/>
      <c r="T176" s="9"/>
      <c r="U176" s="9"/>
      <c r="V176" s="152"/>
      <c r="W176" s="168"/>
      <c r="AE176" s="89"/>
      <c r="AH176" s="210"/>
      <c r="AI176" s="210"/>
      <c r="AJ176" s="210"/>
      <c r="AK176" s="175"/>
      <c r="AM176" s="88"/>
      <c r="AN176" s="88"/>
      <c r="AO176" s="88"/>
      <c r="AP176" s="88"/>
      <c r="AQ176" s="88"/>
      <c r="AR176" s="88"/>
    </row>
    <row r="177" spans="1:44" ht="11.25" customHeight="1" x14ac:dyDescent="0.2">
      <c r="A177" s="158"/>
      <c r="B177" s="1006" t="s">
        <v>82</v>
      </c>
      <c r="C177" s="348"/>
      <c r="D177" s="15"/>
      <c r="E177" s="15"/>
      <c r="F177" s="9"/>
      <c r="G177" s="9"/>
      <c r="H177" s="9"/>
      <c r="I177" s="9"/>
      <c r="J177" s="13"/>
      <c r="K177" s="9"/>
      <c r="L177" s="9"/>
      <c r="M177" s="9"/>
      <c r="N177" s="9"/>
      <c r="O177" s="9"/>
      <c r="P177" s="9"/>
      <c r="Q177" s="9"/>
      <c r="R177" s="9"/>
      <c r="S177" s="9"/>
      <c r="T177" s="9"/>
      <c r="U177" s="9"/>
      <c r="V177" s="152"/>
      <c r="W177" s="168"/>
      <c r="AE177" s="89"/>
      <c r="AH177" s="210"/>
      <c r="AI177" s="210"/>
      <c r="AJ177" s="210"/>
      <c r="AK177" s="175"/>
      <c r="AM177" s="88"/>
      <c r="AN177" s="88"/>
      <c r="AO177" s="88"/>
      <c r="AP177" s="88"/>
      <c r="AQ177" s="88"/>
      <c r="AR177" s="88"/>
    </row>
    <row r="178" spans="1:44" ht="11.25" customHeight="1" x14ac:dyDescent="0.2">
      <c r="A178" s="158"/>
      <c r="B178" s="1007"/>
      <c r="C178" s="347"/>
      <c r="D178" s="9"/>
      <c r="E178" s="9"/>
      <c r="F178" s="9"/>
      <c r="G178" s="9"/>
      <c r="H178" s="9"/>
      <c r="I178" s="9"/>
      <c r="J178" s="13"/>
      <c r="K178" s="9"/>
      <c r="L178" s="9"/>
      <c r="M178" s="9"/>
      <c r="N178" s="9"/>
      <c r="O178" s="9"/>
      <c r="P178" s="9"/>
      <c r="Q178" s="9"/>
      <c r="R178" s="9"/>
      <c r="S178" s="9"/>
      <c r="T178" s="9"/>
      <c r="U178" s="9"/>
      <c r="V178" s="152"/>
      <c r="W178" s="168"/>
      <c r="AE178" s="89"/>
      <c r="AH178" s="210"/>
      <c r="AI178" s="210"/>
      <c r="AJ178" s="210"/>
      <c r="AK178" s="175"/>
    </row>
    <row r="179" spans="1:44" ht="11.25" customHeight="1" x14ac:dyDescent="0.2">
      <c r="A179" s="158"/>
      <c r="B179" s="973" t="s">
        <v>81</v>
      </c>
      <c r="C179" s="974"/>
      <c r="D179" s="974"/>
      <c r="E179" s="974"/>
      <c r="F179" s="974"/>
      <c r="G179" s="974"/>
      <c r="H179" s="9"/>
      <c r="I179" s="9"/>
      <c r="J179" s="13"/>
      <c r="K179" s="9"/>
      <c r="L179" s="9"/>
      <c r="M179" s="9"/>
      <c r="N179" s="9"/>
      <c r="O179" s="9"/>
      <c r="P179" s="9"/>
      <c r="Q179" s="9"/>
      <c r="R179" s="9"/>
      <c r="S179" s="9"/>
      <c r="T179" s="9"/>
      <c r="U179" s="9"/>
      <c r="V179" s="152"/>
      <c r="W179" s="168"/>
      <c r="AE179" s="89"/>
      <c r="AH179" s="210"/>
      <c r="AI179" s="210"/>
      <c r="AJ179" s="210"/>
      <c r="AK179" s="175"/>
    </row>
    <row r="180" spans="1:44" ht="11.25" customHeight="1" x14ac:dyDescent="0.2">
      <c r="A180" s="158"/>
      <c r="B180" s="973"/>
      <c r="C180" s="974"/>
      <c r="D180" s="974"/>
      <c r="E180" s="974"/>
      <c r="F180" s="974"/>
      <c r="G180" s="974"/>
      <c r="H180" s="9"/>
      <c r="I180" s="9"/>
      <c r="J180" s="13"/>
      <c r="K180" s="9"/>
      <c r="L180" s="9"/>
      <c r="M180" s="9"/>
      <c r="N180" s="9"/>
      <c r="O180" s="9"/>
      <c r="P180" s="9"/>
      <c r="Q180" s="9"/>
      <c r="R180" s="9"/>
      <c r="S180" s="9"/>
      <c r="T180" s="9"/>
      <c r="U180" s="9"/>
      <c r="V180" s="152"/>
      <c r="W180" s="168"/>
      <c r="AE180" s="89"/>
      <c r="AH180" s="215"/>
      <c r="AI180" s="215"/>
      <c r="AJ180" s="215"/>
      <c r="AK180" s="176"/>
    </row>
    <row r="181" spans="1:44" s="82" customFormat="1" ht="11.25" customHeight="1" x14ac:dyDescent="0.2">
      <c r="A181" s="158"/>
      <c r="B181" s="973" t="s">
        <v>78</v>
      </c>
      <c r="C181" s="975"/>
      <c r="D181" s="975"/>
      <c r="E181" s="975"/>
      <c r="F181" s="975"/>
      <c r="G181" s="975"/>
      <c r="H181" s="15"/>
      <c r="I181" s="15"/>
      <c r="J181" s="15"/>
      <c r="K181" s="15"/>
      <c r="L181" s="15"/>
      <c r="M181" s="15"/>
      <c r="N181" s="15"/>
      <c r="O181" s="15"/>
      <c r="P181" s="15"/>
      <c r="Q181" s="15"/>
      <c r="R181" s="15"/>
      <c r="S181" s="15"/>
      <c r="T181" s="15"/>
      <c r="U181" s="15"/>
      <c r="V181" s="155"/>
      <c r="W181" s="172"/>
      <c r="X181" s="88"/>
      <c r="Y181" s="88"/>
      <c r="Z181" s="88"/>
      <c r="AA181" s="88"/>
      <c r="AB181" s="88"/>
      <c r="AC181" s="88"/>
      <c r="AD181" s="88"/>
      <c r="AE181" s="89"/>
      <c r="AF181" s="88"/>
      <c r="AG181" s="88"/>
      <c r="AH181" s="210"/>
      <c r="AI181" s="210"/>
      <c r="AJ181" s="210"/>
      <c r="AK181" s="175"/>
    </row>
    <row r="182" spans="1:44" ht="11.25" customHeight="1" x14ac:dyDescent="0.2">
      <c r="A182" s="158"/>
      <c r="B182" s="973"/>
      <c r="C182" s="975"/>
      <c r="D182" s="975"/>
      <c r="E182" s="975"/>
      <c r="F182" s="975"/>
      <c r="G182" s="975"/>
      <c r="H182" s="9"/>
      <c r="I182" s="9"/>
      <c r="J182" s="13"/>
      <c r="K182" s="9"/>
      <c r="L182" s="9"/>
      <c r="M182" s="9"/>
      <c r="N182" s="9"/>
      <c r="O182" s="9"/>
      <c r="P182" s="9"/>
      <c r="Q182" s="9"/>
      <c r="R182" s="9"/>
      <c r="S182" s="9"/>
      <c r="T182" s="9"/>
      <c r="U182" s="9"/>
      <c r="V182" s="152"/>
      <c r="W182" s="168"/>
      <c r="AE182" s="89"/>
      <c r="AH182" s="210"/>
      <c r="AI182" s="210"/>
      <c r="AJ182" s="210"/>
      <c r="AK182" s="175"/>
    </row>
    <row r="183" spans="1:44" ht="11.25" customHeight="1" x14ac:dyDescent="0.2">
      <c r="A183" s="158"/>
      <c r="B183" s="976" t="s">
        <v>18</v>
      </c>
      <c r="C183" s="977"/>
      <c r="D183" s="977"/>
      <c r="E183" s="977"/>
      <c r="F183" s="977"/>
      <c r="G183" s="977"/>
      <c r="H183" s="9"/>
      <c r="I183" s="9"/>
      <c r="J183" s="13"/>
      <c r="K183" s="9"/>
      <c r="L183" s="9"/>
      <c r="M183" s="9"/>
      <c r="N183" s="9"/>
      <c r="O183" s="9"/>
      <c r="P183" s="9"/>
      <c r="Q183" s="9"/>
      <c r="R183" s="9"/>
      <c r="S183" s="9"/>
      <c r="T183" s="9"/>
      <c r="U183" s="9"/>
      <c r="V183" s="152"/>
      <c r="W183" s="168"/>
      <c r="AE183" s="89"/>
      <c r="AH183" s="210"/>
      <c r="AI183" s="210"/>
      <c r="AJ183" s="210"/>
      <c r="AK183" s="175"/>
    </row>
    <row r="184" spans="1:44" ht="11.25" customHeight="1" x14ac:dyDescent="0.2">
      <c r="A184" s="158"/>
      <c r="B184" s="976"/>
      <c r="C184" s="977"/>
      <c r="D184" s="977"/>
      <c r="E184" s="977"/>
      <c r="F184" s="977"/>
      <c r="G184" s="977"/>
      <c r="H184" s="9"/>
      <c r="I184" s="9"/>
      <c r="J184" s="13"/>
      <c r="K184" s="9"/>
      <c r="L184" s="9"/>
      <c r="M184" s="9"/>
      <c r="N184" s="9"/>
      <c r="O184" s="9"/>
      <c r="P184" s="9"/>
      <c r="Q184" s="9"/>
      <c r="R184" s="9"/>
      <c r="S184" s="9"/>
      <c r="T184" s="9"/>
      <c r="U184" s="9"/>
      <c r="V184" s="152"/>
      <c r="W184" s="168"/>
      <c r="AE184" s="89"/>
      <c r="AH184" s="210"/>
      <c r="AI184" s="210"/>
      <c r="AJ184" s="210"/>
      <c r="AK184" s="175"/>
    </row>
    <row r="185" spans="1:44" ht="11.25" customHeight="1" x14ac:dyDescent="0.2">
      <c r="A185" s="158"/>
      <c r="B185" s="976" t="s">
        <v>210</v>
      </c>
      <c r="C185" s="976"/>
      <c r="D185" s="978"/>
      <c r="E185" s="978"/>
      <c r="F185" s="978"/>
      <c r="G185" s="924"/>
      <c r="H185" s="9"/>
      <c r="I185" s="9"/>
      <c r="J185" s="13"/>
      <c r="K185" s="9"/>
      <c r="L185" s="9"/>
      <c r="M185" s="9"/>
      <c r="N185" s="9"/>
      <c r="O185" s="9"/>
      <c r="P185" s="9"/>
      <c r="Q185" s="9"/>
      <c r="R185" s="9"/>
      <c r="S185" s="9"/>
      <c r="T185" s="9"/>
      <c r="U185" s="11"/>
      <c r="V185" s="281"/>
      <c r="W185" s="168"/>
      <c r="Z185" s="80"/>
      <c r="AA185" s="80"/>
      <c r="AE185" s="89"/>
      <c r="AH185" s="210"/>
      <c r="AI185" s="210"/>
      <c r="AK185" s="175"/>
    </row>
    <row r="186" spans="1:44" ht="11.25" customHeight="1" x14ac:dyDescent="0.2">
      <c r="A186" s="158"/>
      <c r="B186" s="976"/>
      <c r="C186" s="976"/>
      <c r="D186" s="978"/>
      <c r="E186" s="978"/>
      <c r="F186" s="978"/>
      <c r="G186" s="924"/>
      <c r="H186" s="9"/>
      <c r="I186" s="9"/>
      <c r="J186" s="13"/>
      <c r="K186" s="9"/>
      <c r="L186" s="9"/>
      <c r="M186" s="9"/>
      <c r="N186" s="9"/>
      <c r="O186" s="9"/>
      <c r="P186" s="9"/>
      <c r="Q186" s="9"/>
      <c r="R186" s="9"/>
      <c r="S186" s="9"/>
      <c r="T186" s="9"/>
      <c r="U186" s="11"/>
      <c r="V186" s="281"/>
      <c r="W186" s="168"/>
      <c r="Z186" s="80"/>
      <c r="AA186" s="80"/>
      <c r="AE186" s="89"/>
      <c r="AH186" s="210"/>
      <c r="AI186" s="210"/>
      <c r="AK186" s="175"/>
    </row>
    <row r="187" spans="1:44" ht="11.25" customHeight="1" x14ac:dyDescent="0.2">
      <c r="A187" s="158"/>
      <c r="B187" s="976" t="s">
        <v>211</v>
      </c>
      <c r="C187" s="976"/>
      <c r="D187" s="978"/>
      <c r="E187" s="978"/>
      <c r="F187" s="978"/>
      <c r="G187" s="924"/>
      <c r="H187" s="9"/>
      <c r="I187" s="9"/>
      <c r="J187" s="13"/>
      <c r="K187" s="9"/>
      <c r="L187" s="9"/>
      <c r="M187" s="9"/>
      <c r="N187" s="9"/>
      <c r="O187" s="9"/>
      <c r="P187" s="9"/>
      <c r="Q187" s="9"/>
      <c r="R187" s="9"/>
      <c r="S187" s="9"/>
      <c r="T187" s="9"/>
      <c r="U187" s="11"/>
      <c r="V187" s="281"/>
      <c r="W187" s="168"/>
      <c r="Z187" s="80"/>
      <c r="AA187" s="80"/>
      <c r="AE187" s="89"/>
      <c r="AH187" s="210"/>
      <c r="AI187" s="210"/>
      <c r="AK187" s="175"/>
    </row>
    <row r="188" spans="1:44" ht="11.25" customHeight="1" x14ac:dyDescent="0.2">
      <c r="A188" s="158"/>
      <c r="B188" s="976"/>
      <c r="C188" s="976"/>
      <c r="D188" s="978"/>
      <c r="E188" s="978"/>
      <c r="F188" s="978"/>
      <c r="G188" s="924"/>
      <c r="H188" s="9"/>
      <c r="I188" s="9"/>
      <c r="J188" s="13"/>
      <c r="K188" s="9"/>
      <c r="L188" s="9"/>
      <c r="M188" s="9"/>
      <c r="N188" s="9"/>
      <c r="O188" s="9"/>
      <c r="P188" s="9"/>
      <c r="Q188" s="9"/>
      <c r="R188" s="9"/>
      <c r="S188" s="9"/>
      <c r="T188" s="9"/>
      <c r="U188" s="11"/>
      <c r="V188" s="281"/>
      <c r="W188" s="168"/>
      <c r="Z188" s="80"/>
      <c r="AA188" s="80"/>
      <c r="AE188" s="89"/>
      <c r="AH188" s="210"/>
      <c r="AI188" s="210"/>
      <c r="AK188" s="175"/>
    </row>
    <row r="189" spans="1:44" ht="11.25" customHeight="1" x14ac:dyDescent="0.2">
      <c r="A189" s="158"/>
      <c r="B189" s="976" t="s">
        <v>212</v>
      </c>
      <c r="C189" s="976"/>
      <c r="D189" s="978"/>
      <c r="E189" s="978"/>
      <c r="F189" s="978"/>
      <c r="G189" s="924"/>
      <c r="H189" s="9"/>
      <c r="I189" s="9"/>
      <c r="J189" s="13"/>
      <c r="K189" s="9"/>
      <c r="L189" s="9"/>
      <c r="M189" s="9"/>
      <c r="N189" s="9"/>
      <c r="O189" s="9"/>
      <c r="P189" s="9"/>
      <c r="Q189" s="9"/>
      <c r="R189" s="9"/>
      <c r="S189" s="9"/>
      <c r="T189" s="9"/>
      <c r="U189" s="11"/>
      <c r="V189" s="281"/>
      <c r="W189" s="168"/>
      <c r="Z189" s="80"/>
      <c r="AA189" s="80"/>
      <c r="AE189" s="89"/>
      <c r="AH189" s="210"/>
      <c r="AI189" s="210"/>
      <c r="AK189" s="175"/>
    </row>
    <row r="190" spans="1:44" ht="11.25" customHeight="1" x14ac:dyDescent="0.2">
      <c r="A190" s="158"/>
      <c r="B190" s="976"/>
      <c r="C190" s="976"/>
      <c r="D190" s="978"/>
      <c r="E190" s="978"/>
      <c r="F190" s="978"/>
      <c r="G190" s="924"/>
      <c r="H190" s="9"/>
      <c r="I190" s="9"/>
      <c r="J190" s="13"/>
      <c r="K190" s="9"/>
      <c r="L190" s="9"/>
      <c r="M190" s="9"/>
      <c r="N190" s="9"/>
      <c r="O190" s="9"/>
      <c r="P190" s="9"/>
      <c r="Q190" s="9"/>
      <c r="R190" s="9"/>
      <c r="S190" s="9"/>
      <c r="T190" s="9"/>
      <c r="U190" s="11"/>
      <c r="V190" s="281"/>
      <c r="W190" s="168"/>
      <c r="Z190" s="80"/>
      <c r="AA190" s="80"/>
      <c r="AE190" s="89"/>
      <c r="AH190" s="210"/>
      <c r="AI190" s="210"/>
      <c r="AK190" s="175"/>
    </row>
    <row r="191" spans="1:44" ht="11.25" customHeight="1" x14ac:dyDescent="0.2">
      <c r="A191" s="158"/>
      <c r="B191" s="973" t="s">
        <v>80</v>
      </c>
      <c r="C191" s="974"/>
      <c r="D191" s="974"/>
      <c r="E191" s="974"/>
      <c r="F191" s="974"/>
      <c r="G191" s="974"/>
      <c r="H191" s="9"/>
      <c r="I191" s="9"/>
      <c r="J191" s="13"/>
      <c r="K191" s="9"/>
      <c r="L191" s="9"/>
      <c r="M191" s="9"/>
      <c r="N191" s="9"/>
      <c r="O191" s="9"/>
      <c r="P191" s="9"/>
      <c r="Q191" s="9"/>
      <c r="R191" s="9"/>
      <c r="S191" s="9"/>
      <c r="T191" s="9"/>
      <c r="U191" s="9"/>
      <c r="V191" s="152"/>
      <c r="W191" s="168"/>
      <c r="AE191" s="89"/>
      <c r="AH191" s="210"/>
      <c r="AI191" s="210"/>
      <c r="AJ191" s="210"/>
      <c r="AK191" s="175"/>
    </row>
    <row r="192" spans="1:44" ht="11.25" customHeight="1" x14ac:dyDescent="0.2">
      <c r="A192" s="158"/>
      <c r="B192" s="973"/>
      <c r="C192" s="974"/>
      <c r="D192" s="974"/>
      <c r="E192" s="974"/>
      <c r="F192" s="974"/>
      <c r="G192" s="974"/>
      <c r="H192" s="9"/>
      <c r="I192" s="9"/>
      <c r="J192" s="13"/>
      <c r="K192" s="9"/>
      <c r="L192" s="9"/>
      <c r="M192" s="9"/>
      <c r="N192" s="9"/>
      <c r="O192" s="9"/>
      <c r="P192" s="9"/>
      <c r="Q192" s="9"/>
      <c r="R192" s="9"/>
      <c r="S192" s="9"/>
      <c r="T192" s="9"/>
      <c r="U192" s="9"/>
      <c r="V192" s="152"/>
      <c r="W192" s="168"/>
      <c r="AE192" s="89"/>
      <c r="AH192" s="210"/>
      <c r="AI192" s="210"/>
      <c r="AJ192" s="210"/>
      <c r="AK192" s="175"/>
    </row>
    <row r="193" spans="1:37" ht="11.25" customHeight="1" x14ac:dyDescent="0.2">
      <c r="A193" s="158"/>
      <c r="B193" s="973" t="s">
        <v>69</v>
      </c>
      <c r="C193" s="974"/>
      <c r="D193" s="974"/>
      <c r="E193" s="974"/>
      <c r="F193" s="974"/>
      <c r="G193" s="974"/>
      <c r="H193" s="9"/>
      <c r="I193" s="9"/>
      <c r="J193" s="13"/>
      <c r="K193" s="9"/>
      <c r="L193" s="9"/>
      <c r="M193" s="9"/>
      <c r="N193" s="9"/>
      <c r="O193" s="9"/>
      <c r="P193" s="9"/>
      <c r="Q193" s="9"/>
      <c r="R193" s="9"/>
      <c r="S193" s="9"/>
      <c r="T193" s="9"/>
      <c r="U193" s="9"/>
      <c r="V193" s="152"/>
      <c r="W193" s="168"/>
      <c r="AE193" s="89"/>
      <c r="AH193" s="210"/>
      <c r="AI193" s="210"/>
      <c r="AJ193" s="210"/>
      <c r="AK193" s="175"/>
    </row>
    <row r="194" spans="1:37" ht="11.25" customHeight="1" x14ac:dyDescent="0.2">
      <c r="A194" s="158"/>
      <c r="B194" s="973"/>
      <c r="C194" s="974"/>
      <c r="D194" s="974"/>
      <c r="E194" s="974"/>
      <c r="F194" s="974"/>
      <c r="G194" s="974"/>
      <c r="H194" s="9"/>
      <c r="I194" s="9"/>
      <c r="J194" s="13"/>
      <c r="K194" s="9"/>
      <c r="L194" s="9"/>
      <c r="M194" s="9"/>
      <c r="N194" s="9"/>
      <c r="O194" s="9"/>
      <c r="P194" s="9"/>
      <c r="Q194" s="9"/>
      <c r="R194" s="9"/>
      <c r="S194" s="9"/>
      <c r="T194" s="9"/>
      <c r="U194" s="9"/>
      <c r="V194" s="152"/>
      <c r="W194" s="168"/>
      <c r="AE194" s="89"/>
      <c r="AH194" s="210"/>
      <c r="AI194" s="210"/>
      <c r="AJ194" s="210"/>
      <c r="AK194" s="175"/>
    </row>
    <row r="195" spans="1:37" ht="11.25" customHeight="1" x14ac:dyDescent="0.2">
      <c r="A195" s="158"/>
      <c r="B195" s="973" t="s">
        <v>25</v>
      </c>
      <c r="C195" s="974"/>
      <c r="D195" s="974"/>
      <c r="E195" s="974"/>
      <c r="F195" s="974"/>
      <c r="G195" s="974"/>
      <c r="H195" s="9"/>
      <c r="I195" s="9"/>
      <c r="J195" s="13"/>
      <c r="K195" s="9"/>
      <c r="L195" s="9"/>
      <c r="M195" s="9"/>
      <c r="N195" s="9"/>
      <c r="O195" s="9"/>
      <c r="P195" s="9"/>
      <c r="Q195" s="9"/>
      <c r="R195" s="9"/>
      <c r="S195" s="9"/>
      <c r="T195" s="9"/>
      <c r="U195" s="9"/>
      <c r="V195" s="152"/>
      <c r="W195" s="168"/>
      <c r="AE195" s="89"/>
      <c r="AH195" s="210"/>
      <c r="AI195" s="210"/>
      <c r="AJ195" s="210"/>
      <c r="AK195" s="175"/>
    </row>
    <row r="196" spans="1:37" ht="11.25" customHeight="1" x14ac:dyDescent="0.2">
      <c r="A196" s="158"/>
      <c r="B196" s="973"/>
      <c r="C196" s="974"/>
      <c r="D196" s="974"/>
      <c r="E196" s="974"/>
      <c r="F196" s="974"/>
      <c r="G196" s="974"/>
      <c r="H196" s="9"/>
      <c r="I196" s="9"/>
      <c r="J196" s="13"/>
      <c r="K196" s="9"/>
      <c r="L196" s="9"/>
      <c r="M196" s="9"/>
      <c r="N196" s="9"/>
      <c r="O196" s="9"/>
      <c r="P196" s="9"/>
      <c r="Q196" s="9"/>
      <c r="R196" s="9"/>
      <c r="S196" s="9"/>
      <c r="T196" s="9"/>
      <c r="U196" s="9"/>
      <c r="V196" s="152"/>
      <c r="W196" s="168"/>
      <c r="AE196" s="89"/>
      <c r="AH196" s="210"/>
      <c r="AI196" s="210"/>
      <c r="AJ196" s="210"/>
      <c r="AK196" s="175"/>
    </row>
    <row r="197" spans="1:37" ht="11.25" customHeight="1" x14ac:dyDescent="0.2">
      <c r="A197" s="158"/>
      <c r="B197" s="973" t="s">
        <v>23</v>
      </c>
      <c r="C197" s="974"/>
      <c r="D197" s="974"/>
      <c r="E197" s="974"/>
      <c r="F197" s="974"/>
      <c r="G197" s="974"/>
      <c r="H197" s="9"/>
      <c r="I197" s="9"/>
      <c r="J197" s="13"/>
      <c r="K197" s="9"/>
      <c r="L197" s="9"/>
      <c r="M197" s="9"/>
      <c r="N197" s="9"/>
      <c r="O197" s="9"/>
      <c r="P197" s="9"/>
      <c r="Q197" s="9"/>
      <c r="R197" s="9"/>
      <c r="S197" s="9"/>
      <c r="T197" s="9"/>
      <c r="U197" s="9"/>
      <c r="V197" s="152"/>
      <c r="W197" s="168"/>
      <c r="AE197" s="89"/>
      <c r="AH197" s="210"/>
      <c r="AI197" s="210"/>
      <c r="AJ197" s="210"/>
      <c r="AK197" s="175"/>
    </row>
    <row r="198" spans="1:37" ht="11.25" customHeight="1" x14ac:dyDescent="0.2">
      <c r="A198" s="158"/>
      <c r="B198" s="973"/>
      <c r="C198" s="974"/>
      <c r="D198" s="974"/>
      <c r="E198" s="974"/>
      <c r="F198" s="974"/>
      <c r="G198" s="974"/>
      <c r="H198" s="9"/>
      <c r="I198" s="9"/>
      <c r="J198" s="13"/>
      <c r="K198" s="9"/>
      <c r="L198" s="9"/>
      <c r="M198" s="9"/>
      <c r="N198" s="9"/>
      <c r="O198" s="9"/>
      <c r="P198" s="9"/>
      <c r="Q198" s="9"/>
      <c r="R198" s="9"/>
      <c r="S198" s="9"/>
      <c r="T198" s="9"/>
      <c r="U198" s="9"/>
      <c r="V198" s="152"/>
      <c r="W198" s="168"/>
      <c r="AE198" s="89"/>
      <c r="AH198" s="210"/>
      <c r="AI198" s="210"/>
      <c r="AJ198" s="210"/>
      <c r="AK198" s="175"/>
    </row>
    <row r="199" spans="1:37" ht="11.25" customHeight="1" x14ac:dyDescent="0.2">
      <c r="A199" s="158"/>
      <c r="B199" s="973" t="s">
        <v>26</v>
      </c>
      <c r="C199" s="974"/>
      <c r="D199" s="974"/>
      <c r="E199" s="974"/>
      <c r="F199" s="974"/>
      <c r="G199" s="974"/>
      <c r="H199" s="9"/>
      <c r="I199" s="9"/>
      <c r="J199" s="13"/>
      <c r="K199" s="9"/>
      <c r="L199" s="9"/>
      <c r="M199" s="9"/>
      <c r="N199" s="9"/>
      <c r="O199" s="9"/>
      <c r="P199" s="9"/>
      <c r="Q199" s="9"/>
      <c r="R199" s="9"/>
      <c r="S199" s="9"/>
      <c r="T199" s="9"/>
      <c r="U199" s="9"/>
      <c r="V199" s="152"/>
      <c r="W199" s="168"/>
      <c r="AE199" s="89"/>
      <c r="AH199" s="210"/>
      <c r="AI199" s="210"/>
      <c r="AJ199" s="210"/>
      <c r="AK199" s="175"/>
    </row>
    <row r="200" spans="1:37" ht="11.25" customHeight="1" x14ac:dyDescent="0.2">
      <c r="A200" s="158"/>
      <c r="B200" s="973"/>
      <c r="C200" s="974"/>
      <c r="D200" s="974"/>
      <c r="E200" s="974"/>
      <c r="F200" s="974"/>
      <c r="G200" s="974"/>
      <c r="H200" s="9"/>
      <c r="I200" s="9"/>
      <c r="J200" s="13"/>
      <c r="K200" s="9"/>
      <c r="L200" s="9"/>
      <c r="M200" s="9"/>
      <c r="N200" s="9"/>
      <c r="O200" s="9"/>
      <c r="P200" s="9"/>
      <c r="Q200" s="9"/>
      <c r="R200" s="9"/>
      <c r="S200" s="9"/>
      <c r="T200" s="9"/>
      <c r="U200" s="9"/>
      <c r="V200" s="152"/>
      <c r="W200" s="168"/>
      <c r="AE200" s="89"/>
      <c r="AH200" s="210"/>
      <c r="AI200" s="210"/>
      <c r="AJ200" s="210"/>
      <c r="AK200" s="175"/>
    </row>
    <row r="201" spans="1:37" ht="11.25" customHeight="1" x14ac:dyDescent="0.2">
      <c r="A201" s="158"/>
      <c r="B201" s="973" t="s">
        <v>19</v>
      </c>
      <c r="C201" s="974"/>
      <c r="D201" s="974"/>
      <c r="E201" s="974"/>
      <c r="F201" s="974"/>
      <c r="G201" s="974"/>
      <c r="H201" s="9"/>
      <c r="I201" s="9"/>
      <c r="J201" s="13"/>
      <c r="K201" s="9"/>
      <c r="L201" s="9"/>
      <c r="M201" s="9"/>
      <c r="N201" s="9"/>
      <c r="O201" s="9"/>
      <c r="P201" s="9"/>
      <c r="Q201" s="9"/>
      <c r="R201" s="9"/>
      <c r="S201" s="9"/>
      <c r="T201" s="9"/>
      <c r="U201" s="9"/>
      <c r="V201" s="152"/>
      <c r="W201" s="168"/>
      <c r="AE201" s="89"/>
      <c r="AH201" s="210"/>
      <c r="AI201" s="210"/>
      <c r="AJ201" s="210"/>
      <c r="AK201" s="175"/>
    </row>
    <row r="202" spans="1:37" ht="11.25" customHeight="1" x14ac:dyDescent="0.2">
      <c r="A202" s="158"/>
      <c r="B202" s="973"/>
      <c r="C202" s="974"/>
      <c r="D202" s="974"/>
      <c r="E202" s="974"/>
      <c r="F202" s="974"/>
      <c r="G202" s="974"/>
      <c r="H202" s="9"/>
      <c r="I202" s="9"/>
      <c r="J202" s="13"/>
      <c r="K202" s="9"/>
      <c r="L202" s="9"/>
      <c r="M202" s="9"/>
      <c r="N202" s="9"/>
      <c r="O202" s="9"/>
      <c r="P202" s="9"/>
      <c r="Q202" s="9"/>
      <c r="R202" s="9"/>
      <c r="S202" s="9"/>
      <c r="T202" s="9"/>
      <c r="U202" s="9"/>
      <c r="V202" s="152"/>
      <c r="W202" s="168"/>
      <c r="AE202" s="89"/>
      <c r="AH202" s="210"/>
      <c r="AI202" s="210"/>
      <c r="AJ202" s="210"/>
      <c r="AK202" s="175"/>
    </row>
    <row r="203" spans="1:37" ht="11.25" customHeight="1" x14ac:dyDescent="0.2">
      <c r="A203" s="158"/>
      <c r="B203" s="973" t="s">
        <v>20</v>
      </c>
      <c r="C203" s="930"/>
      <c r="D203" s="930"/>
      <c r="E203" s="930"/>
      <c r="F203" s="930"/>
      <c r="G203" s="930"/>
      <c r="H203" s="930"/>
      <c r="I203" s="9"/>
      <c r="J203" s="13"/>
      <c r="K203" s="9"/>
      <c r="L203" s="9"/>
      <c r="M203" s="9"/>
      <c r="N203" s="9"/>
      <c r="O203" s="9"/>
      <c r="P203" s="9"/>
      <c r="Q203" s="9"/>
      <c r="R203" s="9"/>
      <c r="S203" s="9"/>
      <c r="T203" s="9"/>
      <c r="U203" s="9"/>
      <c r="V203" s="152"/>
      <c r="W203" s="168"/>
      <c r="AE203" s="89"/>
      <c r="AH203" s="210"/>
      <c r="AI203" s="210"/>
      <c r="AJ203" s="210"/>
      <c r="AK203" s="175"/>
    </row>
    <row r="204" spans="1:37" ht="11.25" customHeight="1" x14ac:dyDescent="0.2">
      <c r="A204" s="158"/>
      <c r="B204" s="930"/>
      <c r="C204" s="930"/>
      <c r="D204" s="930"/>
      <c r="E204" s="930"/>
      <c r="F204" s="930"/>
      <c r="G204" s="930"/>
      <c r="H204" s="930"/>
      <c r="I204" s="9"/>
      <c r="J204" s="13"/>
      <c r="K204" s="9"/>
      <c r="L204" s="9"/>
      <c r="M204" s="9"/>
      <c r="N204" s="9"/>
      <c r="O204" s="9"/>
      <c r="P204" s="9"/>
      <c r="Q204" s="9"/>
      <c r="R204" s="9"/>
      <c r="S204" s="9"/>
      <c r="T204" s="9"/>
      <c r="U204" s="9"/>
      <c r="V204" s="152"/>
      <c r="W204" s="168"/>
      <c r="AE204" s="89"/>
      <c r="AH204" s="210"/>
      <c r="AI204" s="210"/>
      <c r="AJ204" s="210"/>
      <c r="AK204" s="175"/>
    </row>
    <row r="205" spans="1:37" ht="11.25" customHeight="1" x14ac:dyDescent="0.2">
      <c r="A205" s="158"/>
      <c r="B205" s="973" t="s">
        <v>21</v>
      </c>
      <c r="C205" s="974"/>
      <c r="D205" s="974"/>
      <c r="E205" s="974"/>
      <c r="F205" s="974"/>
      <c r="G205" s="974"/>
      <c r="H205" s="9"/>
      <c r="I205" s="9"/>
      <c r="J205" s="13"/>
      <c r="K205" s="9"/>
      <c r="L205" s="9"/>
      <c r="M205" s="9"/>
      <c r="N205" s="9"/>
      <c r="O205" s="9"/>
      <c r="P205" s="9"/>
      <c r="Q205" s="9"/>
      <c r="R205" s="9"/>
      <c r="S205" s="9"/>
      <c r="T205" s="9"/>
      <c r="U205" s="9"/>
      <c r="V205" s="152"/>
      <c r="W205" s="168"/>
      <c r="AE205" s="89"/>
      <c r="AH205" s="210"/>
      <c r="AI205" s="210"/>
      <c r="AJ205" s="210"/>
      <c r="AK205" s="175"/>
    </row>
    <row r="206" spans="1:37" ht="11.25" customHeight="1" x14ac:dyDescent="0.2">
      <c r="A206" s="158"/>
      <c r="B206" s="973"/>
      <c r="C206" s="974"/>
      <c r="D206" s="974"/>
      <c r="E206" s="974"/>
      <c r="F206" s="974"/>
      <c r="G206" s="974"/>
      <c r="H206" s="9"/>
      <c r="I206" s="9"/>
      <c r="J206" s="13"/>
      <c r="K206" s="9"/>
      <c r="L206" s="9"/>
      <c r="M206" s="9"/>
      <c r="N206" s="9"/>
      <c r="O206" s="9"/>
      <c r="P206" s="9"/>
      <c r="Q206" s="9"/>
      <c r="R206" s="9"/>
      <c r="S206" s="9"/>
      <c r="T206" s="9"/>
      <c r="U206" s="9"/>
      <c r="V206" s="152"/>
      <c r="W206" s="168"/>
      <c r="AE206" s="89"/>
      <c r="AH206" s="210"/>
      <c r="AI206" s="210"/>
      <c r="AJ206" s="210"/>
      <c r="AK206" s="175"/>
    </row>
    <row r="207" spans="1:37" ht="11.25" customHeight="1" x14ac:dyDescent="0.2">
      <c r="A207" s="158"/>
      <c r="B207" s="973" t="s">
        <v>27</v>
      </c>
      <c r="C207" s="974"/>
      <c r="D207" s="974"/>
      <c r="E207" s="974"/>
      <c r="F207" s="974"/>
      <c r="G207" s="974"/>
      <c r="H207" s="9"/>
      <c r="I207" s="9"/>
      <c r="J207" s="13"/>
      <c r="K207" s="9"/>
      <c r="L207" s="9"/>
      <c r="M207" s="9"/>
      <c r="N207" s="9"/>
      <c r="O207" s="9"/>
      <c r="P207" s="9"/>
      <c r="Q207" s="9"/>
      <c r="R207" s="9"/>
      <c r="S207" s="9"/>
      <c r="T207" s="9"/>
      <c r="U207" s="9"/>
      <c r="V207" s="152"/>
      <c r="W207" s="168"/>
      <c r="AE207" s="89"/>
      <c r="AH207" s="210"/>
      <c r="AI207" s="210"/>
      <c r="AJ207" s="210"/>
      <c r="AK207" s="175"/>
    </row>
    <row r="208" spans="1:37" ht="11.25" customHeight="1" x14ac:dyDescent="0.2">
      <c r="A208" s="158"/>
      <c r="B208" s="973"/>
      <c r="C208" s="974"/>
      <c r="D208" s="974"/>
      <c r="E208" s="974"/>
      <c r="F208" s="974"/>
      <c r="G208" s="974"/>
      <c r="H208" s="9"/>
      <c r="I208" s="9"/>
      <c r="J208" s="13"/>
      <c r="K208" s="9"/>
      <c r="L208" s="9"/>
      <c r="M208" s="9"/>
      <c r="N208" s="9"/>
      <c r="O208" s="9"/>
      <c r="P208" s="9"/>
      <c r="Q208" s="9"/>
      <c r="R208" s="9"/>
      <c r="S208" s="9"/>
      <c r="T208" s="9"/>
      <c r="U208" s="9"/>
      <c r="V208" s="152"/>
      <c r="W208" s="168"/>
      <c r="AE208" s="89"/>
      <c r="AH208" s="210"/>
      <c r="AI208" s="210"/>
      <c r="AJ208" s="210"/>
      <c r="AK208" s="175"/>
    </row>
    <row r="209" spans="1:46" ht="11.25" customHeight="1" x14ac:dyDescent="0.2">
      <c r="A209" s="158"/>
      <c r="B209" s="973" t="s">
        <v>22</v>
      </c>
      <c r="C209" s="974"/>
      <c r="D209" s="974"/>
      <c r="E209" s="974"/>
      <c r="F209" s="974"/>
      <c r="G209" s="974"/>
      <c r="H209" s="9"/>
      <c r="I209" s="9"/>
      <c r="J209" s="13"/>
      <c r="K209" s="9"/>
      <c r="L209" s="9"/>
      <c r="M209" s="9"/>
      <c r="N209" s="9"/>
      <c r="O209" s="9"/>
      <c r="P209" s="9"/>
      <c r="Q209" s="9"/>
      <c r="R209" s="9"/>
      <c r="S209" s="9"/>
      <c r="T209" s="9"/>
      <c r="U209" s="9"/>
      <c r="V209" s="152"/>
      <c r="W209" s="168"/>
      <c r="AE209" s="89"/>
      <c r="AH209" s="210"/>
      <c r="AI209" s="210"/>
      <c r="AJ209" s="210"/>
      <c r="AK209" s="175"/>
    </row>
    <row r="210" spans="1:46" ht="11.25" customHeight="1" x14ac:dyDescent="0.2">
      <c r="A210" s="158"/>
      <c r="B210" s="973"/>
      <c r="C210" s="974"/>
      <c r="D210" s="974"/>
      <c r="E210" s="974"/>
      <c r="F210" s="974"/>
      <c r="G210" s="974"/>
      <c r="H210" s="9"/>
      <c r="I210" s="9"/>
      <c r="J210" s="13"/>
      <c r="K210" s="9"/>
      <c r="L210" s="9"/>
      <c r="M210" s="9"/>
      <c r="N210" s="9"/>
      <c r="O210" s="9"/>
      <c r="P210" s="9"/>
      <c r="Q210" s="9"/>
      <c r="R210" s="9"/>
      <c r="S210" s="9"/>
      <c r="T210" s="9"/>
      <c r="U210" s="9"/>
      <c r="V210" s="152"/>
      <c r="W210" s="168"/>
      <c r="AE210" s="89"/>
      <c r="AH210" s="210"/>
      <c r="AI210" s="210"/>
      <c r="AJ210" s="210"/>
      <c r="AK210" s="175"/>
    </row>
    <row r="211" spans="1:46" ht="11.25" customHeight="1" x14ac:dyDescent="0.2">
      <c r="A211" s="158"/>
      <c r="B211" s="973" t="s">
        <v>874</v>
      </c>
      <c r="C211" s="975"/>
      <c r="D211" s="975"/>
      <c r="E211" s="975"/>
      <c r="F211" s="975"/>
      <c r="G211" s="975"/>
      <c r="H211" s="9"/>
      <c r="I211" s="9"/>
      <c r="J211" s="13"/>
      <c r="K211" s="9"/>
      <c r="L211" s="9"/>
      <c r="M211" s="9"/>
      <c r="N211" s="9"/>
      <c r="O211" s="9"/>
      <c r="P211" s="9"/>
      <c r="Q211" s="9"/>
      <c r="R211" s="9"/>
      <c r="S211" s="9"/>
      <c r="T211" s="9"/>
      <c r="U211" s="9"/>
      <c r="V211" s="152"/>
      <c r="W211" s="168"/>
      <c r="AE211" s="89"/>
      <c r="AH211" s="210"/>
      <c r="AI211" s="210"/>
      <c r="AJ211" s="210"/>
      <c r="AK211" s="175"/>
    </row>
    <row r="212" spans="1:46" ht="11.25" customHeight="1" x14ac:dyDescent="0.2">
      <c r="A212" s="158"/>
      <c r="B212" s="973"/>
      <c r="C212" s="975"/>
      <c r="D212" s="975"/>
      <c r="E212" s="975"/>
      <c r="F212" s="975"/>
      <c r="G212" s="975"/>
      <c r="H212" s="9"/>
      <c r="I212" s="9"/>
      <c r="J212" s="13"/>
      <c r="K212" s="9"/>
      <c r="L212" s="9"/>
      <c r="M212" s="9"/>
      <c r="N212" s="9"/>
      <c r="O212" s="9"/>
      <c r="P212" s="9"/>
      <c r="Q212" s="9"/>
      <c r="R212" s="9"/>
      <c r="S212" s="9"/>
      <c r="T212" s="9"/>
      <c r="U212" s="9"/>
      <c r="V212" s="152"/>
      <c r="W212" s="168"/>
      <c r="AE212" s="89"/>
      <c r="AH212" s="210"/>
      <c r="AI212" s="210"/>
      <c r="AJ212" s="210"/>
      <c r="AK212" s="175"/>
    </row>
    <row r="213" spans="1:46" ht="11.25" customHeight="1" x14ac:dyDescent="0.2">
      <c r="A213" s="158"/>
      <c r="B213" s="973"/>
      <c r="C213" s="973"/>
      <c r="D213" s="973"/>
      <c r="E213" s="973"/>
      <c r="F213" s="975"/>
      <c r="G213" s="975"/>
      <c r="H213" s="975"/>
      <c r="I213" s="9"/>
      <c r="J213" s="13"/>
      <c r="K213" s="9"/>
      <c r="L213" s="9"/>
      <c r="M213" s="9"/>
      <c r="N213" s="9"/>
      <c r="O213" s="9"/>
      <c r="P213" s="9"/>
      <c r="Q213" s="9"/>
      <c r="R213" s="9"/>
      <c r="S213" s="9"/>
      <c r="T213" s="9"/>
      <c r="U213" s="9"/>
      <c r="V213" s="152"/>
      <c r="W213" s="168"/>
      <c r="AE213" s="89"/>
      <c r="AH213" s="210"/>
      <c r="AI213" s="210"/>
      <c r="AJ213" s="210"/>
      <c r="AK213" s="175"/>
    </row>
    <row r="214" spans="1:46" ht="11.25" customHeight="1" x14ac:dyDescent="0.2">
      <c r="A214" s="158"/>
      <c r="B214" s="973"/>
      <c r="C214" s="973"/>
      <c r="D214" s="973"/>
      <c r="E214" s="973"/>
      <c r="F214" s="975"/>
      <c r="G214" s="975"/>
      <c r="H214" s="975"/>
      <c r="I214" s="9"/>
      <c r="J214" s="13"/>
      <c r="K214" s="9"/>
      <c r="L214" s="9"/>
      <c r="M214" s="9"/>
      <c r="N214" s="9"/>
      <c r="O214" s="9"/>
      <c r="P214" s="9"/>
      <c r="Q214" s="9"/>
      <c r="R214" s="9"/>
      <c r="S214" s="9"/>
      <c r="T214" s="9"/>
      <c r="U214" s="9"/>
      <c r="V214" s="152"/>
      <c r="W214" s="168"/>
      <c r="AE214" s="89"/>
      <c r="AH214" s="210"/>
      <c r="AI214" s="210"/>
      <c r="AJ214" s="210"/>
      <c r="AK214" s="175"/>
    </row>
    <row r="215" spans="1:46" ht="18.75" customHeight="1" x14ac:dyDescent="0.2">
      <c r="A215" s="159"/>
      <c r="B215" s="160"/>
      <c r="C215" s="160"/>
      <c r="D215" s="160"/>
      <c r="E215" s="160"/>
      <c r="F215" s="160"/>
      <c r="G215" s="160"/>
      <c r="H215" s="160"/>
      <c r="I215" s="160"/>
      <c r="J215" s="161"/>
      <c r="K215" s="160"/>
      <c r="L215" s="160"/>
      <c r="M215" s="160"/>
      <c r="N215" s="160"/>
      <c r="O215" s="160"/>
      <c r="P215" s="160"/>
      <c r="Q215" s="160"/>
      <c r="R215" s="160"/>
      <c r="S215" s="160"/>
      <c r="T215" s="160"/>
      <c r="U215" s="160"/>
      <c r="V215" s="156"/>
      <c r="W215" s="180"/>
      <c r="X215" s="227"/>
      <c r="Y215" s="227"/>
      <c r="Z215" s="227"/>
      <c r="AA215" s="227"/>
      <c r="AB215" s="227"/>
      <c r="AC215" s="227"/>
      <c r="AD215" s="227"/>
      <c r="AE215" s="227"/>
      <c r="AF215" s="227"/>
      <c r="AG215" s="227"/>
      <c r="AH215" s="227"/>
      <c r="AI215" s="657"/>
      <c r="AJ215" s="648"/>
      <c r="AK215" s="94"/>
    </row>
    <row r="216" spans="1:46" s="87" customFormat="1" ht="11.25" customHeight="1" x14ac:dyDescent="0.2">
      <c r="A216" s="80"/>
      <c r="B216" s="80"/>
      <c r="C216" s="80"/>
      <c r="D216" s="80"/>
      <c r="E216" s="80"/>
      <c r="F216" s="80"/>
      <c r="G216" s="80"/>
      <c r="H216" s="80"/>
      <c r="I216" s="80"/>
      <c r="J216" s="106"/>
      <c r="K216" s="80"/>
      <c r="L216" s="80"/>
      <c r="M216" s="80"/>
      <c r="N216" s="80"/>
      <c r="O216" s="80"/>
      <c r="P216" s="80"/>
      <c r="Q216" s="80"/>
      <c r="R216" s="80"/>
      <c r="S216" s="80"/>
      <c r="T216" s="80"/>
      <c r="U216" s="80"/>
      <c r="V216" s="181"/>
      <c r="X216" s="88"/>
      <c r="Y216" s="88"/>
      <c r="Z216" s="88"/>
      <c r="AA216" s="88"/>
      <c r="AB216" s="88"/>
      <c r="AC216" s="88"/>
      <c r="AD216" s="88"/>
      <c r="AE216" s="88"/>
      <c r="AF216" s="88"/>
      <c r="AG216" s="88"/>
      <c r="AH216" s="88"/>
      <c r="AI216" s="88"/>
      <c r="AJ216" s="80"/>
      <c r="AK216" s="80"/>
      <c r="AL216" s="80"/>
      <c r="AM216" s="80"/>
      <c r="AN216" s="80"/>
      <c r="AO216" s="80"/>
      <c r="AP216" s="80"/>
      <c r="AQ216" s="80"/>
      <c r="AR216" s="80"/>
      <c r="AS216" s="80"/>
      <c r="AT216" s="80"/>
    </row>
    <row r="342" spans="38:38" ht="11.25" customHeight="1" x14ac:dyDescent="0.2">
      <c r="AL342" s="80" t="b">
        <v>1</v>
      </c>
    </row>
  </sheetData>
  <mergeCells count="52">
    <mergeCell ref="B205:G206"/>
    <mergeCell ref="B207:G208"/>
    <mergeCell ref="B209:G210"/>
    <mergeCell ref="B211:G212"/>
    <mergeCell ref="B213:H214"/>
    <mergeCell ref="B195:G196"/>
    <mergeCell ref="B197:G198"/>
    <mergeCell ref="B199:G200"/>
    <mergeCell ref="B201:G202"/>
    <mergeCell ref="B203:H204"/>
    <mergeCell ref="B179:G180"/>
    <mergeCell ref="B181:G182"/>
    <mergeCell ref="B183:G184"/>
    <mergeCell ref="A104:U104"/>
    <mergeCell ref="A105:U105"/>
    <mergeCell ref="B170:H170"/>
    <mergeCell ref="A174:U174"/>
    <mergeCell ref="B142:I143"/>
    <mergeCell ref="A175:U175"/>
    <mergeCell ref="B187:F188"/>
    <mergeCell ref="B189:F190"/>
    <mergeCell ref="B191:G192"/>
    <mergeCell ref="B193:G194"/>
    <mergeCell ref="B185:F186"/>
    <mergeCell ref="B5:N6"/>
    <mergeCell ref="D7:H7"/>
    <mergeCell ref="I7:I8"/>
    <mergeCell ref="K7:O7"/>
    <mergeCell ref="B177:B178"/>
    <mergeCell ref="P7:P8"/>
    <mergeCell ref="B7:B8"/>
    <mergeCell ref="M64:P64"/>
    <mergeCell ref="R7:T7"/>
    <mergeCell ref="B34:T34"/>
    <mergeCell ref="A36:U36"/>
    <mergeCell ref="A37:U37"/>
    <mergeCell ref="BH38:BL38"/>
    <mergeCell ref="B107:I108"/>
    <mergeCell ref="B135:H135"/>
    <mergeCell ref="A139:U139"/>
    <mergeCell ref="A140:U140"/>
    <mergeCell ref="BC38:BG38"/>
    <mergeCell ref="AA39:AA40"/>
    <mergeCell ref="AB39:AB40"/>
    <mergeCell ref="A69:U69"/>
    <mergeCell ref="A70:U70"/>
    <mergeCell ref="Q63:T63"/>
    <mergeCell ref="M63:O63"/>
    <mergeCell ref="S64:T64"/>
    <mergeCell ref="Q64:R64"/>
    <mergeCell ref="Y108:AC108"/>
    <mergeCell ref="AD108:AH108"/>
  </mergeCells>
  <conditionalFormatting sqref="X69:AB69 Z8:AD8">
    <cfRule type="cellIs" dxfId="207" priority="60" stopIfTrue="1" operator="equal">
      <formula>0</formula>
    </cfRule>
  </conditionalFormatting>
  <conditionalFormatting sqref="B9:B30 K9:P30 B50:C65 B145:B166 D145:H166 B110:B131 D9:H30 A1:A36 A38:A69 A71:A104 A106:A139 A141:A174 A176:A1048576">
    <cfRule type="containsErrors" dxfId="206" priority="62">
      <formula>ISERROR(A1)</formula>
    </cfRule>
  </conditionalFormatting>
  <conditionalFormatting sqref="D110:H131">
    <cfRule type="expression" dxfId="205" priority="1004">
      <formula>$B110=$Y$4</formula>
    </cfRule>
  </conditionalFormatting>
  <conditionalFormatting sqref="R9:T31 D110:F131 H110:H131">
    <cfRule type="containsErrors" dxfId="204" priority="1005">
      <formula>ISERROR(D9)</formula>
    </cfRule>
  </conditionalFormatting>
  <conditionalFormatting sqref="A145:A166">
    <cfRule type="cellIs" dxfId="203" priority="44" operator="equal">
      <formula>0</formula>
    </cfRule>
  </conditionalFormatting>
  <conditionalFormatting sqref="A9:A30">
    <cfRule type="cellIs" dxfId="202" priority="43" operator="equal">
      <formula>0</formula>
    </cfRule>
  </conditionalFormatting>
  <conditionalFormatting sqref="A110:A131">
    <cfRule type="cellIs" dxfId="201" priority="38" operator="equal">
      <formula>0</formula>
    </cfRule>
  </conditionalFormatting>
  <conditionalFormatting sqref="B9:B30 K9:P30 B50:C65 B110:B131 R9:T30 D9:H30 B145:B166 D145:H166">
    <cfRule type="expression" dxfId="200" priority="61">
      <formula>$B9=$Y$4</formula>
    </cfRule>
  </conditionalFormatting>
  <conditionalFormatting sqref="AF9:AG27">
    <cfRule type="containsErrors" dxfId="199" priority="29">
      <formula>ISERROR(AF9)</formula>
    </cfRule>
  </conditionalFormatting>
  <conditionalFormatting sqref="AF9:AG20 AG10:AG27">
    <cfRule type="expression" dxfId="198" priority="28">
      <formula>$B9=$W$4</formula>
    </cfRule>
  </conditionalFormatting>
  <conditionalFormatting sqref="I9:I30">
    <cfRule type="containsErrors" dxfId="197" priority="22">
      <formula>ISERROR(I9)</formula>
    </cfRule>
  </conditionalFormatting>
  <conditionalFormatting sqref="I9:I30">
    <cfRule type="expression" dxfId="196" priority="21">
      <formula>$B9=$Y$4</formula>
    </cfRule>
  </conditionalFormatting>
  <conditionalFormatting sqref="D133:F133 D168:H168 D32:I32 K32:P32 R32:T32 H133">
    <cfRule type="containsErrors" dxfId="195" priority="20">
      <formula>ISERROR(D32)</formula>
    </cfRule>
  </conditionalFormatting>
  <conditionalFormatting sqref="D132:F132 D167:H167 D31:I31 K31:P31 R31:T31 H132">
    <cfRule type="containsErrors" dxfId="194" priority="19">
      <formula>ISERROR(D31)</formula>
    </cfRule>
  </conditionalFormatting>
  <conditionalFormatting sqref="G110:G131">
    <cfRule type="expression" dxfId="193" priority="17">
      <formula>$K75=$Y$4</formula>
    </cfRule>
  </conditionalFormatting>
  <conditionalFormatting sqref="G110:G131">
    <cfRule type="containsErrors" dxfId="192" priority="18">
      <formula>ISERROR(G110)</formula>
    </cfRule>
  </conditionalFormatting>
  <conditionalFormatting sqref="G133">
    <cfRule type="containsErrors" dxfId="191" priority="16">
      <formula>ISERROR(G133)</formula>
    </cfRule>
  </conditionalFormatting>
  <conditionalFormatting sqref="G132">
    <cfRule type="containsErrors" dxfId="190" priority="15">
      <formula>ISERROR(G132)</formula>
    </cfRule>
  </conditionalFormatting>
  <conditionalFormatting sqref="A37">
    <cfRule type="cellIs" dxfId="189" priority="13" operator="equal">
      <formula>0</formula>
    </cfRule>
    <cfRule type="containsErrors" dxfId="188" priority="14">
      <formula>ISERROR(A37)</formula>
    </cfRule>
  </conditionalFormatting>
  <conditionalFormatting sqref="A70">
    <cfRule type="cellIs" dxfId="187" priority="11" operator="equal">
      <formula>0</formula>
    </cfRule>
    <cfRule type="containsErrors" dxfId="186" priority="12">
      <formula>ISERROR(A70)</formula>
    </cfRule>
  </conditionalFormatting>
  <conditionalFormatting sqref="A105">
    <cfRule type="cellIs" dxfId="185" priority="9" operator="equal">
      <formula>0</formula>
    </cfRule>
    <cfRule type="containsErrors" dxfId="184" priority="10">
      <formula>ISERROR(A105)</formula>
    </cfRule>
  </conditionalFormatting>
  <conditionalFormatting sqref="A140">
    <cfRule type="cellIs" dxfId="183" priority="7" operator="equal">
      <formula>0</formula>
    </cfRule>
    <cfRule type="containsErrors" dxfId="182" priority="8">
      <formula>ISERROR(A140)</formula>
    </cfRule>
  </conditionalFormatting>
  <conditionalFormatting sqref="A175">
    <cfRule type="cellIs" dxfId="181" priority="5" operator="equal">
      <formula>0</formula>
    </cfRule>
    <cfRule type="containsErrors" dxfId="180" priority="6">
      <formula>ISERROR(A175)</formula>
    </cfRule>
  </conditionalFormatting>
  <hyperlinks>
    <hyperlink ref="B179:B180" location="Coverage!A1" display="Participating LA's"/>
    <hyperlink ref="B181:B182" location="IDACI!A1" display="IDACI"/>
    <hyperlink ref="B211:B212" location="Adoption!A1" display="Adoption"/>
    <hyperlink ref="B209:B210" location="'Looked After Children'!A1" display="Looked After Children"/>
    <hyperlink ref="B207:B208" location="'Court Applications'!A1" display="Court Applications"/>
    <hyperlink ref="B205:B206" location="'Child Protection Plans'!A1" display="Child Protection Plans"/>
    <hyperlink ref="B203:B204" location="'Initial CP Conferences'!A1" display="Initial Child Protection Conferences"/>
    <hyperlink ref="B201:B202" location="'Section 47 Enquiries'!A1" display="Section 47 Enquiries"/>
    <hyperlink ref="B199:B200" location="'Children in Need'!A1" display="Children in Need"/>
    <hyperlink ref="B197:B198" location="Assessments!A1" display="Assessments"/>
    <hyperlink ref="B195:B196" location="'Re-referrals'!A1" display="Re-referrals"/>
    <hyperlink ref="B193:B194" location="Referral_Source!A1" display="Referral Source"/>
    <hyperlink ref="B191:B192" location="Referrals!A1" display="Referrals"/>
    <hyperlink ref="B183:B184" location="Population!A1" display="Population"/>
    <hyperlink ref="B181:G182" location="IDACI!A1" display="IDACI"/>
    <hyperlink ref="B185:B186" location="CAF_EHA!A1" display="CAF (EHA's)"/>
    <hyperlink ref="B189:B190" location="CAF_EHA!A1" display="CAF (EHA's)"/>
    <hyperlink ref="B187:B188" location="CAF_EHA!A1" display="CAF (EHA's)"/>
    <hyperlink ref="B185:F186" location="EH_Referrals!A1" display="Early Help Referrals"/>
    <hyperlink ref="B187:F188" location="EH_Assessments!A1" display="Early Help Assessments"/>
    <hyperlink ref="B189:F190" location="EH_Clients!A1" display="Early Help Clients"/>
    <hyperlink ref="B211:G212" location="Adoption!A1" display="Permanenc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7" max="20" man="1"/>
    <brk id="70" max="20" man="1"/>
    <brk id="105" max="20" man="1"/>
    <brk id="140" max="20" man="1"/>
  </rowBreaks>
  <ignoredErrors>
    <ignoredError sqref="A9:A30 A110:A131 A145:A168"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87041" r:id="rId4" name="Check Box 1">
              <controlPr defaultSize="0" autoFill="0" autoLine="0" autoPict="0" macro="[0]!CheckBox1_Click" altText="">
                <anchor>
                  <from>
                    <xdr:col>22</xdr:col>
                    <xdr:colOff>66675</xdr:colOff>
                    <xdr:row>38</xdr:row>
                    <xdr:rowOff>76200</xdr:rowOff>
                  </from>
                  <to>
                    <xdr:col>36</xdr:col>
                    <xdr:colOff>47625</xdr:colOff>
                    <xdr:row>40</xdr:row>
                    <xdr:rowOff>19050</xdr:rowOff>
                  </to>
                </anchor>
              </controlPr>
            </control>
          </mc:Choice>
        </mc:AlternateContent>
        <mc:AlternateContent xmlns:mc="http://schemas.openxmlformats.org/markup-compatibility/2006">
          <mc:Choice Requires="x14">
            <control shapeId="87042" r:id="rId5" name="Check Box 2">
              <controlPr defaultSize="0" autoFill="0" autoLine="0" autoPict="0" macro="[0]!CheckBox1_Click" altText="">
                <anchor>
                  <from>
                    <xdr:col>22</xdr:col>
                    <xdr:colOff>66675</xdr:colOff>
                    <xdr:row>39</xdr:row>
                    <xdr:rowOff>161925</xdr:rowOff>
                  </from>
                  <to>
                    <xdr:col>36</xdr:col>
                    <xdr:colOff>47625</xdr:colOff>
                    <xdr:row>41</xdr:row>
                    <xdr:rowOff>19050</xdr:rowOff>
                  </to>
                </anchor>
              </controlPr>
            </control>
          </mc:Choice>
        </mc:AlternateContent>
        <mc:AlternateContent xmlns:mc="http://schemas.openxmlformats.org/markup-compatibility/2006">
          <mc:Choice Requires="x14">
            <control shapeId="87043" r:id="rId6" name="Check Box 3">
              <controlPr defaultSize="0" autoFill="0" autoLine="0" autoPict="0" macro="[0]!CheckBox1_Click" altText="">
                <anchor>
                  <from>
                    <xdr:col>22</xdr:col>
                    <xdr:colOff>66675</xdr:colOff>
                    <xdr:row>40</xdr:row>
                    <xdr:rowOff>161925</xdr:rowOff>
                  </from>
                  <to>
                    <xdr:col>36</xdr:col>
                    <xdr:colOff>47625</xdr:colOff>
                    <xdr:row>42</xdr:row>
                    <xdr:rowOff>19050</xdr:rowOff>
                  </to>
                </anchor>
              </controlPr>
            </control>
          </mc:Choice>
        </mc:AlternateContent>
        <mc:AlternateContent xmlns:mc="http://schemas.openxmlformats.org/markup-compatibility/2006">
          <mc:Choice Requires="x14">
            <control shapeId="87044" r:id="rId7" name="Check Box 4">
              <controlPr defaultSize="0" autoFill="0" autoLine="0" autoPict="0" macro="[0]!CheckBox1_Click" altText="">
                <anchor>
                  <from>
                    <xdr:col>22</xdr:col>
                    <xdr:colOff>66675</xdr:colOff>
                    <xdr:row>41</xdr:row>
                    <xdr:rowOff>161925</xdr:rowOff>
                  </from>
                  <to>
                    <xdr:col>36</xdr:col>
                    <xdr:colOff>47625</xdr:colOff>
                    <xdr:row>43</xdr:row>
                    <xdr:rowOff>19050</xdr:rowOff>
                  </to>
                </anchor>
              </controlPr>
            </control>
          </mc:Choice>
        </mc:AlternateContent>
        <mc:AlternateContent xmlns:mc="http://schemas.openxmlformats.org/markup-compatibility/2006">
          <mc:Choice Requires="x14">
            <control shapeId="87045" r:id="rId8" name="Check Box 5">
              <controlPr defaultSize="0" autoFill="0" autoLine="0" autoPict="0" macro="[0]!CheckBox1_Click" altText="">
                <anchor>
                  <from>
                    <xdr:col>22</xdr:col>
                    <xdr:colOff>66675</xdr:colOff>
                    <xdr:row>42</xdr:row>
                    <xdr:rowOff>161925</xdr:rowOff>
                  </from>
                  <to>
                    <xdr:col>36</xdr:col>
                    <xdr:colOff>47625</xdr:colOff>
                    <xdr:row>44</xdr:row>
                    <xdr:rowOff>19050</xdr:rowOff>
                  </to>
                </anchor>
              </controlPr>
            </control>
          </mc:Choice>
        </mc:AlternateContent>
        <mc:AlternateContent xmlns:mc="http://schemas.openxmlformats.org/markup-compatibility/2006">
          <mc:Choice Requires="x14">
            <control shapeId="87046" r:id="rId9" name="Check Box 6">
              <controlPr defaultSize="0" autoFill="0" autoLine="0" autoPict="0" macro="[0]!CheckBox1_Click" altText="">
                <anchor>
                  <from>
                    <xdr:col>22</xdr:col>
                    <xdr:colOff>66675</xdr:colOff>
                    <xdr:row>43</xdr:row>
                    <xdr:rowOff>161925</xdr:rowOff>
                  </from>
                  <to>
                    <xdr:col>36</xdr:col>
                    <xdr:colOff>47625</xdr:colOff>
                    <xdr:row>45</xdr:row>
                    <xdr:rowOff>19050</xdr:rowOff>
                  </to>
                </anchor>
              </controlPr>
            </control>
          </mc:Choice>
        </mc:AlternateContent>
        <mc:AlternateContent xmlns:mc="http://schemas.openxmlformats.org/markup-compatibility/2006">
          <mc:Choice Requires="x14">
            <control shapeId="87047" r:id="rId10" name="Check Box 7">
              <controlPr defaultSize="0" autoFill="0" autoLine="0" autoPict="0" macro="[0]!CheckBox1_Click" altText="">
                <anchor>
                  <from>
                    <xdr:col>22</xdr:col>
                    <xdr:colOff>66675</xdr:colOff>
                    <xdr:row>44</xdr:row>
                    <xdr:rowOff>161925</xdr:rowOff>
                  </from>
                  <to>
                    <xdr:col>36</xdr:col>
                    <xdr:colOff>47625</xdr:colOff>
                    <xdr:row>46</xdr:row>
                    <xdr:rowOff>19050</xdr:rowOff>
                  </to>
                </anchor>
              </controlPr>
            </control>
          </mc:Choice>
        </mc:AlternateContent>
        <mc:AlternateContent xmlns:mc="http://schemas.openxmlformats.org/markup-compatibility/2006">
          <mc:Choice Requires="x14">
            <control shapeId="87048" r:id="rId11" name="Check Box 8">
              <controlPr defaultSize="0" autoFill="0" autoLine="0" autoPict="0" macro="[0]!CheckBox1_Click" altText="">
                <anchor>
                  <from>
                    <xdr:col>22</xdr:col>
                    <xdr:colOff>66675</xdr:colOff>
                    <xdr:row>45</xdr:row>
                    <xdr:rowOff>161925</xdr:rowOff>
                  </from>
                  <to>
                    <xdr:col>36</xdr:col>
                    <xdr:colOff>47625</xdr:colOff>
                    <xdr:row>47</xdr:row>
                    <xdr:rowOff>19050</xdr:rowOff>
                  </to>
                </anchor>
              </controlPr>
            </control>
          </mc:Choice>
        </mc:AlternateContent>
        <mc:AlternateContent xmlns:mc="http://schemas.openxmlformats.org/markup-compatibility/2006">
          <mc:Choice Requires="x14">
            <control shapeId="87049" r:id="rId12" name="Check Box 9">
              <controlPr defaultSize="0" autoFill="0" autoLine="0" autoPict="0" macro="[0]!CheckBox1_Click" altText="">
                <anchor>
                  <from>
                    <xdr:col>22</xdr:col>
                    <xdr:colOff>66675</xdr:colOff>
                    <xdr:row>46</xdr:row>
                    <xdr:rowOff>161925</xdr:rowOff>
                  </from>
                  <to>
                    <xdr:col>36</xdr:col>
                    <xdr:colOff>47625</xdr:colOff>
                    <xdr:row>48</xdr:row>
                    <xdr:rowOff>19050</xdr:rowOff>
                  </to>
                </anchor>
              </controlPr>
            </control>
          </mc:Choice>
        </mc:AlternateContent>
        <mc:AlternateContent xmlns:mc="http://schemas.openxmlformats.org/markup-compatibility/2006">
          <mc:Choice Requires="x14">
            <control shapeId="87050" r:id="rId13" name="Check Box 10">
              <controlPr defaultSize="0" autoFill="0" autoLine="0" autoPict="0" macro="[0]!CheckBox1_Click" altText="">
                <anchor>
                  <from>
                    <xdr:col>22</xdr:col>
                    <xdr:colOff>66675</xdr:colOff>
                    <xdr:row>47</xdr:row>
                    <xdr:rowOff>161925</xdr:rowOff>
                  </from>
                  <to>
                    <xdr:col>36</xdr:col>
                    <xdr:colOff>47625</xdr:colOff>
                    <xdr:row>49</xdr:row>
                    <xdr:rowOff>19050</xdr:rowOff>
                  </to>
                </anchor>
              </controlPr>
            </control>
          </mc:Choice>
        </mc:AlternateContent>
        <mc:AlternateContent xmlns:mc="http://schemas.openxmlformats.org/markup-compatibility/2006">
          <mc:Choice Requires="x14">
            <control shapeId="87051" r:id="rId14" name="Check Box 11">
              <controlPr defaultSize="0" autoFill="0" autoLine="0" autoPict="0" macro="[0]!CheckBox1_Click" altText="">
                <anchor>
                  <from>
                    <xdr:col>22</xdr:col>
                    <xdr:colOff>66675</xdr:colOff>
                    <xdr:row>48</xdr:row>
                    <xdr:rowOff>161925</xdr:rowOff>
                  </from>
                  <to>
                    <xdr:col>36</xdr:col>
                    <xdr:colOff>47625</xdr:colOff>
                    <xdr:row>50</xdr:row>
                    <xdr:rowOff>19050</xdr:rowOff>
                  </to>
                </anchor>
              </controlPr>
            </control>
          </mc:Choice>
        </mc:AlternateContent>
        <mc:AlternateContent xmlns:mc="http://schemas.openxmlformats.org/markup-compatibility/2006">
          <mc:Choice Requires="x14">
            <control shapeId="87052" r:id="rId15" name="Check Box 12">
              <controlPr defaultSize="0" autoFill="0" autoLine="0" autoPict="0" macro="[0]!CheckBox1_Click" altText="">
                <anchor>
                  <from>
                    <xdr:col>22</xdr:col>
                    <xdr:colOff>66675</xdr:colOff>
                    <xdr:row>49</xdr:row>
                    <xdr:rowOff>161925</xdr:rowOff>
                  </from>
                  <to>
                    <xdr:col>36</xdr:col>
                    <xdr:colOff>47625</xdr:colOff>
                    <xdr:row>51</xdr:row>
                    <xdr:rowOff>19050</xdr:rowOff>
                  </to>
                </anchor>
              </controlPr>
            </control>
          </mc:Choice>
        </mc:AlternateContent>
        <mc:AlternateContent xmlns:mc="http://schemas.openxmlformats.org/markup-compatibility/2006">
          <mc:Choice Requires="x14">
            <control shapeId="87053" r:id="rId16" name="Check Box 13">
              <controlPr defaultSize="0" autoFill="0" autoLine="0" autoPict="0" macro="[0]!CheckBox1_Click" altText="">
                <anchor>
                  <from>
                    <xdr:col>22</xdr:col>
                    <xdr:colOff>66675</xdr:colOff>
                    <xdr:row>50</xdr:row>
                    <xdr:rowOff>161925</xdr:rowOff>
                  </from>
                  <to>
                    <xdr:col>36</xdr:col>
                    <xdr:colOff>47625</xdr:colOff>
                    <xdr:row>52</xdr:row>
                    <xdr:rowOff>19050</xdr:rowOff>
                  </to>
                </anchor>
              </controlPr>
            </control>
          </mc:Choice>
        </mc:AlternateContent>
        <mc:AlternateContent xmlns:mc="http://schemas.openxmlformats.org/markup-compatibility/2006">
          <mc:Choice Requires="x14">
            <control shapeId="87054" r:id="rId17" name="Check Box 14">
              <controlPr defaultSize="0" autoFill="0" autoLine="0" autoPict="0" macro="[0]!CheckBox1_Click" altText="">
                <anchor>
                  <from>
                    <xdr:col>22</xdr:col>
                    <xdr:colOff>66675</xdr:colOff>
                    <xdr:row>51</xdr:row>
                    <xdr:rowOff>161925</xdr:rowOff>
                  </from>
                  <to>
                    <xdr:col>36</xdr:col>
                    <xdr:colOff>47625</xdr:colOff>
                    <xdr:row>53</xdr:row>
                    <xdr:rowOff>19050</xdr:rowOff>
                  </to>
                </anchor>
              </controlPr>
            </control>
          </mc:Choice>
        </mc:AlternateContent>
        <mc:AlternateContent xmlns:mc="http://schemas.openxmlformats.org/markup-compatibility/2006">
          <mc:Choice Requires="x14">
            <control shapeId="87055" r:id="rId18" name="Check Box 15">
              <controlPr defaultSize="0" autoFill="0" autoLine="0" autoPict="0" macro="[0]!CheckBox1_Click" altText="">
                <anchor>
                  <from>
                    <xdr:col>22</xdr:col>
                    <xdr:colOff>66675</xdr:colOff>
                    <xdr:row>52</xdr:row>
                    <xdr:rowOff>161925</xdr:rowOff>
                  </from>
                  <to>
                    <xdr:col>36</xdr:col>
                    <xdr:colOff>47625</xdr:colOff>
                    <xdr:row>54</xdr:row>
                    <xdr:rowOff>19050</xdr:rowOff>
                  </to>
                </anchor>
              </controlPr>
            </control>
          </mc:Choice>
        </mc:AlternateContent>
        <mc:AlternateContent xmlns:mc="http://schemas.openxmlformats.org/markup-compatibility/2006">
          <mc:Choice Requires="x14">
            <control shapeId="87056" r:id="rId19" name="Check Box 16">
              <controlPr defaultSize="0" autoFill="0" autoLine="0" autoPict="0" macro="[0]!CheckBox1_Click" altText="">
                <anchor>
                  <from>
                    <xdr:col>22</xdr:col>
                    <xdr:colOff>66675</xdr:colOff>
                    <xdr:row>53</xdr:row>
                    <xdr:rowOff>161925</xdr:rowOff>
                  </from>
                  <to>
                    <xdr:col>36</xdr:col>
                    <xdr:colOff>47625</xdr:colOff>
                    <xdr:row>55</xdr:row>
                    <xdr:rowOff>19050</xdr:rowOff>
                  </to>
                </anchor>
              </controlPr>
            </control>
          </mc:Choice>
        </mc:AlternateContent>
        <mc:AlternateContent xmlns:mc="http://schemas.openxmlformats.org/markup-compatibility/2006">
          <mc:Choice Requires="x14">
            <control shapeId="87057" r:id="rId20" name="Check Box 17">
              <controlPr defaultSize="0" autoFill="0" autoLine="0" autoPict="0" macro="[0]!CheckBox1_Click" altText="">
                <anchor>
                  <from>
                    <xdr:col>22</xdr:col>
                    <xdr:colOff>66675</xdr:colOff>
                    <xdr:row>56</xdr:row>
                    <xdr:rowOff>161925</xdr:rowOff>
                  </from>
                  <to>
                    <xdr:col>36</xdr:col>
                    <xdr:colOff>47625</xdr:colOff>
                    <xdr:row>58</xdr:row>
                    <xdr:rowOff>19050</xdr:rowOff>
                  </to>
                </anchor>
              </controlPr>
            </control>
          </mc:Choice>
        </mc:AlternateContent>
        <mc:AlternateContent xmlns:mc="http://schemas.openxmlformats.org/markup-compatibility/2006">
          <mc:Choice Requires="x14">
            <control shapeId="87058" r:id="rId21" name="Check Box 18">
              <controlPr defaultSize="0" autoFill="0" autoLine="0" autoPict="0" macro="[0]!CheckBox1_Click" altText="">
                <anchor>
                  <from>
                    <xdr:col>22</xdr:col>
                    <xdr:colOff>66675</xdr:colOff>
                    <xdr:row>57</xdr:row>
                    <xdr:rowOff>161925</xdr:rowOff>
                  </from>
                  <to>
                    <xdr:col>36</xdr:col>
                    <xdr:colOff>47625</xdr:colOff>
                    <xdr:row>59</xdr:row>
                    <xdr:rowOff>19050</xdr:rowOff>
                  </to>
                </anchor>
              </controlPr>
            </control>
          </mc:Choice>
        </mc:AlternateContent>
        <mc:AlternateContent xmlns:mc="http://schemas.openxmlformats.org/markup-compatibility/2006">
          <mc:Choice Requires="x14">
            <control shapeId="87059" r:id="rId22" name="Check Box 19">
              <controlPr defaultSize="0" autoFill="0" autoLine="0" autoPict="0" macro="[0]!CheckBox1_Click" altText="">
                <anchor>
                  <from>
                    <xdr:col>22</xdr:col>
                    <xdr:colOff>66675</xdr:colOff>
                    <xdr:row>58</xdr:row>
                    <xdr:rowOff>161925</xdr:rowOff>
                  </from>
                  <to>
                    <xdr:col>36</xdr:col>
                    <xdr:colOff>47625</xdr:colOff>
                    <xdr:row>60</xdr:row>
                    <xdr:rowOff>19050</xdr:rowOff>
                  </to>
                </anchor>
              </controlPr>
            </control>
          </mc:Choice>
        </mc:AlternateContent>
        <mc:AlternateContent xmlns:mc="http://schemas.openxmlformats.org/markup-compatibility/2006">
          <mc:Choice Requires="x14">
            <control shapeId="87060" r:id="rId23" name="Check Box 20">
              <controlPr defaultSize="0" autoFill="0" autoLine="0" autoPict="0" macro="[0]!CheckBox1_Click" altText="">
                <anchor>
                  <from>
                    <xdr:col>22</xdr:col>
                    <xdr:colOff>66675</xdr:colOff>
                    <xdr:row>59</xdr:row>
                    <xdr:rowOff>161925</xdr:rowOff>
                  </from>
                  <to>
                    <xdr:col>36</xdr:col>
                    <xdr:colOff>47625</xdr:colOff>
                    <xdr:row>61</xdr:row>
                    <xdr:rowOff>19050</xdr:rowOff>
                  </to>
                </anchor>
              </controlPr>
            </control>
          </mc:Choice>
        </mc:AlternateContent>
        <mc:AlternateContent xmlns:mc="http://schemas.openxmlformats.org/markup-compatibility/2006">
          <mc:Choice Requires="x14">
            <control shapeId="87061" r:id="rId24" name="Check Box 21">
              <controlPr defaultSize="0" autoFill="0" autoLine="0" autoPict="0" macro="[0]!CheckBox1_Click" altText="">
                <anchor>
                  <from>
                    <xdr:col>22</xdr:col>
                    <xdr:colOff>66675</xdr:colOff>
                    <xdr:row>60</xdr:row>
                    <xdr:rowOff>161925</xdr:rowOff>
                  </from>
                  <to>
                    <xdr:col>36</xdr:col>
                    <xdr:colOff>47625</xdr:colOff>
                    <xdr:row>62</xdr:row>
                    <xdr:rowOff>19050</xdr:rowOff>
                  </to>
                </anchor>
              </controlPr>
            </control>
          </mc:Choice>
        </mc:AlternateContent>
        <mc:AlternateContent xmlns:mc="http://schemas.openxmlformats.org/markup-compatibility/2006">
          <mc:Choice Requires="x14">
            <control shapeId="87062" r:id="rId25" name="Check Box 22">
              <controlPr defaultSize="0" autoFill="0" autoLine="0" autoPict="0" macro="[0]!CheckBox1_Click" altText="">
                <anchor>
                  <from>
                    <xdr:col>22</xdr:col>
                    <xdr:colOff>66675</xdr:colOff>
                    <xdr:row>54</xdr:row>
                    <xdr:rowOff>161925</xdr:rowOff>
                  </from>
                  <to>
                    <xdr:col>36</xdr:col>
                    <xdr:colOff>47625</xdr:colOff>
                    <xdr:row>56</xdr:row>
                    <xdr:rowOff>19050</xdr:rowOff>
                  </to>
                </anchor>
              </controlPr>
            </control>
          </mc:Choice>
        </mc:AlternateContent>
        <mc:AlternateContent xmlns:mc="http://schemas.openxmlformats.org/markup-compatibility/2006">
          <mc:Choice Requires="x14">
            <control shapeId="87063" r:id="rId26" name="Check Box 23">
              <controlPr defaultSize="0" autoFill="0" autoLine="0" autoPict="0" macro="[0]!CheckBox1_Click" altText="">
                <anchor>
                  <from>
                    <xdr:col>22</xdr:col>
                    <xdr:colOff>66675</xdr:colOff>
                    <xdr:row>55</xdr:row>
                    <xdr:rowOff>161925</xdr:rowOff>
                  </from>
                  <to>
                    <xdr:col>36</xdr:col>
                    <xdr:colOff>47625</xdr:colOff>
                    <xdr:row>57</xdr:row>
                    <xdr:rowOff>19050</xdr:rowOff>
                  </to>
                </anchor>
              </controlPr>
            </control>
          </mc:Choice>
        </mc:AlternateContent>
        <mc:AlternateContent xmlns:mc="http://schemas.openxmlformats.org/markup-compatibility/2006">
          <mc:Choice Requires="x14">
            <control shapeId="87064" r:id="rId27" name="Check Box 24">
              <controlPr defaultSize="0" autoFill="0" autoLine="0" autoPict="0" macro="[0]!CheckBox1_Click" altText="">
                <anchor>
                  <from>
                    <xdr:col>22</xdr:col>
                    <xdr:colOff>66675</xdr:colOff>
                    <xdr:row>61</xdr:row>
                    <xdr:rowOff>161925</xdr:rowOff>
                  </from>
                  <to>
                    <xdr:col>36</xdr:col>
                    <xdr:colOff>47625</xdr:colOff>
                    <xdr:row>63</xdr:row>
                    <xdr:rowOff>19050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dimension ref="A1:AW273"/>
  <sheetViews>
    <sheetView showRowColHeaders="0" zoomScaleNormal="100" workbookViewId="0"/>
  </sheetViews>
  <sheetFormatPr defaultColWidth="9.140625" defaultRowHeight="11.25" customHeight="1" x14ac:dyDescent="0.2"/>
  <cols>
    <col min="1" max="1" width="2.140625" style="80" customWidth="1"/>
    <col min="2" max="2" width="17.140625" style="80" customWidth="1"/>
    <col min="3" max="3" width="1.42578125" style="80" customWidth="1"/>
    <col min="4" max="8" width="7.42578125" style="80" customWidth="1"/>
    <col min="9" max="9" width="7.7109375" style="80" customWidth="1"/>
    <col min="10" max="10" width="1.42578125" style="106" customWidth="1"/>
    <col min="11" max="15" width="7.42578125" style="80" customWidth="1"/>
    <col min="16" max="16" width="7.140625" style="80" customWidth="1"/>
    <col min="17" max="17" width="1.42578125" style="80" customWidth="1"/>
    <col min="18" max="18" width="7.140625" style="80" customWidth="1"/>
    <col min="19" max="19" width="8.140625" style="80" bestFit="1" customWidth="1"/>
    <col min="20" max="20" width="7.5703125" style="80" customWidth="1"/>
    <col min="21" max="21" width="2.140625" style="80" customWidth="1"/>
    <col min="22" max="22" width="6.42578125" style="87" customWidth="1"/>
    <col min="23" max="23" width="4.85546875" style="87" customWidth="1"/>
    <col min="24" max="24" width="17.85546875" style="88" hidden="1" customWidth="1"/>
    <col min="25" max="25" width="19.42578125" style="88" hidden="1" customWidth="1"/>
    <col min="26" max="26" width="19.85546875" style="88" hidden="1" customWidth="1"/>
    <col min="27" max="28" width="16.7109375" style="88" hidden="1" customWidth="1"/>
    <col min="29" max="30" width="8.5703125" style="88" hidden="1" customWidth="1"/>
    <col min="31" max="31" width="3.5703125" style="88" hidden="1" customWidth="1"/>
    <col min="32" max="32" width="17" style="88" hidden="1" customWidth="1"/>
    <col min="33" max="33" width="5.7109375" style="88" hidden="1" customWidth="1"/>
    <col min="34" max="34" width="4.85546875" style="88" hidden="1" customWidth="1"/>
    <col min="35" max="35" width="5.7109375" style="80" hidden="1" customWidth="1"/>
    <col min="36" max="36" width="31.5703125" style="80" customWidth="1"/>
    <col min="37" max="37" width="17" style="80" hidden="1" customWidth="1"/>
    <col min="38" max="42" width="13.7109375" style="80" hidden="1" customWidth="1"/>
    <col min="43" max="49" width="9.140625" style="80" hidden="1" customWidth="1"/>
    <col min="50" max="52" width="9.140625" style="80" customWidth="1"/>
    <col min="53" max="16384" width="9.140625" style="80"/>
  </cols>
  <sheetData>
    <row r="1" spans="1:44" ht="18.75" customHeight="1" x14ac:dyDescent="0.2">
      <c r="A1" s="129"/>
      <c r="B1" s="130"/>
      <c r="C1" s="130"/>
      <c r="D1" s="130"/>
      <c r="E1" s="130"/>
      <c r="F1" s="130"/>
      <c r="G1" s="130"/>
      <c r="H1" s="130"/>
      <c r="I1" s="130"/>
      <c r="J1" s="131"/>
      <c r="K1" s="130"/>
      <c r="L1" s="130"/>
      <c r="M1" s="130"/>
      <c r="N1" s="130"/>
      <c r="O1" s="130"/>
      <c r="P1" s="130"/>
      <c r="Q1" s="130"/>
      <c r="R1" s="130"/>
      <c r="S1" s="130"/>
      <c r="T1" s="130"/>
      <c r="U1" s="132"/>
      <c r="V1" s="306"/>
      <c r="W1" s="173"/>
      <c r="X1" s="206"/>
      <c r="Y1" s="206"/>
      <c r="Z1" s="206"/>
      <c r="AA1" s="206"/>
      <c r="AB1" s="206"/>
      <c r="AC1" s="206"/>
      <c r="AD1" s="206"/>
      <c r="AE1" s="206"/>
      <c r="AF1" s="206"/>
      <c r="AG1" s="206"/>
      <c r="AH1" s="206"/>
      <c r="AI1" s="207"/>
      <c r="AJ1" s="174"/>
    </row>
    <row r="2" spans="1:44" ht="18.75" customHeight="1" x14ac:dyDescent="0.2">
      <c r="A2" s="135"/>
      <c r="B2" s="145" t="s">
        <v>26</v>
      </c>
      <c r="C2" s="9"/>
      <c r="D2" s="9"/>
      <c r="E2" s="9"/>
      <c r="F2" s="9"/>
      <c r="G2" s="9"/>
      <c r="H2" s="9"/>
      <c r="I2" s="9"/>
      <c r="J2" s="13"/>
      <c r="K2" s="9"/>
      <c r="L2" s="9"/>
      <c r="M2" s="9"/>
      <c r="N2" s="9"/>
      <c r="O2" s="9"/>
      <c r="P2" s="9"/>
      <c r="Q2" s="9"/>
      <c r="R2" s="9"/>
      <c r="S2" s="9"/>
      <c r="T2" s="9"/>
      <c r="U2" s="134"/>
      <c r="V2" s="179"/>
      <c r="W2" s="168"/>
      <c r="AI2" s="210"/>
      <c r="AJ2" s="175"/>
    </row>
    <row r="3" spans="1:44" ht="18.75" customHeight="1" x14ac:dyDescent="0.2">
      <c r="A3" s="141"/>
      <c r="B3" s="142"/>
      <c r="C3" s="142"/>
      <c r="D3" s="142"/>
      <c r="E3" s="142"/>
      <c r="F3" s="142"/>
      <c r="G3" s="142"/>
      <c r="H3" s="142"/>
      <c r="I3" s="298"/>
      <c r="J3" s="143"/>
      <c r="K3" s="142"/>
      <c r="L3" s="142"/>
      <c r="M3" s="142"/>
      <c r="N3" s="142"/>
      <c r="O3" s="142"/>
      <c r="P3" s="142"/>
      <c r="Q3" s="142"/>
      <c r="R3" s="142"/>
      <c r="S3" s="298"/>
      <c r="T3" s="142"/>
      <c r="U3" s="144"/>
      <c r="V3" s="179"/>
      <c r="W3" s="168"/>
      <c r="AI3" s="210"/>
      <c r="AJ3" s="175"/>
    </row>
    <row r="4" spans="1:44" ht="11.25" customHeight="1" x14ac:dyDescent="0.2">
      <c r="A4" s="129"/>
      <c r="B4" s="130"/>
      <c r="C4" s="130"/>
      <c r="D4" s="130"/>
      <c r="E4" s="130"/>
      <c r="F4" s="130"/>
      <c r="G4" s="130"/>
      <c r="H4" s="130"/>
      <c r="I4" s="130"/>
      <c r="J4" s="131"/>
      <c r="K4" s="130"/>
      <c r="L4" s="130"/>
      <c r="M4" s="130"/>
      <c r="N4" s="130"/>
      <c r="O4" s="130"/>
      <c r="P4" s="130"/>
      <c r="Q4" s="130"/>
      <c r="R4" s="130"/>
      <c r="S4" s="130"/>
      <c r="T4" s="130"/>
      <c r="U4" s="132"/>
      <c r="V4" s="152"/>
      <c r="W4" s="168"/>
      <c r="X4" s="212" t="e">
        <f>VLOOKUP(Y4,$X$9:$Y$30,2,FALSE)</f>
        <v>#N/A</v>
      </c>
      <c r="Y4" s="212" t="str">
        <f>Home!$D$10</f>
        <v>(none)</v>
      </c>
      <c r="Z4" s="43" t="str">
        <f>"Selected LA- "&amp;Y4</f>
        <v>Selected LA- (none)</v>
      </c>
      <c r="AI4" s="210"/>
      <c r="AJ4" s="175"/>
    </row>
    <row r="5" spans="1:44" s="82" customFormat="1" ht="15" customHeight="1" x14ac:dyDescent="0.2">
      <c r="A5" s="136"/>
      <c r="B5" s="1013" t="s">
        <v>146</v>
      </c>
      <c r="C5" s="930"/>
      <c r="D5" s="930"/>
      <c r="E5" s="930"/>
      <c r="F5" s="930"/>
      <c r="G5" s="930"/>
      <c r="H5" s="930"/>
      <c r="I5" s="930"/>
      <c r="J5" s="930"/>
      <c r="K5" s="930"/>
      <c r="L5" s="930"/>
      <c r="M5" s="930"/>
      <c r="N5" s="930"/>
      <c r="O5" s="70"/>
      <c r="P5" s="70"/>
      <c r="Q5" s="70"/>
      <c r="R5" s="70"/>
      <c r="S5" s="70"/>
      <c r="T5" s="70"/>
      <c r="U5" s="137"/>
      <c r="V5" s="153"/>
      <c r="W5" s="169"/>
      <c r="X5" s="215"/>
      <c r="Y5" s="215"/>
      <c r="Z5" s="215"/>
      <c r="AA5" s="215"/>
      <c r="AB5" s="215"/>
      <c r="AC5" s="215"/>
      <c r="AD5" s="215"/>
      <c r="AE5" s="215"/>
      <c r="AF5" s="215"/>
      <c r="AG5" s="215"/>
      <c r="AH5" s="215"/>
      <c r="AI5" s="215"/>
      <c r="AJ5" s="176"/>
    </row>
    <row r="6" spans="1:44" ht="13.5" customHeight="1" x14ac:dyDescent="0.2">
      <c r="A6" s="135"/>
      <c r="B6" s="930"/>
      <c r="C6" s="930"/>
      <c r="D6" s="930"/>
      <c r="E6" s="930"/>
      <c r="F6" s="930"/>
      <c r="G6" s="930"/>
      <c r="H6" s="930"/>
      <c r="I6" s="930"/>
      <c r="J6" s="930"/>
      <c r="K6" s="930"/>
      <c r="L6" s="930"/>
      <c r="M6" s="930"/>
      <c r="N6" s="930"/>
      <c r="O6" s="70"/>
      <c r="P6" s="70"/>
      <c r="Q6" s="70"/>
      <c r="R6" s="70"/>
      <c r="S6" s="70"/>
      <c r="T6" s="70"/>
      <c r="U6" s="134"/>
      <c r="V6" s="152"/>
      <c r="W6" s="168"/>
      <c r="Y6" s="217"/>
      <c r="AI6" s="210"/>
      <c r="AJ6" s="175"/>
    </row>
    <row r="7" spans="1:44" s="101" customFormat="1" ht="21" customHeight="1" x14ac:dyDescent="0.2">
      <c r="A7" s="138"/>
      <c r="B7" s="1050" t="s">
        <v>215</v>
      </c>
      <c r="C7" s="97"/>
      <c r="D7" s="982" t="s">
        <v>88</v>
      </c>
      <c r="E7" s="1042"/>
      <c r="F7" s="1042"/>
      <c r="G7" s="1042"/>
      <c r="H7" s="1043"/>
      <c r="I7" s="1044" t="str">
        <f>"% Change "&amp;E8&amp;"-"&amp;RIGHT(H8,2)</f>
        <v>% Change 2015-18</v>
      </c>
      <c r="J7" s="115"/>
      <c r="K7" s="1046" t="s">
        <v>89</v>
      </c>
      <c r="L7" s="1047"/>
      <c r="M7" s="1047"/>
      <c r="N7" s="1047"/>
      <c r="O7" s="1047"/>
      <c r="P7" s="1048" t="str">
        <f>"SE Rank "&amp;O8</f>
        <v>SE Rank 2018</v>
      </c>
      <c r="Q7" s="70"/>
      <c r="R7" s="1039" t="str">
        <f>"Distance from Expected "&amp;H8</f>
        <v>Distance from Expected 2018</v>
      </c>
      <c r="S7" s="1040"/>
      <c r="T7" s="1041"/>
      <c r="U7" s="139"/>
      <c r="V7" s="154"/>
      <c r="W7" s="170"/>
      <c r="X7" s="232"/>
      <c r="Y7" s="232"/>
      <c r="Z7" s="233" t="s">
        <v>79</v>
      </c>
      <c r="AA7" s="217"/>
      <c r="AB7" s="217"/>
      <c r="AC7" s="226"/>
      <c r="AD7" s="226"/>
      <c r="AE7" s="217"/>
      <c r="AF7" s="234" t="s">
        <v>92</v>
      </c>
      <c r="AG7" s="217"/>
      <c r="AH7" s="217"/>
      <c r="AI7" s="232"/>
      <c r="AJ7" s="178"/>
    </row>
    <row r="8" spans="1:44" s="101" customFormat="1" ht="13.5" customHeight="1" x14ac:dyDescent="0.2">
      <c r="A8" s="138"/>
      <c r="B8" s="1051"/>
      <c r="C8" s="97"/>
      <c r="D8" s="393">
        <v>2014</v>
      </c>
      <c r="E8" s="393">
        <v>2015</v>
      </c>
      <c r="F8" s="393">
        <v>2016</v>
      </c>
      <c r="G8" s="393">
        <v>2017</v>
      </c>
      <c r="H8" s="394">
        <v>2018</v>
      </c>
      <c r="I8" s="1045"/>
      <c r="J8" s="115"/>
      <c r="K8" s="395">
        <f>D8</f>
        <v>2014</v>
      </c>
      <c r="L8" s="395">
        <f t="shared" ref="L8:O8" si="0">E8</f>
        <v>2015</v>
      </c>
      <c r="M8" s="395">
        <f t="shared" si="0"/>
        <v>2016</v>
      </c>
      <c r="N8" s="395">
        <f t="shared" si="0"/>
        <v>2017</v>
      </c>
      <c r="O8" s="395">
        <f t="shared" si="0"/>
        <v>2018</v>
      </c>
      <c r="P8" s="1049"/>
      <c r="Q8" s="70"/>
      <c r="R8" s="328" t="s">
        <v>78</v>
      </c>
      <c r="S8" s="375" t="s">
        <v>131</v>
      </c>
      <c r="T8" s="376" t="s">
        <v>132</v>
      </c>
      <c r="U8" s="139"/>
      <c r="V8" s="154"/>
      <c r="W8" s="170"/>
      <c r="X8" s="232"/>
      <c r="Y8" s="232"/>
      <c r="Z8" s="44">
        <f>K8</f>
        <v>2014</v>
      </c>
      <c r="AA8" s="44">
        <f>L8</f>
        <v>2015</v>
      </c>
      <c r="AB8" s="44">
        <f>M8</f>
        <v>2016</v>
      </c>
      <c r="AC8" s="44">
        <f>N8</f>
        <v>2017</v>
      </c>
      <c r="AD8" s="44">
        <f>O8</f>
        <v>2018</v>
      </c>
      <c r="AE8" s="217"/>
      <c r="AF8" s="217"/>
      <c r="AG8" s="217"/>
      <c r="AH8" s="217"/>
      <c r="AI8" s="232"/>
      <c r="AJ8" s="178"/>
    </row>
    <row r="9" spans="1:44" s="101" customFormat="1" ht="13.5" customHeight="1" x14ac:dyDescent="0.2">
      <c r="A9" s="533">
        <f>VLOOKUP(B9,Sheet1!$B$4:$C$25,2,FALSE)</f>
        <v>0</v>
      </c>
      <c r="B9" s="112" t="s">
        <v>0</v>
      </c>
      <c r="C9" s="97"/>
      <c r="D9" s="113">
        <f>IF(Year1_Bracknell_Forest Year1_CIN="","",Year1_Bracknell_Forest Year1_CIN)</f>
        <v>774</v>
      </c>
      <c r="E9" s="113">
        <f>IF(Year2_Bracknell_Forest Year2_CIN="","",Year2_Bracknell_Forest Year2_CIN)</f>
        <v>748</v>
      </c>
      <c r="F9" s="113">
        <f>IF(Year3_Bracknell_Forest Year3_CIN="","",Year3_Bracknell_Forest Year3_CIN)</f>
        <v>839</v>
      </c>
      <c r="G9" s="113">
        <f>IF(Year4_Bracknell_Forest Year4_CIN="","",Year4_Bracknell_Forest Year4_CIN)</f>
        <v>981</v>
      </c>
      <c r="H9" s="114">
        <f>IF(Year5_Bracknell_Forest Year5_CIN="","",Year5_Bracknell_Forest Year5_CIN)</f>
        <v>993</v>
      </c>
      <c r="I9" s="392">
        <f>IF(ISNUMBER(H9),(H9-E9)/E9,"")</f>
        <v>0.32754010695187163</v>
      </c>
      <c r="J9" s="115"/>
      <c r="K9" s="116">
        <f>IF(ISNUMBER(D9),D9/Population!C8*10000,NA())</f>
        <v>285.60885608856086</v>
      </c>
      <c r="L9" s="116">
        <f>IF(ISNUMBER(E9),E9/Population!D8*10000,NA())</f>
        <v>269.06474820143887</v>
      </c>
      <c r="M9" s="116">
        <f>IF(ISNUMBER(F9),F9/Population!E8*10000,NA())</f>
        <v>297.51773049645391</v>
      </c>
      <c r="N9" s="116">
        <f>IF(ISNUMBER(G9),G9/Population!F8*10000,NA())</f>
        <v>348.1933697735501</v>
      </c>
      <c r="O9" s="117">
        <f>IF(ISNUMBER(H9),H9/Population!G8*10000,NA())</f>
        <v>353.74585871540023</v>
      </c>
      <c r="P9" s="397">
        <f>IF(ISNA(VLOOKUP(B9,$AF$9:$AH$27,3,FALSE)),"--",IF(ISNUMBER(H9),VLOOKUP(B9,$AF$9:$AH$27,3,FALSE),NA()))</f>
        <v>13</v>
      </c>
      <c r="Q9" s="70"/>
      <c r="R9" s="387">
        <f>IDACI!C9</f>
        <v>11</v>
      </c>
      <c r="S9" s="388">
        <f>(R9*$Y$68)+$Z$68</f>
        <v>270.73853199999996</v>
      </c>
      <c r="T9" s="389">
        <f>O9-S9</f>
        <v>83.007326715400268</v>
      </c>
      <c r="U9" s="139"/>
      <c r="V9" s="154"/>
      <c r="W9" s="170"/>
      <c r="X9" s="72" t="str">
        <f t="shared" ref="X9:X32" si="1">B9</f>
        <v>Bracknell Forest</v>
      </c>
      <c r="Y9" s="235">
        <v>1</v>
      </c>
      <c r="Z9" s="236">
        <f>IF(D9&gt;0,Population!C8,"")</f>
        <v>27100</v>
      </c>
      <c r="AA9" s="236">
        <f>IF(E9&gt;0,Population!D8,"")</f>
        <v>27800</v>
      </c>
      <c r="AB9" s="236">
        <f>IF(F9&gt;0,Population!E8,"")</f>
        <v>28200</v>
      </c>
      <c r="AC9" s="236">
        <f>IF(G9&gt;0,Population!F8,"")</f>
        <v>28174</v>
      </c>
      <c r="AD9" s="236">
        <f>IF(H9&gt;0,Population!G8,"")</f>
        <v>28071</v>
      </c>
      <c r="AE9" s="217"/>
      <c r="AF9" s="112" t="str">
        <f>B9</f>
        <v>Bracknell Forest</v>
      </c>
      <c r="AG9" s="262">
        <f>IFERROR(VLOOKUP(AF9,$B$9:$O$30,14,FALSE),"")</f>
        <v>353.74585871540023</v>
      </c>
      <c r="AH9" s="237">
        <f>RANK(AG9,$AG$9:$AG$27,1)</f>
        <v>13</v>
      </c>
      <c r="AI9" s="232"/>
      <c r="AJ9" s="178"/>
    </row>
    <row r="10" spans="1:44" s="101" customFormat="1" ht="13.5" customHeight="1" x14ac:dyDescent="0.2">
      <c r="A10" s="533">
        <f>VLOOKUP(B10,Sheet1!$B$4:$C$25,2,FALSE)</f>
        <v>0</v>
      </c>
      <c r="B10" s="112" t="s">
        <v>32</v>
      </c>
      <c r="C10" s="97"/>
      <c r="D10" s="113">
        <f>IF(Year1_Brighton_Hove Year1_CIN="","",Year1_Brighton_Hove Year1_CIN)</f>
        <v>1796</v>
      </c>
      <c r="E10" s="113">
        <f>IF(Year2_Brighton_Hove Year2_CIN="","",Year2_Brighton_Hove Year2_CIN)</f>
        <v>2475</v>
      </c>
      <c r="F10" s="113">
        <f>IF(Year3_Brighton_Hove Year3_CIN="","",Year3_Brighton_Hove Year3_CIN)</f>
        <v>2347</v>
      </c>
      <c r="G10" s="113">
        <f>IF(Year4_Brighton_Hove Year4_CIN="","",Year4_Brighton_Hove Year4_CIN)</f>
        <v>2166</v>
      </c>
      <c r="H10" s="114">
        <f>IF(Year5_Brighton_Hove Year5_CIN="","",Year5_Brighton_Hove Year5_CIN)</f>
        <v>2175</v>
      </c>
      <c r="I10" s="392">
        <f>IF(ISNUMBER(H10),(H10-E10)/E10,"")</f>
        <v>-0.12121212121212122</v>
      </c>
      <c r="J10" s="115"/>
      <c r="K10" s="116">
        <f>IF(ISNUMBER(D10),D10/Population!C9*10000,NA())</f>
        <v>355.6435643564356</v>
      </c>
      <c r="L10" s="116">
        <f>IF(ISNUMBER(E10),E10/Population!D9*10000,NA())</f>
        <v>485.29411764705884</v>
      </c>
      <c r="M10" s="116">
        <f>IF(ISNUMBER(F10),F10/Population!E9*10000,NA())</f>
        <v>458.3984375</v>
      </c>
      <c r="N10" s="116">
        <f>IF(ISNUMBER(G10),G10/Population!F9*10000,NA())</f>
        <v>422.37865876250459</v>
      </c>
      <c r="O10" s="117">
        <f>IF(ISNUMBER(H10),H10/Population!G9*10000,NA())</f>
        <v>426.62952864792771</v>
      </c>
      <c r="P10" s="397">
        <f t="shared" ref="P10:P32" si="2">IF(ISNA(VLOOKUP(B10,$AF$9:$AH$27,3,FALSE)),"--",IF(ISNUMBER(H10),VLOOKUP(B10,$AF$9:$AH$27,3,FALSE),NA()))</f>
        <v>16</v>
      </c>
      <c r="Q10" s="70"/>
      <c r="R10" s="387">
        <f>IDACI!C10</f>
        <v>18.3</v>
      </c>
      <c r="S10" s="388">
        <f t="shared" ref="S10:S32" si="3">(R10*$Y$68)+$Z$68</f>
        <v>340.27257959999997</v>
      </c>
      <c r="T10" s="389">
        <f t="shared" ref="T10:T32" si="4">O10-S10</f>
        <v>86.356949047927742</v>
      </c>
      <c r="U10" s="139"/>
      <c r="V10" s="154"/>
      <c r="W10" s="170"/>
      <c r="X10" s="72" t="str">
        <f t="shared" si="1"/>
        <v>Brighton &amp; Hove</v>
      </c>
      <c r="Y10" s="235">
        <v>2</v>
      </c>
      <c r="Z10" s="236">
        <f>IF(D10&gt;0,Population!C9,"")</f>
        <v>50500</v>
      </c>
      <c r="AA10" s="236">
        <f>IF(E10&gt;0,Population!D9,"")</f>
        <v>51000</v>
      </c>
      <c r="AB10" s="236">
        <f>IF(F10&gt;0,Population!E9,"")</f>
        <v>51200</v>
      </c>
      <c r="AC10" s="236">
        <f>IF(G10&gt;0,Population!F9,"")</f>
        <v>51281</v>
      </c>
      <c r="AD10" s="236">
        <f>IF(H10&gt;0,Population!G9,"")</f>
        <v>50981</v>
      </c>
      <c r="AE10" s="217"/>
      <c r="AF10" s="112" t="s">
        <v>32</v>
      </c>
      <c r="AG10" s="262">
        <f t="shared" ref="AG10:AG27" si="5">IFERROR(VLOOKUP(AF10,$B$9:$O$30,14,FALSE),"")</f>
        <v>426.62952864792771</v>
      </c>
      <c r="AH10" s="237">
        <f t="shared" ref="AH10:AH27" si="6">RANK(AG10,$AG$9:$AG$27,1)</f>
        <v>16</v>
      </c>
      <c r="AI10" s="232"/>
      <c r="AJ10" s="178"/>
    </row>
    <row r="11" spans="1:44" s="101" customFormat="1" ht="13.5" customHeight="1" x14ac:dyDescent="0.2">
      <c r="A11" s="533">
        <f>VLOOKUP(B11,Sheet1!$B$4:$C$25,2,FALSE)</f>
        <v>0</v>
      </c>
      <c r="B11" s="112" t="s">
        <v>9</v>
      </c>
      <c r="C11" s="97"/>
      <c r="D11" s="113">
        <f>IF(Year1_Buckinghamshire Year1_CIN="","",Year1_Buckinghamshire Year1_CIN)</f>
        <v>2417</v>
      </c>
      <c r="E11" s="113">
        <f>IF(Year2_Buckinghamshire Year2_CIN="","",Year2_Buckinghamshire Year2_CIN)</f>
        <v>2703</v>
      </c>
      <c r="F11" s="113">
        <f>IF(Year3_Buckinghamshire Year3_CIN="","",Year3_Buckinghamshire Year3_CIN)</f>
        <v>2635</v>
      </c>
      <c r="G11" s="113">
        <f>IF(Year4_Buckinghamshire Year4_CIN="","",Year4_Buckinghamshire Year4_CIN)</f>
        <v>3363</v>
      </c>
      <c r="H11" s="114">
        <f>IF(Year5_Buckinghamshire Year5_CIN="","",Year5_Buckinghamshire Year5_CIN)</f>
        <v>3714</v>
      </c>
      <c r="I11" s="392">
        <f t="shared" ref="I11:I32" si="7">IF(ISNUMBER(H11),(H11-E11)/E11,"")</f>
        <v>0.37402885682574916</v>
      </c>
      <c r="J11" s="115"/>
      <c r="K11" s="116">
        <f>IF(ISNUMBER(D11),D11/Population!C10*10000,NA())</f>
        <v>205.52721088435374</v>
      </c>
      <c r="L11" s="116">
        <f>IF(ISNUMBER(E11),E11/Population!D10*10000,NA())</f>
        <v>227.33389402859547</v>
      </c>
      <c r="M11" s="116">
        <f>IF(ISNUMBER(F11),F11/Population!E10*10000,NA())</f>
        <v>218.49087893864015</v>
      </c>
      <c r="N11" s="116">
        <f>IF(ISNUMBER(G11),G11/Population!F10*10000,NA())</f>
        <v>275.19332269547073</v>
      </c>
      <c r="O11" s="117">
        <f>IF(ISNUMBER(H11),H11/Population!G10*10000,NA())</f>
        <v>301.76721511273615</v>
      </c>
      <c r="P11" s="397">
        <f t="shared" si="2"/>
        <v>11</v>
      </c>
      <c r="Q11" s="70"/>
      <c r="R11" s="387">
        <f>IDACI!C11</f>
        <v>9.8000000000000007</v>
      </c>
      <c r="S11" s="388">
        <f t="shared" si="3"/>
        <v>259.3082776</v>
      </c>
      <c r="T11" s="389">
        <f t="shared" si="4"/>
        <v>42.458937512736156</v>
      </c>
      <c r="U11" s="139"/>
      <c r="V11" s="154"/>
      <c r="W11" s="170"/>
      <c r="X11" s="72" t="str">
        <f t="shared" si="1"/>
        <v>Buckinghamshire</v>
      </c>
      <c r="Y11" s="235">
        <v>3</v>
      </c>
      <c r="Z11" s="236">
        <f>IF(D11&gt;0,Population!C10,"")</f>
        <v>117600</v>
      </c>
      <c r="AA11" s="236">
        <f>IF(E11&gt;0,Population!D10,"")</f>
        <v>118900</v>
      </c>
      <c r="AB11" s="236">
        <f>IF(F11&gt;0,Population!E10,"")</f>
        <v>120600</v>
      </c>
      <c r="AC11" s="236">
        <f>IF(G11&gt;0,Population!F10,"")</f>
        <v>122205</v>
      </c>
      <c r="AD11" s="236">
        <f>IF(H11&gt;0,Population!G10,"")</f>
        <v>123075</v>
      </c>
      <c r="AE11" s="217"/>
      <c r="AF11" s="112" t="s">
        <v>9</v>
      </c>
      <c r="AG11" s="262">
        <f t="shared" si="5"/>
        <v>301.76721511273615</v>
      </c>
      <c r="AH11" s="237">
        <f t="shared" si="6"/>
        <v>11</v>
      </c>
      <c r="AI11" s="232"/>
      <c r="AJ11" s="178"/>
    </row>
    <row r="12" spans="1:44" s="101" customFormat="1" ht="13.5" customHeight="1" x14ac:dyDescent="0.2">
      <c r="A12" s="533">
        <f>VLOOKUP(B12,Sheet1!$B$4:$C$25,2,FALSE)</f>
        <v>0</v>
      </c>
      <c r="B12" s="112" t="s">
        <v>4</v>
      </c>
      <c r="C12" s="97"/>
      <c r="D12" s="113">
        <f>IF(Year1_East_Sussex Year1_CIN="","",Year1_East_Sussex Year1_CIN)</f>
        <v>4325</v>
      </c>
      <c r="E12" s="118">
        <f>IF(Year2_East_Sussex Year2_CIN="","",Year2_East_Sussex Year2_CIN)</f>
        <v>3351</v>
      </c>
      <c r="F12" s="113">
        <f>IF(Year3_East_Sussex Year3_CIN="","",Year3_East_Sussex Year3_CIN)</f>
        <v>2999</v>
      </c>
      <c r="G12" s="113">
        <f>IF(Year4_East_Sussex Year4_CIN="","",Year4_East_Sussex Year4_CIN)</f>
        <v>3140</v>
      </c>
      <c r="H12" s="114">
        <f>IF(Year5_East_Sussex Year5_CIN="","",Year5_East_Sussex Year5_CIN)</f>
        <v>3134</v>
      </c>
      <c r="I12" s="392">
        <f t="shared" si="7"/>
        <v>-6.4756789018203517E-2</v>
      </c>
      <c r="J12" s="115"/>
      <c r="K12" s="116">
        <f>IF(ISNUMBER(D12),D12/Population!C11*10000,NA())</f>
        <v>412.69083969465652</v>
      </c>
      <c r="L12" s="116">
        <f>IF(ISNUMBER(E12),E12/Population!D11*10000,NA())</f>
        <v>317.93168880455408</v>
      </c>
      <c r="M12" s="116">
        <f>IF(ISNUMBER(F12),F12/Population!E11*10000,NA())</f>
        <v>283.19169027384328</v>
      </c>
      <c r="N12" s="116">
        <f>IF(ISNUMBER(G12),G12/Population!F11*10000,NA())</f>
        <v>296.44175485966218</v>
      </c>
      <c r="O12" s="117">
        <f>IF(ISNUMBER(H12),H12/Population!G11*10000,NA())</f>
        <v>295.53491442312225</v>
      </c>
      <c r="P12" s="397">
        <f t="shared" si="2"/>
        <v>8</v>
      </c>
      <c r="Q12" s="70"/>
      <c r="R12" s="387">
        <f>IDACI!C12</f>
        <v>17.399999999999999</v>
      </c>
      <c r="S12" s="388">
        <f t="shared" si="3"/>
        <v>331.69988879999994</v>
      </c>
      <c r="T12" s="389">
        <f t="shared" si="4"/>
        <v>-36.164974376877694</v>
      </c>
      <c r="U12" s="139"/>
      <c r="V12" s="154"/>
      <c r="W12" s="170"/>
      <c r="X12" s="72" t="str">
        <f t="shared" si="1"/>
        <v>East Sussex</v>
      </c>
      <c r="Y12" s="235">
        <v>4</v>
      </c>
      <c r="Z12" s="236">
        <f>IF(D12&gt;0,Population!C11,"")</f>
        <v>104800</v>
      </c>
      <c r="AA12" s="236">
        <f>IF(E12&gt;0,Population!D11,"")</f>
        <v>105400</v>
      </c>
      <c r="AB12" s="236">
        <f>IF(F12&gt;0,Population!E11,"")</f>
        <v>105900</v>
      </c>
      <c r="AC12" s="236">
        <f>IF(G12&gt;0,Population!F11,"")</f>
        <v>105923</v>
      </c>
      <c r="AD12" s="236">
        <f>IF(H12&gt;0,Population!G11,"")</f>
        <v>106045</v>
      </c>
      <c r="AE12" s="217"/>
      <c r="AF12" s="112" t="s">
        <v>4</v>
      </c>
      <c r="AG12" s="262">
        <f t="shared" si="5"/>
        <v>295.53491442312225</v>
      </c>
      <c r="AH12" s="237">
        <f t="shared" si="6"/>
        <v>8</v>
      </c>
      <c r="AI12" s="232"/>
      <c r="AJ12" s="178"/>
    </row>
    <row r="13" spans="1:44" s="101" customFormat="1" ht="13.5" customHeight="1" x14ac:dyDescent="0.2">
      <c r="A13" s="533">
        <f>VLOOKUP(B13,Sheet1!$B$4:$C$25,2,FALSE)</f>
        <v>0</v>
      </c>
      <c r="B13" s="112" t="s">
        <v>6</v>
      </c>
      <c r="C13" s="97"/>
      <c r="D13" s="113">
        <f>IF(Year1_Hampshire Year1_CIN="","",Year1_Hampshire Year1_CIN)</f>
        <v>8020</v>
      </c>
      <c r="E13" s="113">
        <f>IF(Year2_Hampshire Year2_CIN="","",Year2_Hampshire Year2_CIN)</f>
        <v>7818</v>
      </c>
      <c r="F13" s="119">
        <f>IF(Year3_Hampshire Year3_CIN="","",Year3_Hampshire Year3_CIN)</f>
        <v>8732</v>
      </c>
      <c r="G13" s="119">
        <f>IF(Year4_Hampshire Year4_CIN="","",Year4_Hampshire Year4_CIN)</f>
        <v>8713</v>
      </c>
      <c r="H13" s="114">
        <f>IF(Year5_Hampshire Year5_CIN="","",Year5_Hampshire Year5_CIN)</f>
        <v>8285</v>
      </c>
      <c r="I13" s="392">
        <f t="shared" si="7"/>
        <v>5.9733947301100022E-2</v>
      </c>
      <c r="J13" s="115"/>
      <c r="K13" s="116">
        <f>IF(ISNUMBER(D13),D13/Population!C12*10000,NA())</f>
        <v>284.49804895352963</v>
      </c>
      <c r="L13" s="116">
        <f>IF(ISNUMBER(E13),E13/Population!D12*10000,NA())</f>
        <v>277.72646536412077</v>
      </c>
      <c r="M13" s="116">
        <f>IF(ISNUMBER(F13),F13/Population!E12*10000,NA())</f>
        <v>309.7552323518978</v>
      </c>
      <c r="N13" s="116">
        <f>IF(ISNUMBER(G13),G13/Population!F12*10000,NA())</f>
        <v>308.10740087202208</v>
      </c>
      <c r="O13" s="117">
        <f>IF(ISNUMBER(H13),H13/Population!G12*10000,NA())</f>
        <v>292.43171887022879</v>
      </c>
      <c r="P13" s="397">
        <f t="shared" si="2"/>
        <v>7</v>
      </c>
      <c r="Q13" s="70"/>
      <c r="R13" s="387">
        <f>IDACI!C13</f>
        <v>11.799999999999999</v>
      </c>
      <c r="S13" s="388">
        <f t="shared" si="3"/>
        <v>278.35870159999996</v>
      </c>
      <c r="T13" s="389">
        <f t="shared" si="4"/>
        <v>14.073017270228831</v>
      </c>
      <c r="U13" s="139"/>
      <c r="V13" s="154"/>
      <c r="W13" s="170"/>
      <c r="X13" s="72" t="str">
        <f t="shared" si="1"/>
        <v>Hampshire</v>
      </c>
      <c r="Y13" s="235">
        <v>5</v>
      </c>
      <c r="Z13" s="236">
        <f>IF(D13&gt;0,Population!C12,"")</f>
        <v>281900</v>
      </c>
      <c r="AA13" s="236">
        <f>IF(E13&gt;0,Population!D12,"")</f>
        <v>281500</v>
      </c>
      <c r="AB13" s="236">
        <f>IF(F13&gt;0,Population!E12,"")</f>
        <v>281900</v>
      </c>
      <c r="AC13" s="236">
        <f>IF(G13&gt;0,Population!F12,"")</f>
        <v>282791</v>
      </c>
      <c r="AD13" s="236">
        <f>IF(H13&gt;0,Population!G12,"")</f>
        <v>283314</v>
      </c>
      <c r="AE13" s="217"/>
      <c r="AF13" s="112" t="s">
        <v>6</v>
      </c>
      <c r="AG13" s="262">
        <f t="shared" si="5"/>
        <v>292.43171887022879</v>
      </c>
      <c r="AH13" s="237">
        <f t="shared" si="6"/>
        <v>7</v>
      </c>
      <c r="AI13" s="232"/>
      <c r="AJ13" s="178"/>
    </row>
    <row r="14" spans="1:44" s="101" customFormat="1" ht="13.5" customHeight="1" x14ac:dyDescent="0.2">
      <c r="A14" s="533">
        <f>VLOOKUP(B14,Sheet1!$B$4:$C$25,2,FALSE)</f>
        <v>0</v>
      </c>
      <c r="B14" s="112" t="s">
        <v>1</v>
      </c>
      <c r="C14" s="97"/>
      <c r="D14" s="113">
        <f>IF(Year1_Isle_of_Wight Year1_CIN="","",Year1_Isle_of_Wight Year1_CIN)</f>
        <v>1155</v>
      </c>
      <c r="E14" s="113">
        <f>IF(Year2_Isle_of_Wight Year2_CIN="","",Year2_Isle_of_Wight Year2_CIN)</f>
        <v>1092</v>
      </c>
      <c r="F14" s="113">
        <f>IF(Year3_Isle_of_Wight Year3_CIN="","",Year3_Isle_of_Wight Year3_CIN)</f>
        <v>1302</v>
      </c>
      <c r="G14" s="113">
        <f>IF(Year4_Isle_of_Wight Year4_CIN="","",Year4_Isle_of_Wight Year4_CIN)</f>
        <v>1247</v>
      </c>
      <c r="H14" s="114">
        <f>IF(Year5_Isle_of_Wight Year5_CIN="","",Year5_Isle_of_Wight Year5_CIN)</f>
        <v>1230</v>
      </c>
      <c r="I14" s="392">
        <f t="shared" si="7"/>
        <v>0.12637362637362637</v>
      </c>
      <c r="J14" s="115"/>
      <c r="K14" s="116">
        <f>IF(ISNUMBER(D14),D14/Population!C13*10000,NA())</f>
        <v>447.67441860465112</v>
      </c>
      <c r="L14" s="116">
        <f>IF(ISNUMBER(E14),E14/Population!D13*10000,NA())</f>
        <v>428.23529411764707</v>
      </c>
      <c r="M14" s="116">
        <f>IF(ISNUMBER(F14),F14/Population!E13*10000,NA())</f>
        <v>514.62450592885375</v>
      </c>
      <c r="N14" s="116">
        <f>IF(ISNUMBER(G14),G14/Population!F13*10000,NA())</f>
        <v>494.84126984126982</v>
      </c>
      <c r="O14" s="117">
        <f>IF(ISNUMBER(H14),H14/Population!G13*10000,NA())</f>
        <v>490.91997605268409</v>
      </c>
      <c r="P14" s="397">
        <f t="shared" si="2"/>
        <v>19</v>
      </c>
      <c r="Q14" s="70"/>
      <c r="R14" s="387">
        <f>IDACI!C14</f>
        <v>20.399999999999999</v>
      </c>
      <c r="S14" s="388">
        <f t="shared" si="3"/>
        <v>360.27552479999997</v>
      </c>
      <c r="T14" s="389">
        <f t="shared" si="4"/>
        <v>130.64445125268412</v>
      </c>
      <c r="U14" s="139"/>
      <c r="V14" s="154"/>
      <c r="W14" s="170"/>
      <c r="X14" s="72" t="str">
        <f t="shared" si="1"/>
        <v>Isle of Wight</v>
      </c>
      <c r="Y14" s="235">
        <v>6</v>
      </c>
      <c r="Z14" s="236">
        <f>IF(D14&gt;0,Population!C13,"")</f>
        <v>25800</v>
      </c>
      <c r="AA14" s="236">
        <f>IF(E14&gt;0,Population!D13,"")</f>
        <v>25500</v>
      </c>
      <c r="AB14" s="236">
        <f>IF(F14&gt;0,Population!E13,"")</f>
        <v>25300</v>
      </c>
      <c r="AC14" s="236">
        <f>IF(G14&gt;0,Population!F13,"")</f>
        <v>25200</v>
      </c>
      <c r="AD14" s="236">
        <f>IF(H14&gt;0,Population!G13,"")</f>
        <v>25055</v>
      </c>
      <c r="AE14" s="217"/>
      <c r="AF14" s="112" t="s">
        <v>1</v>
      </c>
      <c r="AG14" s="262">
        <f t="shared" si="5"/>
        <v>490.91997605268409</v>
      </c>
      <c r="AH14" s="237">
        <f t="shared" si="6"/>
        <v>19</v>
      </c>
      <c r="AI14" s="232"/>
      <c r="AJ14" s="178"/>
      <c r="AR14" s="101" t="s">
        <v>104</v>
      </c>
    </row>
    <row r="15" spans="1:44" s="101" customFormat="1" ht="13.5" customHeight="1" x14ac:dyDescent="0.2">
      <c r="A15" s="533">
        <f>VLOOKUP(B15,Sheet1!$B$4:$C$25,2,FALSE)</f>
        <v>0</v>
      </c>
      <c r="B15" s="112" t="s">
        <v>10</v>
      </c>
      <c r="C15" s="97"/>
      <c r="D15" s="113">
        <f>IF(Year1_Kent Year1_CIN="","",Year1_Kent Year1_CIN)</f>
        <v>10030</v>
      </c>
      <c r="E15" s="113">
        <f>IF(Year2_Kent Year2_CIN="","",Year2_Kent Year2_CIN)</f>
        <v>9182</v>
      </c>
      <c r="F15" s="113">
        <f>IF(Year3_Kent Year3_CIN="","",Year3_Kent Year3_CIN)</f>
        <v>9290</v>
      </c>
      <c r="G15" s="113">
        <f>IF(Year4_Kent Year4_CIN="","",Year4_Kent Year4_CIN)</f>
        <v>10005</v>
      </c>
      <c r="H15" s="114">
        <f>IF(Year5_Kent Year5_CIN="","",Year5_Kent Year5_CIN)</f>
        <v>10019</v>
      </c>
      <c r="I15" s="392">
        <f t="shared" si="7"/>
        <v>9.1156610760182971E-2</v>
      </c>
      <c r="J15" s="115"/>
      <c r="K15" s="116">
        <f>IF(ISNUMBER(D15),D15/Population!C14*10000,NA())</f>
        <v>308.04668304668303</v>
      </c>
      <c r="L15" s="116">
        <f>IF(ISNUMBER(E15),E15/Population!D14*10000,NA())</f>
        <v>279.68321657021016</v>
      </c>
      <c r="M15" s="116">
        <f>IF(ISNUMBER(F15),F15/Population!E14*10000,NA())</f>
        <v>281.17433414043586</v>
      </c>
      <c r="N15" s="116">
        <f>IF(ISNUMBER(G15),G15/Population!F14*10000,NA())</f>
        <v>300.40985452416339</v>
      </c>
      <c r="O15" s="117">
        <f>IF(ISNUMBER(H15),H15/Population!G14*10000,NA())</f>
        <v>298.1046743431819</v>
      </c>
      <c r="P15" s="397">
        <f t="shared" si="2"/>
        <v>9</v>
      </c>
      <c r="Q15" s="70"/>
      <c r="R15" s="387">
        <f>IDACI!C15</f>
        <v>17.8</v>
      </c>
      <c r="S15" s="388">
        <f t="shared" si="3"/>
        <v>335.50997359999997</v>
      </c>
      <c r="T15" s="389">
        <f t="shared" si="4"/>
        <v>-37.405299256818068</v>
      </c>
      <c r="U15" s="139"/>
      <c r="V15" s="154"/>
      <c r="W15" s="170"/>
      <c r="X15" s="72" t="str">
        <f t="shared" si="1"/>
        <v>Kent</v>
      </c>
      <c r="Y15" s="235">
        <v>7</v>
      </c>
      <c r="Z15" s="236">
        <f>IF(D15&gt;0,Population!C14,"")</f>
        <v>325600</v>
      </c>
      <c r="AA15" s="236">
        <f>IF(E15&gt;0,Population!D14,"")</f>
        <v>328300</v>
      </c>
      <c r="AB15" s="236">
        <f>IF(F15&gt;0,Population!E14,"")</f>
        <v>330400</v>
      </c>
      <c r="AC15" s="236">
        <f>IF(G15&gt;0,Population!F14,"")</f>
        <v>333045</v>
      </c>
      <c r="AD15" s="236">
        <f>IF(H15&gt;0,Population!G14,"")</f>
        <v>336090</v>
      </c>
      <c r="AE15" s="217"/>
      <c r="AF15" s="112" t="s">
        <v>10</v>
      </c>
      <c r="AG15" s="262">
        <f t="shared" si="5"/>
        <v>298.1046743431819</v>
      </c>
      <c r="AH15" s="237">
        <f t="shared" si="6"/>
        <v>9</v>
      </c>
      <c r="AI15" s="232"/>
      <c r="AJ15" s="178"/>
    </row>
    <row r="16" spans="1:44" s="101" customFormat="1" ht="13.5" customHeight="1" x14ac:dyDescent="0.2">
      <c r="A16" s="533">
        <f>VLOOKUP(B16,Sheet1!$B$4:$C$25,2,FALSE)</f>
        <v>0</v>
      </c>
      <c r="B16" s="112" t="s">
        <v>2</v>
      </c>
      <c r="C16" s="97"/>
      <c r="D16" s="113">
        <f>IF(Year1_Medway Year1_CIN="","",Year1_Medway Year1_CIN)</f>
        <v>2589</v>
      </c>
      <c r="E16" s="329">
        <f>IF(Year2_Medway Year2_CIN="","",Year2_Medway Year2_CIN)</f>
        <v>2544</v>
      </c>
      <c r="F16" s="329">
        <f>IF(Year3_Medway Year3_CIN="","",Year3_Medway Year3_CIN)</f>
        <v>2618</v>
      </c>
      <c r="G16" s="329">
        <f>IF(Year4_Medway Year4_CIN="","",Year4_Medway Year4_CIN)</f>
        <v>1776</v>
      </c>
      <c r="H16" s="330">
        <f>IF(Year5_Medway Year5_CIN="","",Year5_Medway Year5_CIN)</f>
        <v>1945</v>
      </c>
      <c r="I16" s="392">
        <f t="shared" si="7"/>
        <v>-0.23545597484276728</v>
      </c>
      <c r="J16" s="115"/>
      <c r="K16" s="116">
        <f>IF(ISNUMBER(D16),D16/Population!C15*10000,NA())</f>
        <v>420.29220779220776</v>
      </c>
      <c r="L16" s="116">
        <f>IF(ISNUMBER(E16),E16/Population!D15*10000,NA())</f>
        <v>407.03999999999996</v>
      </c>
      <c r="M16" s="116">
        <f>IF(ISNUMBER(F16),F16/Population!E15*10000,NA())</f>
        <v>414.24050632911394</v>
      </c>
      <c r="N16" s="116">
        <f>IF(ISNUMBER(G16),G16/Population!F15*10000,NA())</f>
        <v>278.82003862034315</v>
      </c>
      <c r="O16" s="117">
        <f>IF(ISNUMBER(H16),H16/Population!G15*10000,NA())</f>
        <v>304.17715778114882</v>
      </c>
      <c r="P16" s="397">
        <f t="shared" si="2"/>
        <v>12</v>
      </c>
      <c r="Q16" s="70"/>
      <c r="R16" s="387">
        <f>IDACI!C16</f>
        <v>22</v>
      </c>
      <c r="S16" s="388">
        <f t="shared" si="3"/>
        <v>375.51586399999997</v>
      </c>
      <c r="T16" s="389">
        <f t="shared" si="4"/>
        <v>-71.338706218851144</v>
      </c>
      <c r="U16" s="139"/>
      <c r="V16" s="154"/>
      <c r="W16" s="170"/>
      <c r="X16" s="72" t="str">
        <f t="shared" si="1"/>
        <v>Medway</v>
      </c>
      <c r="Y16" s="235">
        <v>8</v>
      </c>
      <c r="Z16" s="236">
        <f>IF(D16&gt;0,Population!C15,"")</f>
        <v>61600</v>
      </c>
      <c r="AA16" s="236">
        <f>IF(E16&gt;0,Population!D15,"")</f>
        <v>62500</v>
      </c>
      <c r="AB16" s="236">
        <f>IF(F16&gt;0,Population!E15,"")</f>
        <v>63200</v>
      </c>
      <c r="AC16" s="236">
        <f>IF(G16&gt;0,Population!F15,"")</f>
        <v>63697</v>
      </c>
      <c r="AD16" s="236">
        <f>IF(H16&gt;0,Population!G15,"")</f>
        <v>63943</v>
      </c>
      <c r="AE16" s="217"/>
      <c r="AF16" s="112" t="s">
        <v>2</v>
      </c>
      <c r="AG16" s="262">
        <f t="shared" si="5"/>
        <v>304.17715778114882</v>
      </c>
      <c r="AH16" s="237">
        <f t="shared" si="6"/>
        <v>12</v>
      </c>
      <c r="AI16" s="232"/>
      <c r="AJ16" s="178"/>
    </row>
    <row r="17" spans="1:36" s="101" customFormat="1" ht="13.5" customHeight="1" x14ac:dyDescent="0.2">
      <c r="A17" s="533">
        <f>VLOOKUP(B17,Sheet1!$B$4:$C$25,2,FALSE)</f>
        <v>0</v>
      </c>
      <c r="B17" s="112" t="s">
        <v>11</v>
      </c>
      <c r="C17" s="97"/>
      <c r="D17" s="113">
        <f>IF(Year1_Milton_Keynes Year1_CIN="","",Year1_Milton_Keynes Year1_CIN)</f>
        <v>1487</v>
      </c>
      <c r="E17" s="113">
        <f>IF(Year2_Milton_Keynes Year2_CIN="","",Year2_Milton_Keynes Year2_CIN)</f>
        <v>1584</v>
      </c>
      <c r="F17" s="113">
        <f>IF(Year3_Milton_Keynes Year3_CIN="","",Year3_Milton_Keynes Year3_CIN)</f>
        <v>1730</v>
      </c>
      <c r="G17" s="113">
        <f>IF(Year4_Milton_Keynes Year4_CIN="","",Year4_Milton_Keynes Year4_CIN)</f>
        <v>2025</v>
      </c>
      <c r="H17" s="114">
        <f>IF(Year5_Milton_Keynes Year5_CIN="","",Year5_Milton_Keynes Year5_CIN)</f>
        <v>1874</v>
      </c>
      <c r="I17" s="392">
        <f t="shared" si="7"/>
        <v>0.18308080808080809</v>
      </c>
      <c r="J17" s="115"/>
      <c r="K17" s="116">
        <f>IF(ISNUMBER(D17),D17/Population!C16*10000,NA())</f>
        <v>232.34375000000003</v>
      </c>
      <c r="L17" s="116">
        <f>IF(ISNUMBER(E17),E17/Population!D16*10000,NA())</f>
        <v>242.94478527607362</v>
      </c>
      <c r="M17" s="116">
        <f>IF(ISNUMBER(F17),F17/Population!E16*10000,NA())</f>
        <v>261.72465960665659</v>
      </c>
      <c r="N17" s="116">
        <f>IF(ISNUMBER(G17),G17/Population!F16*10000,NA())</f>
        <v>301.58162809400409</v>
      </c>
      <c r="O17" s="117">
        <f>IF(ISNUMBER(H17),H17/Population!G16*10000,NA())</f>
        <v>277.02632784898077</v>
      </c>
      <c r="P17" s="397">
        <f t="shared" si="2"/>
        <v>4</v>
      </c>
      <c r="Q17" s="70"/>
      <c r="R17" s="387">
        <f>IDACI!C17</f>
        <v>19.7</v>
      </c>
      <c r="S17" s="388">
        <f t="shared" si="3"/>
        <v>353.60787640000001</v>
      </c>
      <c r="T17" s="389">
        <f t="shared" si="4"/>
        <v>-76.581548551019239</v>
      </c>
      <c r="U17" s="139"/>
      <c r="V17" s="154"/>
      <c r="W17" s="170"/>
      <c r="X17" s="72" t="str">
        <f t="shared" si="1"/>
        <v>Milton Keynes</v>
      </c>
      <c r="Y17" s="235">
        <v>9</v>
      </c>
      <c r="Z17" s="236">
        <f>IF(D17&gt;0,Population!C16,"")</f>
        <v>64000</v>
      </c>
      <c r="AA17" s="236">
        <f>IF(E17&gt;0,Population!D16,"")</f>
        <v>65200</v>
      </c>
      <c r="AB17" s="236">
        <f>IF(F17&gt;0,Population!E16,"")</f>
        <v>66100</v>
      </c>
      <c r="AC17" s="236">
        <f>IF(G17&gt;0,Population!F16,"")</f>
        <v>67146</v>
      </c>
      <c r="AD17" s="236">
        <f>IF(H17&gt;0,Population!G16,"")</f>
        <v>67647</v>
      </c>
      <c r="AE17" s="217"/>
      <c r="AF17" s="112" t="s">
        <v>11</v>
      </c>
      <c r="AG17" s="262">
        <f t="shared" si="5"/>
        <v>277.02632784898077</v>
      </c>
      <c r="AH17" s="237">
        <f t="shared" si="6"/>
        <v>4</v>
      </c>
      <c r="AI17" s="232"/>
      <c r="AJ17" s="178"/>
    </row>
    <row r="18" spans="1:36" s="101" customFormat="1" ht="13.5" customHeight="1" x14ac:dyDescent="0.2">
      <c r="A18" s="533">
        <f>VLOOKUP(B18,Sheet1!$B$4:$C$25,2,FALSE)</f>
        <v>0</v>
      </c>
      <c r="B18" s="112" t="s">
        <v>12</v>
      </c>
      <c r="C18" s="97"/>
      <c r="D18" s="113">
        <f>IF(Year1_Oxfordshire Year1_CIN="","",Year1_Oxfordshire Year1_CIN)</f>
        <v>3504</v>
      </c>
      <c r="E18" s="113">
        <f>IF(Year2_Oxfordshire Year2_CIN="","",Year2_Oxfordshire Year2_CIN)</f>
        <v>3917</v>
      </c>
      <c r="F18" s="113">
        <f>IF(Year3_Oxfordshire Year3_CIN="","",Year3_Oxfordshire Year3_CIN)</f>
        <v>4636</v>
      </c>
      <c r="G18" s="113">
        <f>IF(Year4_Oxfordshire Year4_CIN="","",Year4_Oxfordshire Year4_CIN)</f>
        <v>4808</v>
      </c>
      <c r="H18" s="114">
        <f>IF(Year5_Oxfordshire Year5_CIN="","",Year5_Oxfordshire Year5_CIN)</f>
        <v>4293</v>
      </c>
      <c r="I18" s="392">
        <f t="shared" si="7"/>
        <v>9.5991830482512128E-2</v>
      </c>
      <c r="J18" s="115"/>
      <c r="K18" s="116">
        <f>IF(ISNUMBER(D18),D18/Population!C17*10000,NA())</f>
        <v>249.75053456878121</v>
      </c>
      <c r="L18" s="116">
        <f>IF(ISNUMBER(E18),E18/Population!D17*10000,NA())</f>
        <v>277.40793201133147</v>
      </c>
      <c r="M18" s="116">
        <f>IF(ISNUMBER(F18),F18/Population!E17*10000,NA())</f>
        <v>326.93935119887163</v>
      </c>
      <c r="N18" s="116">
        <f>IF(ISNUMBER(G18),G18/Population!F17*10000,NA())</f>
        <v>336.46612595085975</v>
      </c>
      <c r="O18" s="117">
        <f>IF(ISNUMBER(H18),H18/Population!G17*10000,NA())</f>
        <v>299.28055547809601</v>
      </c>
      <c r="P18" s="397">
        <f t="shared" si="2"/>
        <v>10</v>
      </c>
      <c r="Q18" s="70"/>
      <c r="R18" s="387">
        <f>IDACI!C18</f>
        <v>11.799999999999999</v>
      </c>
      <c r="S18" s="388">
        <f t="shared" si="3"/>
        <v>278.35870159999996</v>
      </c>
      <c r="T18" s="389">
        <f t="shared" si="4"/>
        <v>20.921853878096044</v>
      </c>
      <c r="U18" s="139"/>
      <c r="V18" s="154"/>
      <c r="W18" s="170"/>
      <c r="X18" s="72" t="str">
        <f t="shared" si="1"/>
        <v>Oxfordshire</v>
      </c>
      <c r="Y18" s="235">
        <v>10</v>
      </c>
      <c r="Z18" s="236">
        <f>IF(D18&gt;0,Population!C17,"")</f>
        <v>140300</v>
      </c>
      <c r="AA18" s="236">
        <f>IF(E18&gt;0,Population!D17,"")</f>
        <v>141200</v>
      </c>
      <c r="AB18" s="236">
        <f>IF(F18&gt;0,Population!E17,"")</f>
        <v>141800</v>
      </c>
      <c r="AC18" s="236">
        <f>IF(G18&gt;0,Population!F17,"")</f>
        <v>142897</v>
      </c>
      <c r="AD18" s="236">
        <f>IF(H18&gt;0,Population!G17,"")</f>
        <v>143444</v>
      </c>
      <c r="AE18" s="217"/>
      <c r="AF18" s="112" t="s">
        <v>12</v>
      </c>
      <c r="AG18" s="262">
        <f t="shared" si="5"/>
        <v>299.28055547809601</v>
      </c>
      <c r="AH18" s="237">
        <f t="shared" si="6"/>
        <v>10</v>
      </c>
      <c r="AI18" s="232"/>
      <c r="AJ18" s="178"/>
    </row>
    <row r="19" spans="1:36" s="101" customFormat="1" ht="13.5" customHeight="1" x14ac:dyDescent="0.2">
      <c r="A19" s="533">
        <f>VLOOKUP(B19,Sheet1!$B$4:$C$25,2,FALSE)</f>
        <v>0</v>
      </c>
      <c r="B19" s="112" t="s">
        <v>13</v>
      </c>
      <c r="C19" s="97"/>
      <c r="D19" s="113">
        <f>IF(Year1_Portsmouth Year1_CIN="","",Year1_Portsmouth Year1_CIN)</f>
        <v>1328</v>
      </c>
      <c r="E19" s="113">
        <f>IF(Year2_Portsmouth Year2_CIN="","",Year2_Portsmouth Year2_CIN)</f>
        <v>1436</v>
      </c>
      <c r="F19" s="113">
        <f>IF(Year3_Portsmouth Year3_CIN="","",Year3_Portsmouth Year3_CIN)</f>
        <v>1331</v>
      </c>
      <c r="G19" s="113">
        <f>IF(Year4_Portsmouth Year4_CIN="","",Year4_Portsmouth Year4_CIN)</f>
        <v>1432</v>
      </c>
      <c r="H19" s="114">
        <f>IF(Year5_Portsmouth Year5_CIN="","",Year5_Portsmouth Year5_CIN)</f>
        <v>1748</v>
      </c>
      <c r="I19" s="392">
        <f t="shared" si="7"/>
        <v>0.21727019498607242</v>
      </c>
      <c r="J19" s="115"/>
      <c r="K19" s="116">
        <f>IF(ISNUMBER(D19),D19/Population!C18*10000,NA())</f>
        <v>311.73708920187789</v>
      </c>
      <c r="L19" s="116">
        <f>IF(ISNUMBER(E19),E19/Population!D18*10000,NA())</f>
        <v>330.87557603686639</v>
      </c>
      <c r="M19" s="116">
        <f>IF(ISNUMBER(F19),F19/Population!E18*10000,NA())</f>
        <v>303.88127853881281</v>
      </c>
      <c r="N19" s="116">
        <f>IF(ISNUMBER(G19),G19/Population!F18*10000,NA())</f>
        <v>325.45454545454544</v>
      </c>
      <c r="O19" s="117">
        <f>IF(ISNUMBER(H19),H19/Population!G18*10000,NA())</f>
        <v>395.54670528602463</v>
      </c>
      <c r="P19" s="397">
        <f t="shared" si="2"/>
        <v>14</v>
      </c>
      <c r="Q19" s="70"/>
      <c r="R19" s="387">
        <f>IDACI!C19</f>
        <v>23.799999999999997</v>
      </c>
      <c r="S19" s="388">
        <f t="shared" si="3"/>
        <v>392.66124559999997</v>
      </c>
      <c r="T19" s="389">
        <f t="shared" si="4"/>
        <v>2.8854596860246602</v>
      </c>
      <c r="U19" s="139"/>
      <c r="V19" s="154"/>
      <c r="W19" s="170"/>
      <c r="X19" s="72" t="str">
        <f t="shared" si="1"/>
        <v>Portsmouth</v>
      </c>
      <c r="Y19" s="235">
        <v>11</v>
      </c>
      <c r="Z19" s="236">
        <f>IF(D19&gt;0,Population!C18,"")</f>
        <v>42600</v>
      </c>
      <c r="AA19" s="236">
        <f>IF(E19&gt;0,Population!D18,"")</f>
        <v>43400</v>
      </c>
      <c r="AB19" s="236">
        <f>IF(F19&gt;0,Population!E18,"")</f>
        <v>43800</v>
      </c>
      <c r="AC19" s="236">
        <f>IF(G19&gt;0,Population!F18,"")</f>
        <v>44000</v>
      </c>
      <c r="AD19" s="236">
        <f>IF(H19&gt;0,Population!G18,"")</f>
        <v>44192</v>
      </c>
      <c r="AE19" s="217"/>
      <c r="AF19" s="112" t="s">
        <v>13</v>
      </c>
      <c r="AG19" s="262">
        <f t="shared" si="5"/>
        <v>395.54670528602463</v>
      </c>
      <c r="AH19" s="237">
        <f t="shared" si="6"/>
        <v>14</v>
      </c>
      <c r="AI19" s="232"/>
      <c r="AJ19" s="178"/>
    </row>
    <row r="20" spans="1:36" s="101" customFormat="1" ht="13.5" customHeight="1" x14ac:dyDescent="0.2">
      <c r="A20" s="533">
        <f>VLOOKUP(B20,Sheet1!$B$4:$C$25,2,FALSE)</f>
        <v>0</v>
      </c>
      <c r="B20" s="112" t="s">
        <v>3</v>
      </c>
      <c r="C20" s="97"/>
      <c r="D20" s="113">
        <f>IF(Year1_Reading Year1_CIN="","",Year1_Reading Year1_CIN)</f>
        <v>1499</v>
      </c>
      <c r="E20" s="113">
        <f>IF(Year2_Reading Year2_CIN="","",Year2_Reading Year2_CIN)</f>
        <v>1394</v>
      </c>
      <c r="F20" s="113">
        <f>IF(Year3_Reading Year3_CIN="","",Year3_Reading Year3_CIN)</f>
        <v>1869</v>
      </c>
      <c r="G20" s="113">
        <f>IF(Year4_Reading Year4_CIN="","",Year4_Reading Year4_CIN)</f>
        <v>1781</v>
      </c>
      <c r="H20" s="114">
        <f>IF(Year5_Reading Year5_CIN="","",Year5_Reading Year5_CIN)</f>
        <v>1683</v>
      </c>
      <c r="I20" s="392">
        <f t="shared" si="7"/>
        <v>0.2073170731707317</v>
      </c>
      <c r="J20" s="115"/>
      <c r="K20" s="116">
        <f>IF(ISNUMBER(D20),D20/Population!C19*10000,NA())</f>
        <v>431.98847262247841</v>
      </c>
      <c r="L20" s="116">
        <f>IF(ISNUMBER(E20),E20/Population!D19*10000,NA())</f>
        <v>388.30083565459609</v>
      </c>
      <c r="M20" s="116">
        <f>IF(ISNUMBER(F20),F20/Population!E19*10000,NA())</f>
        <v>513.46153846153845</v>
      </c>
      <c r="N20" s="116">
        <f>IF(ISNUMBER(G20),G20/Population!F19*10000,NA())</f>
        <v>486.06751999126658</v>
      </c>
      <c r="O20" s="117">
        <f>IF(ISNUMBER(H20),H20/Population!G19*10000,NA())</f>
        <v>453.724422397757</v>
      </c>
      <c r="P20" s="397">
        <f t="shared" si="2"/>
        <v>17</v>
      </c>
      <c r="Q20" s="70"/>
      <c r="R20" s="387">
        <f>IDACI!C20</f>
        <v>19.8</v>
      </c>
      <c r="S20" s="388">
        <f t="shared" si="3"/>
        <v>354.56039759999999</v>
      </c>
      <c r="T20" s="389">
        <f t="shared" si="4"/>
        <v>99.164024797757008</v>
      </c>
      <c r="U20" s="139"/>
      <c r="V20" s="154"/>
      <c r="W20" s="170"/>
      <c r="X20" s="72" t="str">
        <f t="shared" si="1"/>
        <v>Reading</v>
      </c>
      <c r="Y20" s="235">
        <v>12</v>
      </c>
      <c r="Z20" s="236">
        <f>IF(D20&gt;0,Population!C19,"")</f>
        <v>34700</v>
      </c>
      <c r="AA20" s="236">
        <f>IF(E20&gt;0,Population!D19,"")</f>
        <v>35900</v>
      </c>
      <c r="AB20" s="236">
        <f>IF(F20&gt;0,Population!E19,"")</f>
        <v>36400</v>
      </c>
      <c r="AC20" s="236">
        <f>IF(G20&gt;0,Population!F19,"")</f>
        <v>36641</v>
      </c>
      <c r="AD20" s="236">
        <f>IF(H20&gt;0,Population!G19,"")</f>
        <v>37093</v>
      </c>
      <c r="AE20" s="217"/>
      <c r="AF20" s="112" t="s">
        <v>3</v>
      </c>
      <c r="AG20" s="262">
        <f t="shared" si="5"/>
        <v>453.724422397757</v>
      </c>
      <c r="AH20" s="237">
        <f t="shared" si="6"/>
        <v>17</v>
      </c>
      <c r="AI20" s="232"/>
      <c r="AJ20" s="178"/>
    </row>
    <row r="21" spans="1:36" s="101" customFormat="1" ht="13.5" customHeight="1" x14ac:dyDescent="0.2">
      <c r="A21" s="533">
        <f>VLOOKUP(B21,Sheet1!$B$4:$C$25,2,FALSE)</f>
        <v>0</v>
      </c>
      <c r="B21" s="112" t="s">
        <v>14</v>
      </c>
      <c r="C21" s="97"/>
      <c r="D21" s="113">
        <f>IF(Year1_Slough Year1_CIN="","",Year1_Slough Year1_CIN)</f>
        <v>1549</v>
      </c>
      <c r="E21" s="113">
        <f>IF(Year2_Slough Year2_CIN="","",Year2_Slough Year2_CIN)</f>
        <v>1450</v>
      </c>
      <c r="F21" s="113">
        <f>IF(Year3_Slough Year3_CIN="","",Year3_Slough Year3_CIN)</f>
        <v>1601</v>
      </c>
      <c r="G21" s="113">
        <f>IF(Year4_Slough Year4_CIN="","",Year4_Slough Year4_CIN)</f>
        <v>1212</v>
      </c>
      <c r="H21" s="114">
        <f>IF(Year5_Slough Year5_CIN="","",Year5_Slough Year5_CIN)</f>
        <v>1223</v>
      </c>
      <c r="I21" s="392">
        <f t="shared" si="7"/>
        <v>-0.15655172413793103</v>
      </c>
      <c r="J21" s="115"/>
      <c r="K21" s="116">
        <f>IF(ISNUMBER(D21),D21/Population!C20*10000,NA())</f>
        <v>398.20051413881748</v>
      </c>
      <c r="L21" s="116">
        <f>IF(ISNUMBER(E21),E21/Population!D20*10000,NA())</f>
        <v>363.40852130325811</v>
      </c>
      <c r="M21" s="116">
        <f>IF(ISNUMBER(F21),F21/Population!E20*10000,NA())</f>
        <v>394.33497536945811</v>
      </c>
      <c r="N21" s="116">
        <f>IF(ISNUMBER(G21),G21/Population!F20*10000,NA())</f>
        <v>292.71120127517753</v>
      </c>
      <c r="O21" s="117">
        <f>IF(ISNUMBER(H21),H21/Population!G20*10000,NA())</f>
        <v>289.94784257942155</v>
      </c>
      <c r="P21" s="397">
        <f t="shared" si="2"/>
        <v>6</v>
      </c>
      <c r="Q21" s="70"/>
      <c r="R21" s="387">
        <f>IDACI!C21</f>
        <v>19.5</v>
      </c>
      <c r="S21" s="388">
        <f t="shared" si="3"/>
        <v>351.702834</v>
      </c>
      <c r="T21" s="389">
        <f t="shared" si="4"/>
        <v>-61.754991420578449</v>
      </c>
      <c r="U21" s="139"/>
      <c r="V21" s="154"/>
      <c r="W21" s="170"/>
      <c r="X21" s="72" t="str">
        <f t="shared" si="1"/>
        <v>Slough</v>
      </c>
      <c r="Y21" s="235">
        <v>13</v>
      </c>
      <c r="Z21" s="236">
        <f>IF(D21&gt;0,Population!C20,"")</f>
        <v>38900</v>
      </c>
      <c r="AA21" s="236">
        <f>IF(E21&gt;0,Population!D20,"")</f>
        <v>39900</v>
      </c>
      <c r="AB21" s="236">
        <f>IF(F21&gt;0,Population!E20,"")</f>
        <v>40600</v>
      </c>
      <c r="AC21" s="236">
        <f>IF(G21&gt;0,Population!F20,"")</f>
        <v>41406</v>
      </c>
      <c r="AD21" s="236">
        <f>IF(H21&gt;0,Population!G20,"")</f>
        <v>42180</v>
      </c>
      <c r="AE21" s="217"/>
      <c r="AF21" s="112" t="s">
        <v>14</v>
      </c>
      <c r="AG21" s="262">
        <f t="shared" si="5"/>
        <v>289.94784257942155</v>
      </c>
      <c r="AH21" s="237">
        <f t="shared" si="6"/>
        <v>6</v>
      </c>
      <c r="AI21" s="232"/>
      <c r="AJ21" s="178"/>
    </row>
    <row r="22" spans="1:36" s="101" customFormat="1" ht="13.5" customHeight="1" x14ac:dyDescent="0.2">
      <c r="A22" s="533">
        <f>VLOOKUP(B22,Sheet1!$B$4:$C$25,2,FALSE)</f>
        <v>0</v>
      </c>
      <c r="B22" s="112" t="s">
        <v>93</v>
      </c>
      <c r="C22" s="97"/>
      <c r="D22" s="113">
        <f>IF(Year1_Somerset Year1_CIN="","",Year1_Somerset Year1_CIN)</f>
        <v>4037</v>
      </c>
      <c r="E22" s="113">
        <f>IF(Year2_Somerset Year2_CIN="","",Year2_Somerset Year2_CIN)</f>
        <v>4264</v>
      </c>
      <c r="F22" s="113">
        <f>IF(Year3_Somerset Year3_CIN="","",Year3_Somerset Year3_CIN)</f>
        <v>2903</v>
      </c>
      <c r="G22" s="113">
        <f>IF(Year4_Somerset Year4_CIN="","",Year4_Somerset Year4_CIN)</f>
        <v>3109</v>
      </c>
      <c r="H22" s="114">
        <f>IF(Year5_Somerset Year5_CIN="","",Year5_Somerset Year5_CIN)</f>
        <v>3193</v>
      </c>
      <c r="I22" s="392">
        <f t="shared" si="7"/>
        <v>-0.25117260787992496</v>
      </c>
      <c r="J22" s="115"/>
      <c r="K22" s="116">
        <f>IF(ISNUMBER(D22),D22/Population!C21*10000,NA())</f>
        <v>371.04779411764702</v>
      </c>
      <c r="L22" s="116">
        <f>IF(ISNUMBER(E22),E22/Population!D21*10000,NA())</f>
        <v>391.55188246097339</v>
      </c>
      <c r="M22" s="116">
        <f>IF(ISNUMBER(F22),F22/Population!E21*10000,NA())</f>
        <v>265.84249084249086</v>
      </c>
      <c r="N22" s="116">
        <f>IF(ISNUMBER(G22),G22/Population!F21*10000,NA())</f>
        <v>283.52043189217289</v>
      </c>
      <c r="O22" s="117">
        <f>IF(ISNUMBER(H22),H22/Population!G21*10000,NA())</f>
        <v>290.05123360343009</v>
      </c>
      <c r="P22" s="422" t="str">
        <f t="shared" si="2"/>
        <v>--</v>
      </c>
      <c r="Q22" s="70"/>
      <c r="R22" s="387">
        <f>IDACI!C22</f>
        <v>14.8</v>
      </c>
      <c r="S22" s="388">
        <f t="shared" si="3"/>
        <v>306.93433759999999</v>
      </c>
      <c r="T22" s="389">
        <f t="shared" si="4"/>
        <v>-16.883103996569901</v>
      </c>
      <c r="U22" s="139"/>
      <c r="V22" s="154"/>
      <c r="W22" s="170"/>
      <c r="X22" s="72" t="str">
        <f t="shared" si="1"/>
        <v>Somerset</v>
      </c>
      <c r="Y22" s="235">
        <v>14</v>
      </c>
      <c r="Z22" s="236">
        <f>IF(D22&gt;0,Population!C21,"")</f>
        <v>108800</v>
      </c>
      <c r="AA22" s="236">
        <f>IF(E22&gt;0,Population!D21,"")</f>
        <v>108900</v>
      </c>
      <c r="AB22" s="236">
        <f>IF(F22&gt;0,Population!E21,"")</f>
        <v>109200</v>
      </c>
      <c r="AC22" s="236">
        <f>IF(G22&gt;0,Population!F21,"")</f>
        <v>109657</v>
      </c>
      <c r="AD22" s="236">
        <f>IF(H22&gt;0,Population!G21,"")</f>
        <v>110084</v>
      </c>
      <c r="AE22" s="217"/>
      <c r="AF22" s="112" t="s">
        <v>15</v>
      </c>
      <c r="AG22" s="262">
        <f t="shared" si="5"/>
        <v>475.89702812841665</v>
      </c>
      <c r="AH22" s="237">
        <f t="shared" si="6"/>
        <v>18</v>
      </c>
      <c r="AI22" s="232"/>
      <c r="AJ22" s="178"/>
    </row>
    <row r="23" spans="1:36" s="101" customFormat="1" ht="13.5" customHeight="1" x14ac:dyDescent="0.2">
      <c r="A23" s="533">
        <f>VLOOKUP(B23,Sheet1!$B$4:$C$25,2,FALSE)</f>
        <v>0</v>
      </c>
      <c r="B23" s="112" t="s">
        <v>15</v>
      </c>
      <c r="C23" s="97"/>
      <c r="D23" s="113">
        <f>IF(Year1_Southampton Year1_CIN="","",Year1_Southampton Year1_CIN)</f>
        <v>1952</v>
      </c>
      <c r="E23" s="113">
        <f>IF(Year2_Southampton Year2_CIN="","",Year2_Southampton Year2_CIN)</f>
        <v>1347</v>
      </c>
      <c r="F23" s="113">
        <f>IF(Year3_Southampton Year3_CIN="","",Year3_Southampton Year3_CIN)</f>
        <v>3444</v>
      </c>
      <c r="G23" s="113">
        <f>IF(Year4_Southampton Year4_CIN="","",Year4_Southampton Year4_CIN)</f>
        <v>2287</v>
      </c>
      <c r="H23" s="114">
        <f>IF(Year5_Southampton Year5_CIN="","",Year5_Southampton Year5_CIN)</f>
        <v>2394</v>
      </c>
      <c r="I23" s="392">
        <f t="shared" si="7"/>
        <v>0.77728285077950998</v>
      </c>
      <c r="J23" s="115"/>
      <c r="K23" s="116">
        <f>IF(ISNUMBER(D23),D23/Population!C22*10000,NA())</f>
        <v>411.81434599156114</v>
      </c>
      <c r="L23" s="116">
        <f>IF(ISNUMBER(E23),E23/Population!D22*10000,NA())</f>
        <v>277.16049382716051</v>
      </c>
      <c r="M23" s="116">
        <f>IF(ISNUMBER(F23),F23/Population!E22*10000,NA())</f>
        <v>700.00000000000011</v>
      </c>
      <c r="N23" s="116">
        <f>IF(ISNUMBER(G23),G23/Population!F22*10000,NA())</f>
        <v>458.30744874852206</v>
      </c>
      <c r="O23" s="117">
        <f>IF(ISNUMBER(H23),H23/Population!G22*10000,NA())</f>
        <v>475.89702812841665</v>
      </c>
      <c r="P23" s="397">
        <f t="shared" si="2"/>
        <v>18</v>
      </c>
      <c r="Q23" s="70"/>
      <c r="R23" s="387">
        <f>IDACI!C23</f>
        <v>25</v>
      </c>
      <c r="S23" s="388">
        <f t="shared" si="3"/>
        <v>404.0915</v>
      </c>
      <c r="T23" s="389">
        <f t="shared" si="4"/>
        <v>71.805528128416654</v>
      </c>
      <c r="U23" s="139"/>
      <c r="V23" s="154"/>
      <c r="W23" s="170"/>
      <c r="X23" s="72" t="str">
        <f t="shared" si="1"/>
        <v>Southampton</v>
      </c>
      <c r="Y23" s="235">
        <v>15</v>
      </c>
      <c r="Z23" s="236">
        <f>IF(D23&gt;0,Population!C22,"")</f>
        <v>47400</v>
      </c>
      <c r="AA23" s="236">
        <f>IF(E23&gt;0,Population!D22,"")</f>
        <v>48600</v>
      </c>
      <c r="AB23" s="236">
        <f>IF(F23&gt;0,Population!E22,"")</f>
        <v>49200</v>
      </c>
      <c r="AC23" s="236">
        <f>IF(G23&gt;0,Population!F22,"")</f>
        <v>49901</v>
      </c>
      <c r="AD23" s="236">
        <f>IF(H23&gt;0,Population!G22,"")</f>
        <v>50305</v>
      </c>
      <c r="AE23" s="217"/>
      <c r="AF23" s="112" t="s">
        <v>7</v>
      </c>
      <c r="AG23" s="262">
        <f t="shared" si="5"/>
        <v>269.64522387199634</v>
      </c>
      <c r="AH23" s="237">
        <f t="shared" si="6"/>
        <v>3</v>
      </c>
      <c r="AI23" s="232"/>
      <c r="AJ23" s="178"/>
    </row>
    <row r="24" spans="1:36" s="101" customFormat="1" ht="13.5" customHeight="1" x14ac:dyDescent="0.2">
      <c r="A24" s="533">
        <f>VLOOKUP(B24,Sheet1!$B$4:$C$25,2,FALSE)</f>
        <v>0</v>
      </c>
      <c r="B24" s="112" t="s">
        <v>7</v>
      </c>
      <c r="C24" s="97"/>
      <c r="D24" s="113">
        <f>IF(Year1_Surrey Year1_CIN="","",Year1_Surrey Year1_CIN)</f>
        <v>4583</v>
      </c>
      <c r="E24" s="113">
        <f>IF(Year2_Surrey Year2_CIN="","",Year2_Surrey Year2_CIN)</f>
        <v>5735</v>
      </c>
      <c r="F24" s="113">
        <f>IF(Year3_Surrey Year3_CIN="","",Year3_Surrey Year3_CIN)</f>
        <v>6227</v>
      </c>
      <c r="G24" s="113">
        <f>IF(Year4_Surrey Year4_CIN="","",Year4_Surrey Year4_CIN)</f>
        <v>6125</v>
      </c>
      <c r="H24" s="114">
        <f>IF(Year5_Surrey Year5_CIN="","",Year5_Surrey Year5_CIN)</f>
        <v>7019</v>
      </c>
      <c r="I24" s="392">
        <f t="shared" si="7"/>
        <v>0.22388840453356582</v>
      </c>
      <c r="J24" s="115"/>
      <c r="K24" s="116">
        <f>IF(ISNUMBER(D24),D24/Population!C23*10000,NA())</f>
        <v>181.8650793650794</v>
      </c>
      <c r="L24" s="116">
        <f>IF(ISNUMBER(E24),E24/Population!D23*10000,NA())</f>
        <v>225.25530243519245</v>
      </c>
      <c r="M24" s="116">
        <f>IF(ISNUMBER(F24),F24/Population!E23*10000,NA())</f>
        <v>242.86271450858032</v>
      </c>
      <c r="N24" s="116">
        <f>IF(ISNUMBER(G24),G24/Population!F23*10000,NA())</f>
        <v>236.48739956524926</v>
      </c>
      <c r="O24" s="117">
        <f>IF(ISNUMBER(H24),H24/Population!G23*10000,NA())</f>
        <v>269.64522387199634</v>
      </c>
      <c r="P24" s="397">
        <f t="shared" si="2"/>
        <v>3</v>
      </c>
      <c r="Q24" s="70"/>
      <c r="R24" s="387">
        <f>IDACI!C24</f>
        <v>9.7000000000000011</v>
      </c>
      <c r="S24" s="388">
        <f t="shared" si="3"/>
        <v>258.35575640000002</v>
      </c>
      <c r="T24" s="389">
        <f t="shared" si="4"/>
        <v>11.289467471996318</v>
      </c>
      <c r="U24" s="139"/>
      <c r="V24" s="154"/>
      <c r="W24" s="170"/>
      <c r="X24" s="72" t="str">
        <f t="shared" si="1"/>
        <v>Surrey</v>
      </c>
      <c r="Y24" s="235">
        <v>16</v>
      </c>
      <c r="Z24" s="236">
        <f>IF(D24&gt;0,Population!C23,"")</f>
        <v>252000</v>
      </c>
      <c r="AA24" s="236">
        <f>IF(E24&gt;0,Population!D23,"")</f>
        <v>254600</v>
      </c>
      <c r="AB24" s="236">
        <f>IF(F24&gt;0,Population!E23,"")</f>
        <v>256400</v>
      </c>
      <c r="AC24" s="236">
        <f>IF(G24&gt;0,Population!F23,"")</f>
        <v>258999</v>
      </c>
      <c r="AD24" s="236">
        <f>IF(H24&gt;0,Population!G23,"")</f>
        <v>260305</v>
      </c>
      <c r="AE24" s="217"/>
      <c r="AF24" s="112" t="s">
        <v>16</v>
      </c>
      <c r="AG24" s="262">
        <f t="shared" si="5"/>
        <v>285.27521654093323</v>
      </c>
      <c r="AH24" s="237">
        <f t="shared" si="6"/>
        <v>5</v>
      </c>
      <c r="AI24" s="232"/>
      <c r="AJ24" s="178"/>
    </row>
    <row r="25" spans="1:36" s="101" customFormat="1" ht="13.5" customHeight="1" x14ac:dyDescent="0.2">
      <c r="A25" s="533">
        <f>VLOOKUP(B25,Sheet1!$B$4:$C$25,2,FALSE)</f>
        <v>0</v>
      </c>
      <c r="B25" s="112" t="s">
        <v>116</v>
      </c>
      <c r="C25" s="97"/>
      <c r="D25" s="113">
        <f>IF(Year1_Swindon Year1_CIN="","",Year1_Swindon Year1_CIN)</f>
        <v>1618</v>
      </c>
      <c r="E25" s="113">
        <f>IF(Year2_Swindon Year2_CIN="","",Year2_Swindon Year2_CIN)</f>
        <v>1879</v>
      </c>
      <c r="F25" s="113">
        <f>IF(Year3_Swindon Year3_CIN="","",Year3_Swindon Year3_CIN)</f>
        <v>1968</v>
      </c>
      <c r="G25" s="113">
        <f>IF(Year4_Swindon Year4_CIN="","",Year4_Swindon Year4_CIN)</f>
        <v>1919</v>
      </c>
      <c r="H25" s="114">
        <f>IF(Year5_Swindon Year5_CIN="","",Year5_Swindon Year5_CIN)</f>
        <v>2713</v>
      </c>
      <c r="I25" s="392">
        <f t="shared" si="7"/>
        <v>0.44385311335816924</v>
      </c>
      <c r="J25" s="115"/>
      <c r="K25" s="116">
        <f>IF(ISNUMBER(D25),D25/Population!C24*10000,NA())</f>
        <v>337.78705636743211</v>
      </c>
      <c r="L25" s="116">
        <f>IF(ISNUMBER(E25),E25/Population!D24*10000,NA())</f>
        <v>386.62551440329219</v>
      </c>
      <c r="M25" s="116">
        <f>IF(ISNUMBER(F25),F25/Population!E24*10000,NA())</f>
        <v>401.63265306122452</v>
      </c>
      <c r="N25" s="116">
        <f>IF(ISNUMBER(G25),G25/Population!F24*10000,NA())</f>
        <v>387.97460676883264</v>
      </c>
      <c r="O25" s="117">
        <f>IF(ISNUMBER(H25),H25/Population!G24*10000,NA())</f>
        <v>543.42600753144779</v>
      </c>
      <c r="P25" s="422" t="str">
        <f t="shared" si="2"/>
        <v>--</v>
      </c>
      <c r="Q25" s="70"/>
      <c r="R25" s="387">
        <f>IDACI!C25</f>
        <v>17.2</v>
      </c>
      <c r="S25" s="388">
        <f t="shared" si="3"/>
        <v>329.79484639999998</v>
      </c>
      <c r="T25" s="389">
        <f t="shared" si="4"/>
        <v>213.63116113144781</v>
      </c>
      <c r="U25" s="139"/>
      <c r="V25" s="154"/>
      <c r="W25" s="170"/>
      <c r="X25" s="72" t="str">
        <f t="shared" si="1"/>
        <v>Swindon</v>
      </c>
      <c r="Y25" s="235">
        <v>17</v>
      </c>
      <c r="Z25" s="236">
        <f>IF(D25&gt;0,Population!C24,"")</f>
        <v>47900</v>
      </c>
      <c r="AA25" s="236">
        <f>IF(E25&gt;0,Population!D24,"")</f>
        <v>48600</v>
      </c>
      <c r="AB25" s="236">
        <f>IF(F25&gt;0,Population!E24,"")</f>
        <v>49000</v>
      </c>
      <c r="AC25" s="236">
        <f>IF(G25&gt;0,Population!F24,"")</f>
        <v>49462</v>
      </c>
      <c r="AD25" s="236">
        <f>IF(H25&gt;0,Population!G24,"")</f>
        <v>49924</v>
      </c>
      <c r="AE25" s="217"/>
      <c r="AF25" s="112" t="s">
        <v>5</v>
      </c>
      <c r="AG25" s="262">
        <f t="shared" si="5"/>
        <v>417.41448860521348</v>
      </c>
      <c r="AH25" s="237">
        <f t="shared" si="6"/>
        <v>15</v>
      </c>
      <c r="AI25" s="232"/>
      <c r="AJ25" s="178"/>
    </row>
    <row r="26" spans="1:36" s="101" customFormat="1" ht="13.5" customHeight="1" x14ac:dyDescent="0.2">
      <c r="A26" s="533">
        <f>VLOOKUP(B26,Sheet1!$B$4:$C$25,2,FALSE)</f>
        <v>0</v>
      </c>
      <c r="B26" s="112" t="s">
        <v>117</v>
      </c>
      <c r="C26" s="97"/>
      <c r="D26" s="113">
        <f>IF(Year1_Torbay Year1_CIN="","",Year1_Torbay Year1_CIN)</f>
        <v>1843</v>
      </c>
      <c r="E26" s="113">
        <f>IF(Year2_Torbay Year2_CIN="","",Year2_Torbay Year2_CIN)</f>
        <v>1555</v>
      </c>
      <c r="F26" s="113">
        <f>IF(Year3_Torbay Year3_CIN="","",Year3_Torbay Year3_CIN)</f>
        <v>1180</v>
      </c>
      <c r="G26" s="113">
        <f>IF(Year4_Torbay Year4_CIN="","",Year4_Torbay Year4_CIN)</f>
        <v>1196</v>
      </c>
      <c r="H26" s="114">
        <f>IF(Year5_Torbay Year5_CIN="","",Year5_Torbay Year5_CIN)</f>
        <v>1159</v>
      </c>
      <c r="I26" s="392">
        <f t="shared" si="7"/>
        <v>-0.25466237942122188</v>
      </c>
      <c r="J26" s="115"/>
      <c r="K26" s="116">
        <f>IF(ISNUMBER(D26),D26/Population!C25*10000,NA())</f>
        <v>743.14516129032256</v>
      </c>
      <c r="L26" s="116">
        <f>IF(ISNUMBER(E26),E26/Population!D25*10000,NA())</f>
        <v>619.52191235059763</v>
      </c>
      <c r="M26" s="116">
        <f>IF(ISNUMBER(F26),F26/Population!E25*10000,NA())</f>
        <v>468.25396825396825</v>
      </c>
      <c r="N26" s="116">
        <f>IF(ISNUMBER(G26),G26/Population!F25*10000,NA())</f>
        <v>471.3672013557719</v>
      </c>
      <c r="O26" s="117">
        <f>IF(ISNUMBER(H26),H26/Population!G25*10000,NA())</f>
        <v>455.9940197505606</v>
      </c>
      <c r="P26" s="422" t="str">
        <f t="shared" si="2"/>
        <v>--</v>
      </c>
      <c r="Q26" s="70"/>
      <c r="R26" s="387">
        <f>IDACI!C26</f>
        <v>24.1</v>
      </c>
      <c r="S26" s="388">
        <f t="shared" si="3"/>
        <v>395.51880919999996</v>
      </c>
      <c r="T26" s="389">
        <f t="shared" si="4"/>
        <v>60.475210550560632</v>
      </c>
      <c r="U26" s="139"/>
      <c r="V26" s="154"/>
      <c r="W26" s="170"/>
      <c r="X26" s="72" t="str">
        <f t="shared" si="1"/>
        <v>Torbay</v>
      </c>
      <c r="Y26" s="235">
        <v>18</v>
      </c>
      <c r="Z26" s="236">
        <f>IF(D26&gt;0,Population!C25,"")</f>
        <v>24800</v>
      </c>
      <c r="AA26" s="236">
        <f>IF(E26&gt;0,Population!D25,"")</f>
        <v>25100</v>
      </c>
      <c r="AB26" s="236">
        <f>IF(F26&gt;0,Population!E25,"")</f>
        <v>25200</v>
      </c>
      <c r="AC26" s="236">
        <f>IF(G26&gt;0,Population!F25,"")</f>
        <v>25373</v>
      </c>
      <c r="AD26" s="236">
        <f>IF(H26&gt;0,Population!G25,"")</f>
        <v>25417</v>
      </c>
      <c r="AE26" s="217"/>
      <c r="AF26" s="112" t="s">
        <v>31</v>
      </c>
      <c r="AG26" s="262">
        <f t="shared" si="5"/>
        <v>223.27666511411272</v>
      </c>
      <c r="AH26" s="237">
        <f t="shared" si="6"/>
        <v>1</v>
      </c>
      <c r="AI26" s="232"/>
      <c r="AJ26" s="178"/>
    </row>
    <row r="27" spans="1:36" s="101" customFormat="1" ht="13.5" customHeight="1" x14ac:dyDescent="0.2">
      <c r="A27" s="533">
        <f>VLOOKUP(B27,Sheet1!$B$4:$C$25,2,FALSE)</f>
        <v>0</v>
      </c>
      <c r="B27" s="112" t="s">
        <v>16</v>
      </c>
      <c r="C27" s="97"/>
      <c r="D27" s="113">
        <f>IF(Year1_West_Berkshire Year1_CIN="","",Year1_West_Berkshire Year1_CIN)</f>
        <v>838</v>
      </c>
      <c r="E27" s="118">
        <f>IF(Year2_West_Berkshire Year2_CIN="","",Year2_West_Berkshire Year2_CIN)</f>
        <v>955</v>
      </c>
      <c r="F27" s="113">
        <f>IF(Year3_West_Berkshire Year3_CIN="","",Year3_West_Berkshire Year3_CIN)</f>
        <v>1054</v>
      </c>
      <c r="G27" s="113">
        <f>IF(Year4_West_Berkshire Year4_CIN="","",Year4_West_Berkshire Year4_CIN)</f>
        <v>984</v>
      </c>
      <c r="H27" s="114">
        <f>IF(Year5_West_Berkshire Year5_CIN="","",Year5_West_Berkshire Year5_CIN)</f>
        <v>1021</v>
      </c>
      <c r="I27" s="392">
        <f t="shared" si="7"/>
        <v>6.9109947643979056E-2</v>
      </c>
      <c r="J27" s="115"/>
      <c r="K27" s="116">
        <f>IF(ISNUMBER(D27),D27/Population!C26*10000,NA())</f>
        <v>234.73389355742299</v>
      </c>
      <c r="L27" s="116">
        <f>IF(ISNUMBER(E27),E27/Population!D26*10000,NA())</f>
        <v>268.25842696629218</v>
      </c>
      <c r="M27" s="116">
        <f>IF(ISNUMBER(F27),F27/Population!E26*10000,NA())</f>
        <v>295.23809523809524</v>
      </c>
      <c r="N27" s="116">
        <f>IF(ISNUMBER(G27),G27/Population!F26*10000,NA())</f>
        <v>273.85822827085246</v>
      </c>
      <c r="O27" s="117">
        <f>IF(ISNUMBER(H27),H27/Population!G26*10000,NA())</f>
        <v>285.27521654093323</v>
      </c>
      <c r="P27" s="397">
        <f t="shared" si="2"/>
        <v>5</v>
      </c>
      <c r="Q27" s="70"/>
      <c r="R27" s="387">
        <f>IDACI!C27</f>
        <v>10.4</v>
      </c>
      <c r="S27" s="388">
        <f t="shared" si="3"/>
        <v>265.02340479999998</v>
      </c>
      <c r="T27" s="389">
        <f t="shared" si="4"/>
        <v>20.251811740933249</v>
      </c>
      <c r="U27" s="139"/>
      <c r="V27" s="154"/>
      <c r="W27" s="170"/>
      <c r="X27" s="72" t="str">
        <f t="shared" si="1"/>
        <v>West Berkshire</v>
      </c>
      <c r="Y27" s="235">
        <v>19</v>
      </c>
      <c r="Z27" s="236">
        <f>IF(D27&gt;0,Population!C26,"")</f>
        <v>35700</v>
      </c>
      <c r="AA27" s="236">
        <f>IF(E27&gt;0,Population!D26,"")</f>
        <v>35600</v>
      </c>
      <c r="AB27" s="236">
        <f>IF(F27&gt;0,Population!E26,"")</f>
        <v>35700</v>
      </c>
      <c r="AC27" s="236">
        <f>IF(G27&gt;0,Population!F26,"")</f>
        <v>35931</v>
      </c>
      <c r="AD27" s="236">
        <f>IF(H27&gt;0,Population!G26,"")</f>
        <v>35790</v>
      </c>
      <c r="AE27" s="232"/>
      <c r="AF27" s="112" t="s">
        <v>17</v>
      </c>
      <c r="AG27" s="262">
        <f t="shared" si="5"/>
        <v>250.37465764043202</v>
      </c>
      <c r="AH27" s="237">
        <f t="shared" si="6"/>
        <v>2</v>
      </c>
      <c r="AI27" s="232"/>
      <c r="AJ27" s="178"/>
    </row>
    <row r="28" spans="1:36" s="101" customFormat="1" ht="13.5" customHeight="1" x14ac:dyDescent="0.2">
      <c r="A28" s="533">
        <f>VLOOKUP(B28,Sheet1!$B$4:$C$25,2,FALSE)</f>
        <v>0</v>
      </c>
      <c r="B28" s="112" t="s">
        <v>5</v>
      </c>
      <c r="C28" s="97"/>
      <c r="D28" s="113">
        <f>IF(Year1_West_Sussex Year1_CIN="","",Year1_West_Sussex Year1_CIN)</f>
        <v>4979</v>
      </c>
      <c r="E28" s="118">
        <f>IF(Year2_West_Sussex Year2_CIN="","",Year2_West_Sussex Year2_CIN)</f>
        <v>4766</v>
      </c>
      <c r="F28" s="113">
        <f>IF(Year3_West_Sussex Year3_CIN="","",Year3_West_Sussex Year3_CIN)</f>
        <v>3877</v>
      </c>
      <c r="G28" s="113">
        <f>IF(Year4_West_Sussex Year4_CIN="","",Year4_West_Sussex Year4_CIN)</f>
        <v>4802</v>
      </c>
      <c r="H28" s="114">
        <f>IF(Year5_West_Sussex Year5_CIN="","",Year5_West_Sussex Year5_CIN)</f>
        <v>7233</v>
      </c>
      <c r="I28" s="392">
        <f t="shared" si="7"/>
        <v>0.51762484263533359</v>
      </c>
      <c r="J28" s="115"/>
      <c r="K28" s="116">
        <f>IF(ISNUMBER(D28),D28/Population!C27*10000,NA())</f>
        <v>298.14371257485027</v>
      </c>
      <c r="L28" s="116">
        <f>IF(ISNUMBER(E28),E28/Population!D27*10000,NA())</f>
        <v>282.34597156398104</v>
      </c>
      <c r="M28" s="116">
        <f>IF(ISNUMBER(F28),F28/Population!E27*10000,NA())</f>
        <v>227.52347417840377</v>
      </c>
      <c r="N28" s="116">
        <f>IF(ISNUMBER(G28),G28/Population!F27*10000,NA())</f>
        <v>279.57452506680795</v>
      </c>
      <c r="O28" s="117">
        <f>IF(ISNUMBER(H28),H28/Population!G27*10000,NA())</f>
        <v>417.41448860521348</v>
      </c>
      <c r="P28" s="397">
        <f t="shared" si="2"/>
        <v>15</v>
      </c>
      <c r="Q28" s="70"/>
      <c r="R28" s="387">
        <f>IDACI!C28</f>
        <v>12.9</v>
      </c>
      <c r="S28" s="388">
        <f t="shared" si="3"/>
        <v>288.83643480000001</v>
      </c>
      <c r="T28" s="389">
        <f t="shared" si="4"/>
        <v>128.57805380521347</v>
      </c>
      <c r="U28" s="139"/>
      <c r="V28" s="154"/>
      <c r="W28" s="170"/>
      <c r="X28" s="72" t="str">
        <f t="shared" si="1"/>
        <v>West Sussex</v>
      </c>
      <c r="Y28" s="235">
        <v>20</v>
      </c>
      <c r="Z28" s="236">
        <f>IF(D28&gt;0,Population!C27,"")</f>
        <v>167000</v>
      </c>
      <c r="AA28" s="236">
        <f>IF(E28&gt;0,Population!D27,"")</f>
        <v>168800</v>
      </c>
      <c r="AB28" s="236">
        <f>IF(F28&gt;0,Population!E27,"")</f>
        <v>170400</v>
      </c>
      <c r="AC28" s="236">
        <f>IF(G28&gt;0,Population!F27,"")</f>
        <v>171761</v>
      </c>
      <c r="AD28" s="236">
        <f>IF(H28&gt;0,Population!G27,"")</f>
        <v>173281</v>
      </c>
      <c r="AE28" s="232"/>
      <c r="AF28" s="232"/>
      <c r="AG28" s="232"/>
      <c r="AH28" s="217"/>
      <c r="AI28" s="232"/>
      <c r="AJ28" s="178"/>
    </row>
    <row r="29" spans="1:36" s="101" customFormat="1" ht="13.5" customHeight="1" x14ac:dyDescent="0.2">
      <c r="A29" s="533">
        <f>VLOOKUP(B29,Sheet1!$B$4:$C$25,2,FALSE)</f>
        <v>0</v>
      </c>
      <c r="B29" s="112" t="s">
        <v>31</v>
      </c>
      <c r="C29" s="97"/>
      <c r="D29" s="118">
        <f>IF(Year1_Windsor_Maidenhead Year1_CIN="","",Year1_Windsor_Maidenhead Year1_CIN)</f>
        <v>951</v>
      </c>
      <c r="E29" s="113">
        <f>IF(Year2_Windsor_Maidenhead Year2_CIN="","",Year2_Windsor_Maidenhead Year2_CIN)</f>
        <v>841</v>
      </c>
      <c r="F29" s="113">
        <f>IF(Year3_Windsor_Maidenhead Year3_CIN="","",Year3_Windsor_Maidenhead Year3_CIN)</f>
        <v>1013</v>
      </c>
      <c r="G29" s="113">
        <f>IF(Year4_Windsor_Maidenhead Year4_CIN="","",Year4_Windsor_Maidenhead Year4_CIN)</f>
        <v>959</v>
      </c>
      <c r="H29" s="114">
        <f>IF(Year5_Windsor_Maidenhead Year5_CIN="","",Year5_Windsor_Maidenhead Year5_CIN)</f>
        <v>767</v>
      </c>
      <c r="I29" s="392">
        <f t="shared" si="7"/>
        <v>-8.7990487514863255E-2</v>
      </c>
      <c r="J29" s="115"/>
      <c r="K29" s="116">
        <f>IF(ISNUMBER(D29),D29/Population!C28*10000,NA())</f>
        <v>285.58558558558559</v>
      </c>
      <c r="L29" s="116">
        <f>IF(ISNUMBER(E29),E29/Population!D28*10000,NA())</f>
        <v>251.79640718562877</v>
      </c>
      <c r="M29" s="116">
        <f>IF(ISNUMBER(F29),F29/Population!E28*10000,NA())</f>
        <v>300.593471810089</v>
      </c>
      <c r="N29" s="116">
        <f>IF(ISNUMBER(G29),G29/Population!F28*10000,NA())</f>
        <v>280.6062734082397</v>
      </c>
      <c r="O29" s="117">
        <f>IF(ISNUMBER(H29),H29/Population!G28*10000,NA())</f>
        <v>223.27666511411272</v>
      </c>
      <c r="P29" s="397">
        <f t="shared" si="2"/>
        <v>1</v>
      </c>
      <c r="Q29" s="70"/>
      <c r="R29" s="387">
        <f>IDACI!C29</f>
        <v>8.4</v>
      </c>
      <c r="S29" s="388">
        <f t="shared" si="3"/>
        <v>245.97298079999999</v>
      </c>
      <c r="T29" s="389">
        <f t="shared" si="4"/>
        <v>-22.696315685887271</v>
      </c>
      <c r="U29" s="139"/>
      <c r="V29" s="154"/>
      <c r="W29" s="170"/>
      <c r="X29" s="72" t="str">
        <f t="shared" si="1"/>
        <v>Windsor &amp; Maidenhead</v>
      </c>
      <c r="Y29" s="235">
        <v>21</v>
      </c>
      <c r="Z29" s="236">
        <f>IF(D29&gt;0,Population!C28,"")</f>
        <v>33300</v>
      </c>
      <c r="AA29" s="236">
        <f>IF(E29&gt;0,Population!D28,"")</f>
        <v>33400</v>
      </c>
      <c r="AB29" s="236">
        <f>IF(F29&gt;0,Population!E28,"")</f>
        <v>33700</v>
      </c>
      <c r="AC29" s="236">
        <f>IF(G29&gt;0,Population!F28,"")</f>
        <v>34176</v>
      </c>
      <c r="AD29" s="236">
        <f>IF(H29&gt;0,Population!G28,"")</f>
        <v>34352</v>
      </c>
      <c r="AE29" s="232"/>
      <c r="AF29" s="232"/>
      <c r="AG29" s="232"/>
      <c r="AH29" s="217"/>
      <c r="AI29" s="232"/>
      <c r="AJ29" s="178"/>
    </row>
    <row r="30" spans="1:36" s="101" customFormat="1" ht="13.5" customHeight="1" x14ac:dyDescent="0.2">
      <c r="A30" s="533">
        <f>VLOOKUP(B30,Sheet1!$B$4:$C$25,2,FALSE)</f>
        <v>0</v>
      </c>
      <c r="B30" s="112" t="s">
        <v>17</v>
      </c>
      <c r="C30" s="97"/>
      <c r="D30" s="118">
        <f>IF(Year1_Wokingham Year1_CIN="","",Year1_Wokingham Year1_CIN)</f>
        <v>541</v>
      </c>
      <c r="E30" s="113">
        <f>IF(Year2_Wokingham Year2_CIN="","",Year2_Wokingham Year2_CIN)</f>
        <v>523</v>
      </c>
      <c r="F30" s="113">
        <f>IF(Year3_Wokingham Year3_CIN="","",Year3_Wokingham Year3_CIN)</f>
        <v>563</v>
      </c>
      <c r="G30" s="113">
        <f>IF(Year4_Wokingham Year4_CIN="","",Year4_Wokingham Year4_CIN)</f>
        <v>667</v>
      </c>
      <c r="H30" s="114">
        <f>IF(Year5_Wokingham Year5_CIN="","",Year5_Wokingham Year5_CIN)</f>
        <v>969</v>
      </c>
      <c r="I30" s="392">
        <f t="shared" si="7"/>
        <v>0.85277246653919692</v>
      </c>
      <c r="J30" s="115"/>
      <c r="K30" s="116">
        <f>IF(ISNUMBER(D30),D30/Population!C29*10000,NA())</f>
        <v>149.44751381215471</v>
      </c>
      <c r="L30" s="116">
        <f>IF(ISNUMBER(E30),E30/Population!D29*10000,NA())</f>
        <v>141.73441734417344</v>
      </c>
      <c r="M30" s="116">
        <f>IF(ISNUMBER(F30),F30/Population!E29*10000,NA())</f>
        <v>150.93833780160858</v>
      </c>
      <c r="N30" s="116">
        <f>IF(ISNUMBER(G30),G30/Population!F29*10000,NA())</f>
        <v>175.43859649122805</v>
      </c>
      <c r="O30" s="117">
        <f>IF(ISNUMBER(H30),H30/Population!G29*10000,NA())</f>
        <v>250.37465764043202</v>
      </c>
      <c r="P30" s="397">
        <f t="shared" si="2"/>
        <v>2</v>
      </c>
      <c r="Q30" s="70"/>
      <c r="R30" s="387">
        <f>IDACI!C30</f>
        <v>6.8000000000000007</v>
      </c>
      <c r="S30" s="388">
        <f t="shared" si="3"/>
        <v>230.73264159999999</v>
      </c>
      <c r="T30" s="389">
        <f t="shared" si="4"/>
        <v>19.642016040432026</v>
      </c>
      <c r="U30" s="139"/>
      <c r="V30" s="154"/>
      <c r="W30" s="170"/>
      <c r="X30" s="72" t="str">
        <f t="shared" si="1"/>
        <v>Wokingham</v>
      </c>
      <c r="Y30" s="235">
        <v>22</v>
      </c>
      <c r="Z30" s="236">
        <f>IF(D30&gt;0,Population!C29,"")</f>
        <v>36200</v>
      </c>
      <c r="AA30" s="236">
        <f>IF(E30&gt;0,Population!D29,"")</f>
        <v>36900</v>
      </c>
      <c r="AB30" s="236">
        <f>IF(F30&gt;0,Population!E29,"")</f>
        <v>37300</v>
      </c>
      <c r="AC30" s="236">
        <f>IF(G30&gt;0,Population!F29,"")</f>
        <v>38019</v>
      </c>
      <c r="AD30" s="236">
        <f>IF(H30&gt;0,Population!G29,"")</f>
        <v>38702</v>
      </c>
      <c r="AE30" s="232"/>
      <c r="AF30" s="232"/>
      <c r="AG30" s="232"/>
      <c r="AH30" s="217"/>
      <c r="AI30" s="232"/>
      <c r="AJ30" s="178"/>
    </row>
    <row r="31" spans="1:36" s="101" customFormat="1" ht="13.5" customHeight="1" x14ac:dyDescent="0.2">
      <c r="A31" s="138"/>
      <c r="B31" s="146" t="s">
        <v>74</v>
      </c>
      <c r="C31" s="97"/>
      <c r="D31" s="147">
        <f>IF(Year1_SouthEast Year1_CIN="","",Year1_SouthEast Year1_CIN)</f>
        <v>54317</v>
      </c>
      <c r="E31" s="147">
        <f>IF(Year2_SouthEast Year2_CIN="","",Year2_SouthEast Year2_CIN)</f>
        <v>53900</v>
      </c>
      <c r="F31" s="147">
        <f>IF(Year3_SouthEast Year3_CIN="","",Year3_SouthEast Year3_CIN)</f>
        <v>58110</v>
      </c>
      <c r="G31" s="147">
        <f>IF(Year4_SouthEast Year4_CIN="","",Year4_SouthEast Year4_CIN)</f>
        <v>58470</v>
      </c>
      <c r="H31" s="148">
        <f>IF(Year5_SouthEast Year5_CIN="","",Year5_SouthEast Year5_CIN)</f>
        <v>61720</v>
      </c>
      <c r="I31" s="407">
        <f t="shared" si="7"/>
        <v>0.14508348794063081</v>
      </c>
      <c r="J31" s="115"/>
      <c r="K31" s="149">
        <f>IF(ISNUMBER(D31),D31/Z31*10000,NA())</f>
        <v>287.87894848420603</v>
      </c>
      <c r="L31" s="149">
        <f>IF(ISNUMBER(E31),E31/AA31*10000,NA())</f>
        <v>283.05850225816619</v>
      </c>
      <c r="M31" s="149">
        <f t="shared" ref="M31:O31" si="8">IF(ISNUMBER(F31),F31/AB31*10000,NA())</f>
        <v>302.95605025806788</v>
      </c>
      <c r="N31" s="149">
        <f t="shared" si="8"/>
        <v>302.45298839795095</v>
      </c>
      <c r="O31" s="150">
        <f t="shared" si="8"/>
        <v>317.51176136202872</v>
      </c>
      <c r="P31" s="383" t="str">
        <f t="shared" si="2"/>
        <v>--</v>
      </c>
      <c r="Q31" s="70"/>
      <c r="R31" s="385">
        <f>IDACI!C31</f>
        <v>14.45223640702325</v>
      </c>
      <c r="S31" s="149">
        <f t="shared" si="3"/>
        <v>303.62181565101474</v>
      </c>
      <c r="T31" s="390">
        <f t="shared" si="4"/>
        <v>13.889945711013979</v>
      </c>
      <c r="U31" s="139"/>
      <c r="V31" s="154"/>
      <c r="W31" s="170"/>
      <c r="X31" s="72" t="str">
        <f t="shared" si="1"/>
        <v>South East</v>
      </c>
      <c r="Y31" s="235">
        <v>23</v>
      </c>
      <c r="Z31" s="236">
        <f>IF(D31&gt;0,Population!C30,"")</f>
        <v>1886800</v>
      </c>
      <c r="AA31" s="236">
        <f>IF(E31&gt;0,Population!D30,"")</f>
        <v>1904200</v>
      </c>
      <c r="AB31" s="236">
        <f>IF(F31&gt;0,Population!E30,"")</f>
        <v>1918100</v>
      </c>
      <c r="AC31" s="236">
        <f>IF(G31&gt;0,Population!F30,"")</f>
        <v>1933193</v>
      </c>
      <c r="AD31" s="236">
        <f>SUM(AD9:AD21,AD23:AD24,AD27:AD30)</f>
        <v>1943865</v>
      </c>
      <c r="AE31" s="232"/>
      <c r="AF31" s="232"/>
      <c r="AG31" s="232"/>
      <c r="AH31" s="217"/>
      <c r="AI31" s="232"/>
      <c r="AJ31" s="178"/>
    </row>
    <row r="32" spans="1:36" s="101" customFormat="1" ht="13.5" customHeight="1" x14ac:dyDescent="0.2">
      <c r="A32" s="324"/>
      <c r="B32" s="370" t="s">
        <v>130</v>
      </c>
      <c r="C32" s="97"/>
      <c r="D32" s="371">
        <f>IF(Year1_England Year1_CIN="","",Year1_England Year1_CIN)</f>
        <v>397600</v>
      </c>
      <c r="E32" s="371">
        <f>IF(Year2_England Year2_CIN="","",Year2_England Year2_CIN)</f>
        <v>391000</v>
      </c>
      <c r="F32" s="371">
        <f>IF(Year3_England Year3_CIN="","",Year3_England Year3_CIN)</f>
        <v>394400</v>
      </c>
      <c r="G32" s="371">
        <f>IF(Year4_England Year4_CIN="","",Year4_England Year4_CIN)</f>
        <v>389430</v>
      </c>
      <c r="H32" s="372">
        <f>IF(Year5_England Year5_CIN="","",Year5_England Year5_CIN)</f>
        <v>404710</v>
      </c>
      <c r="I32" s="408">
        <f t="shared" si="7"/>
        <v>3.506393861892583E-2</v>
      </c>
      <c r="J32" s="115"/>
      <c r="K32" s="373">
        <f>IF(ISNUMBER(D32),D32/Population!C31*10000,NA())</f>
        <v>346.37465262350923</v>
      </c>
      <c r="L32" s="373">
        <f>IF(ISNUMBER(E32),E32/Population!D31*10000,NA())</f>
        <v>337.31031686465315</v>
      </c>
      <c r="M32" s="373">
        <f>IF(ISNUMBER(F32),F32/Population!E31*10000,NA())</f>
        <v>337.73195523167698</v>
      </c>
      <c r="N32" s="373">
        <f>IF(ISNUMBER(G32),G32/Population!F31*10000,NA())</f>
        <v>330.4377147859995</v>
      </c>
      <c r="O32" s="374">
        <f>IF(ISNUMBER(H32),H32/Population!G31*10000,NA())</f>
        <v>341.03940883918267</v>
      </c>
      <c r="P32" s="384" t="str">
        <f t="shared" si="2"/>
        <v>--</v>
      </c>
      <c r="Q32" s="70"/>
      <c r="R32" s="386">
        <f>IDACI!C32</f>
        <v>19.902611588091716</v>
      </c>
      <c r="S32" s="373">
        <f t="shared" si="3"/>
        <v>355.53779473023025</v>
      </c>
      <c r="T32" s="391">
        <f t="shared" si="4"/>
        <v>-14.498385891047576</v>
      </c>
      <c r="U32" s="139"/>
      <c r="V32" s="154"/>
      <c r="W32" s="170"/>
      <c r="X32" s="72" t="str">
        <f t="shared" si="1"/>
        <v>England</v>
      </c>
      <c r="Y32" s="235">
        <v>24</v>
      </c>
      <c r="Z32" s="236">
        <f>IF(D32&gt;0,Population!C31,"")</f>
        <v>11478900</v>
      </c>
      <c r="AA32" s="236">
        <f>IF(E32&gt;0,Population!D31,"")</f>
        <v>11591700</v>
      </c>
      <c r="AB32" s="236">
        <f>IF(F32&gt;0,Population!E31,"")</f>
        <v>11677900</v>
      </c>
      <c r="AC32" s="236">
        <f>IF(G32&gt;0,Population!F31,"")</f>
        <v>11785277</v>
      </c>
      <c r="AD32" s="236">
        <f>IF(H32&gt;0,Population!G31,"")</f>
        <v>11866957</v>
      </c>
      <c r="AE32" s="232"/>
      <c r="AF32" s="232"/>
      <c r="AG32" s="232"/>
      <c r="AH32" s="217"/>
      <c r="AI32" s="232"/>
      <c r="AJ32" s="178"/>
    </row>
    <row r="33" spans="1:49" s="88" customFormat="1" ht="13.5" customHeight="1" x14ac:dyDescent="0.2">
      <c r="A33" s="135"/>
      <c r="B33" s="140" t="s">
        <v>90</v>
      </c>
      <c r="C33" s="64"/>
      <c r="D33" s="64"/>
      <c r="E33" s="64"/>
      <c r="F33" s="64"/>
      <c r="G33" s="64"/>
      <c r="H33" s="64"/>
      <c r="I33" s="64"/>
      <c r="J33" s="64"/>
      <c r="K33" s="64"/>
      <c r="L33" s="64"/>
      <c r="M33" s="64"/>
      <c r="N33" s="64"/>
      <c r="O33" s="64"/>
      <c r="P33" s="151" t="s">
        <v>111</v>
      </c>
      <c r="R33" s="64"/>
      <c r="S33" s="64"/>
      <c r="T33" s="64"/>
      <c r="U33" s="134"/>
      <c r="V33" s="152"/>
      <c r="W33" s="168"/>
      <c r="X33" s="87"/>
      <c r="Y33" s="210"/>
      <c r="Z33" s="210"/>
      <c r="AA33" s="210"/>
      <c r="AB33" s="210"/>
      <c r="AC33" s="210"/>
      <c r="AD33" s="210"/>
      <c r="AE33" s="210"/>
      <c r="AF33" s="210"/>
      <c r="AG33" s="210"/>
      <c r="AI33" s="210"/>
      <c r="AJ33" s="179"/>
    </row>
    <row r="34" spans="1:49" s="88" customFormat="1" ht="29.25" customHeight="1" x14ac:dyDescent="0.2">
      <c r="A34" s="135"/>
      <c r="B34" s="1024"/>
      <c r="C34" s="1025"/>
      <c r="D34" s="1025"/>
      <c r="E34" s="1025"/>
      <c r="F34" s="1025"/>
      <c r="G34" s="1025"/>
      <c r="H34" s="1025"/>
      <c r="I34" s="1025"/>
      <c r="J34" s="1025"/>
      <c r="K34" s="1025"/>
      <c r="L34" s="1025"/>
      <c r="M34" s="1025"/>
      <c r="N34" s="1025"/>
      <c r="O34" s="1025"/>
      <c r="P34" s="1025"/>
      <c r="Q34" s="1025"/>
      <c r="R34" s="1025"/>
      <c r="S34" s="1025"/>
      <c r="T34" s="1026"/>
      <c r="U34" s="134"/>
      <c r="V34" s="152"/>
      <c r="W34" s="168"/>
      <c r="X34" s="87"/>
      <c r="Y34" s="210"/>
      <c r="Z34" s="210"/>
      <c r="AA34" s="210"/>
      <c r="AB34" s="210"/>
      <c r="AC34" s="210"/>
      <c r="AD34" s="210"/>
      <c r="AE34" s="210"/>
      <c r="AF34" s="210"/>
      <c r="AG34" s="210"/>
      <c r="AI34" s="210"/>
      <c r="AJ34" s="175"/>
      <c r="AK34" s="80"/>
      <c r="AL34" s="80"/>
      <c r="AM34" s="80"/>
      <c r="AN34" s="80"/>
      <c r="AO34" s="80"/>
      <c r="AP34" s="80"/>
      <c r="AQ34" s="80"/>
    </row>
    <row r="35" spans="1:49" s="88" customFormat="1" ht="7.5" customHeight="1" x14ac:dyDescent="0.2">
      <c r="A35" s="135"/>
      <c r="B35" s="18"/>
      <c r="C35" s="18"/>
      <c r="D35" s="17"/>
      <c r="E35" s="17"/>
      <c r="F35" s="17"/>
      <c r="G35" s="17"/>
      <c r="H35" s="17"/>
      <c r="I35" s="17"/>
      <c r="J35" s="13"/>
      <c r="K35" s="19"/>
      <c r="L35" s="19"/>
      <c r="M35" s="19"/>
      <c r="N35" s="19"/>
      <c r="O35" s="19"/>
      <c r="P35" s="19"/>
      <c r="Q35" s="19"/>
      <c r="R35" s="19"/>
      <c r="S35" s="19"/>
      <c r="T35" s="20"/>
      <c r="U35" s="134"/>
      <c r="V35" s="152"/>
      <c r="W35" s="168"/>
      <c r="Y35" s="217"/>
      <c r="AI35" s="210"/>
      <c r="AJ35" s="175"/>
      <c r="AK35" s="80"/>
      <c r="AL35" s="80"/>
      <c r="AM35" s="80"/>
      <c r="AN35" s="80"/>
      <c r="AO35" s="80"/>
      <c r="AP35" s="80"/>
      <c r="AQ35" s="80"/>
    </row>
    <row r="36" spans="1:49" s="88" customFormat="1" ht="15" customHeight="1" x14ac:dyDescent="0.2">
      <c r="A36" s="1010"/>
      <c r="B36" s="1018"/>
      <c r="C36" s="1018"/>
      <c r="D36" s="1018"/>
      <c r="E36" s="1018"/>
      <c r="F36" s="1018"/>
      <c r="G36" s="1018"/>
      <c r="H36" s="1018"/>
      <c r="I36" s="1018"/>
      <c r="J36" s="1018"/>
      <c r="K36" s="1018"/>
      <c r="L36" s="1018"/>
      <c r="M36" s="1018"/>
      <c r="N36" s="1018"/>
      <c r="O36" s="1018"/>
      <c r="P36" s="1018"/>
      <c r="Q36" s="1018"/>
      <c r="R36" s="1018"/>
      <c r="S36" s="1018"/>
      <c r="T36" s="1018"/>
      <c r="U36" s="1019"/>
      <c r="V36" s="152"/>
      <c r="W36" s="168"/>
      <c r="Y36" s="217"/>
      <c r="AJ36" s="179"/>
      <c r="AL36" s="88">
        <v>10</v>
      </c>
      <c r="AM36" s="88">
        <v>11</v>
      </c>
      <c r="AN36" s="88">
        <v>12</v>
      </c>
      <c r="AO36" s="88">
        <v>13</v>
      </c>
      <c r="AP36" s="88">
        <v>14</v>
      </c>
      <c r="AS36" s="25"/>
      <c r="AT36" s="25"/>
      <c r="AU36" s="25"/>
      <c r="AV36" s="24"/>
    </row>
    <row r="37" spans="1:49" s="88" customFormat="1" ht="11.25" customHeight="1" x14ac:dyDescent="0.2">
      <c r="A37" s="1020" t="str">
        <f>Home!$A$35</f>
        <v>LA's provide quarterly data on the condition that it is used by the benchmarking group for internal reporting only. Please DO NOT share other LA's data with any external partners or the public</v>
      </c>
      <c r="B37" s="1021"/>
      <c r="C37" s="1021"/>
      <c r="D37" s="1021"/>
      <c r="E37" s="1021"/>
      <c r="F37" s="1021"/>
      <c r="G37" s="1021"/>
      <c r="H37" s="1021"/>
      <c r="I37" s="1022"/>
      <c r="J37" s="1021"/>
      <c r="K37" s="1021"/>
      <c r="L37" s="1021"/>
      <c r="M37" s="1021"/>
      <c r="N37" s="1021"/>
      <c r="O37" s="1021"/>
      <c r="P37" s="1021"/>
      <c r="Q37" s="1021"/>
      <c r="R37" s="1021"/>
      <c r="S37" s="1022"/>
      <c r="T37" s="1021"/>
      <c r="U37" s="1023"/>
      <c r="V37" s="152"/>
      <c r="W37" s="168"/>
      <c r="Y37" s="217"/>
      <c r="AI37" s="210"/>
      <c r="AJ37" s="178"/>
      <c r="AK37" s="101"/>
      <c r="AL37" s="419" t="s">
        <v>89</v>
      </c>
      <c r="AM37" s="420"/>
      <c r="AN37" s="420"/>
      <c r="AO37" s="420"/>
      <c r="AP37" s="420"/>
      <c r="AQ37" s="419" t="s">
        <v>95</v>
      </c>
      <c r="AR37" s="56"/>
      <c r="AS37" s="25"/>
      <c r="AT37" s="25"/>
      <c r="AU37" s="25"/>
      <c r="AV37" s="24"/>
    </row>
    <row r="38" spans="1:49" s="88" customFormat="1" ht="11.25" customHeight="1" x14ac:dyDescent="0.2">
      <c r="A38" s="129"/>
      <c r="B38" s="130"/>
      <c r="C38" s="130"/>
      <c r="D38" s="130"/>
      <c r="E38" s="130"/>
      <c r="F38" s="130"/>
      <c r="G38" s="130"/>
      <c r="H38" s="130"/>
      <c r="I38" s="130"/>
      <c r="J38" s="131"/>
      <c r="K38" s="130"/>
      <c r="L38" s="130"/>
      <c r="M38" s="130"/>
      <c r="N38" s="130"/>
      <c r="O38" s="130"/>
      <c r="P38" s="130"/>
      <c r="Q38" s="130"/>
      <c r="R38" s="130"/>
      <c r="S38" s="130"/>
      <c r="T38" s="130"/>
      <c r="U38" s="132"/>
      <c r="V38" s="152"/>
      <c r="W38" s="167" t="s">
        <v>102</v>
      </c>
      <c r="X38" s="224"/>
      <c r="Y38" s="224"/>
      <c r="Z38" s="224"/>
      <c r="AA38" s="224"/>
      <c r="AB38" s="224"/>
      <c r="AI38" s="210"/>
      <c r="AJ38" s="178"/>
      <c r="AK38" s="101"/>
      <c r="AL38" s="419"/>
      <c r="AM38" s="419"/>
      <c r="AN38" s="419"/>
      <c r="AO38" s="419"/>
      <c r="AP38" s="419"/>
      <c r="AQ38" s="420"/>
      <c r="AR38" s="419"/>
      <c r="AS38" s="419"/>
      <c r="AT38" s="419"/>
      <c r="AU38" s="419"/>
      <c r="AV38" s="419"/>
    </row>
    <row r="39" spans="1:49" s="88" customFormat="1" ht="7.5" customHeight="1" x14ac:dyDescent="0.25">
      <c r="A39" s="133"/>
      <c r="B39" s="9"/>
      <c r="C39" s="9"/>
      <c r="D39" s="9"/>
      <c r="E39" s="9"/>
      <c r="F39" s="9"/>
      <c r="G39" s="9"/>
      <c r="H39" s="9"/>
      <c r="I39" s="9"/>
      <c r="J39" s="13"/>
      <c r="K39" s="9"/>
      <c r="L39" s="9"/>
      <c r="M39" s="9"/>
      <c r="N39" s="9"/>
      <c r="O39" s="9"/>
      <c r="P39" s="9"/>
      <c r="Q39" s="9"/>
      <c r="R39" s="9"/>
      <c r="S39" s="9"/>
      <c r="T39" s="9"/>
      <c r="U39" s="134"/>
      <c r="V39" s="152"/>
      <c r="W39" s="326"/>
      <c r="X39" s="646" t="s">
        <v>30</v>
      </c>
      <c r="Y39" s="259" t="s">
        <v>8</v>
      </c>
      <c r="Z39" s="259" t="s">
        <v>103</v>
      </c>
      <c r="AA39" s="1033" t="s">
        <v>76</v>
      </c>
      <c r="AB39" s="1033" t="s">
        <v>77</v>
      </c>
      <c r="AJ39" s="178"/>
      <c r="AK39" s="101"/>
      <c r="AL39" s="419">
        <f>D8</f>
        <v>2014</v>
      </c>
      <c r="AM39" s="419">
        <f>E8</f>
        <v>2015</v>
      </c>
      <c r="AN39" s="419">
        <f>F8</f>
        <v>2016</v>
      </c>
      <c r="AO39" s="419">
        <f>G8</f>
        <v>2017</v>
      </c>
      <c r="AP39" s="419">
        <f>H8</f>
        <v>2018</v>
      </c>
      <c r="AQ39" s="420"/>
      <c r="AR39" s="419"/>
      <c r="AS39" s="419"/>
      <c r="AT39" s="419"/>
      <c r="AU39" s="419"/>
      <c r="AV39" s="419"/>
    </row>
    <row r="40" spans="1:49" s="88" customFormat="1" ht="14.25" customHeight="1" x14ac:dyDescent="0.2">
      <c r="A40" s="135"/>
      <c r="B40" s="9"/>
      <c r="C40" s="9"/>
      <c r="D40" s="9"/>
      <c r="E40" s="9"/>
      <c r="F40" s="9"/>
      <c r="G40" s="9"/>
      <c r="H40" s="9"/>
      <c r="I40" s="9"/>
      <c r="J40" s="13"/>
      <c r="K40" s="9"/>
      <c r="L40" s="9"/>
      <c r="M40" s="9"/>
      <c r="N40" s="9"/>
      <c r="O40" s="9"/>
      <c r="P40" s="9"/>
      <c r="Q40" s="9"/>
      <c r="R40" s="9"/>
      <c r="S40" s="9"/>
      <c r="T40" s="9"/>
      <c r="U40" s="134"/>
      <c r="V40" s="152"/>
      <c r="W40" s="326"/>
      <c r="X40" s="647" t="e">
        <f ca="1">OFFSET(B8,$X$4,0)</f>
        <v>#N/A</v>
      </c>
      <c r="Y40" s="238" t="e">
        <f ca="1">OFFSET(R7,(VLOOKUP(X40,$Y$41:$Z$62,2,FALSE)),0)</f>
        <v>#N/A</v>
      </c>
      <c r="Z40" s="238" t="e">
        <f ca="1">(OFFSET(O7,(VLOOKUP(X40,$Y$41:$Z$62,2,FALSE)),0))</f>
        <v>#N/A</v>
      </c>
      <c r="AA40" s="1034"/>
      <c r="AB40" s="1034"/>
      <c r="AI40" s="642" t="b">
        <v>1</v>
      </c>
      <c r="AJ40" s="178" t="s">
        <v>0</v>
      </c>
      <c r="AK40" s="101" t="str">
        <f t="shared" ref="AK40:AK63" si="9">IF(AI40=TRUE,B9,"")</f>
        <v>Bracknell Forest</v>
      </c>
      <c r="AL40" s="164">
        <f t="shared" ref="AL40:AP62" si="10">VLOOKUP($AK40,$B$9:$O$32,AL$36,FALSE)</f>
        <v>285.60885608856086</v>
      </c>
      <c r="AM40" s="164">
        <f t="shared" si="10"/>
        <v>269.06474820143887</v>
      </c>
      <c r="AN40" s="164">
        <f t="shared" si="10"/>
        <v>297.51773049645391</v>
      </c>
      <c r="AO40" s="164">
        <f t="shared" si="10"/>
        <v>348.1933697735501</v>
      </c>
      <c r="AP40" s="164">
        <f t="shared" si="10"/>
        <v>353.74585871540023</v>
      </c>
      <c r="AQ40" s="165">
        <f>VLOOKUP(AK40,$B$9:$T$32,17,FALSE)</f>
        <v>11</v>
      </c>
      <c r="AR40" s="398"/>
      <c r="AS40" s="398"/>
      <c r="AT40" s="398"/>
      <c r="AU40" s="398"/>
      <c r="AV40" s="398"/>
    </row>
    <row r="41" spans="1:49" s="88" customFormat="1" ht="14.25" customHeight="1" x14ac:dyDescent="0.2">
      <c r="A41" s="135"/>
      <c r="B41" s="9"/>
      <c r="C41" s="9"/>
      <c r="D41" s="9"/>
      <c r="E41" s="9"/>
      <c r="F41" s="9"/>
      <c r="G41" s="9"/>
      <c r="H41" s="9"/>
      <c r="I41" s="9"/>
      <c r="J41" s="13"/>
      <c r="K41" s="9"/>
      <c r="L41" s="9"/>
      <c r="M41" s="9"/>
      <c r="N41" s="9"/>
      <c r="O41" s="9"/>
      <c r="P41" s="9"/>
      <c r="Q41" s="9"/>
      <c r="R41" s="9"/>
      <c r="S41" s="9"/>
      <c r="T41" s="9"/>
      <c r="U41" s="134"/>
      <c r="V41" s="152"/>
      <c r="W41" s="326"/>
      <c r="X41" s="647">
        <v>1</v>
      </c>
      <c r="Y41" s="50" t="str">
        <f t="shared" ref="Y41:Y64" si="11">B9</f>
        <v>Bracknell Forest</v>
      </c>
      <c r="Z41" s="45">
        <v>2</v>
      </c>
      <c r="AA41" s="46">
        <f>IF(H9&gt;0,IDACI!D9,0)</f>
        <v>23799</v>
      </c>
      <c r="AB41" s="46">
        <f>IF(H9&gt;0,IDACI!E9,0)</f>
        <v>2617.89</v>
      </c>
      <c r="AI41" s="642" t="b">
        <v>1</v>
      </c>
      <c r="AJ41" s="178" t="s">
        <v>32</v>
      </c>
      <c r="AK41" s="101" t="str">
        <f t="shared" si="9"/>
        <v>Brighton &amp; Hove</v>
      </c>
      <c r="AL41" s="164">
        <f t="shared" si="10"/>
        <v>355.6435643564356</v>
      </c>
      <c r="AM41" s="164">
        <f t="shared" si="10"/>
        <v>485.29411764705884</v>
      </c>
      <c r="AN41" s="164">
        <f t="shared" si="10"/>
        <v>458.3984375</v>
      </c>
      <c r="AO41" s="164">
        <f t="shared" si="10"/>
        <v>422.37865876250459</v>
      </c>
      <c r="AP41" s="164">
        <f t="shared" si="10"/>
        <v>426.62952864792771</v>
      </c>
      <c r="AQ41" s="165">
        <f t="shared" ref="AQ41:AQ63" si="12">VLOOKUP(AK41,$B$9:$T$31,17,FALSE)</f>
        <v>18.3</v>
      </c>
      <c r="AR41" s="398"/>
      <c r="AS41" s="398"/>
      <c r="AT41" s="398"/>
      <c r="AU41" s="398"/>
      <c r="AV41" s="398"/>
    </row>
    <row r="42" spans="1:49" ht="14.25" customHeight="1" x14ac:dyDescent="0.2">
      <c r="A42" s="135"/>
      <c r="B42" s="9"/>
      <c r="C42" s="9"/>
      <c r="D42" s="9"/>
      <c r="E42" s="9"/>
      <c r="F42" s="9"/>
      <c r="G42" s="9"/>
      <c r="H42" s="9"/>
      <c r="I42" s="9"/>
      <c r="J42" s="13"/>
      <c r="K42" s="9"/>
      <c r="L42" s="9"/>
      <c r="M42" s="9"/>
      <c r="N42" s="9"/>
      <c r="O42" s="9"/>
      <c r="P42" s="9"/>
      <c r="Q42" s="9"/>
      <c r="R42" s="9"/>
      <c r="S42" s="9"/>
      <c r="T42" s="9"/>
      <c r="U42" s="134"/>
      <c r="V42" s="152"/>
      <c r="W42" s="326"/>
      <c r="X42" s="647">
        <v>2</v>
      </c>
      <c r="Y42" s="50" t="str">
        <f t="shared" si="11"/>
        <v>Brighton &amp; Hove</v>
      </c>
      <c r="Z42" s="45">
        <v>3</v>
      </c>
      <c r="AA42" s="46">
        <f>IF(H10&gt;0,IDACI!D10,0)</f>
        <v>44814</v>
      </c>
      <c r="AB42" s="46">
        <f>IF(H10&gt;0,IDACI!E10,0)</f>
        <v>8200.9619999999995</v>
      </c>
      <c r="AI42" s="642" t="b">
        <v>1</v>
      </c>
      <c r="AJ42" s="178" t="s">
        <v>9</v>
      </c>
      <c r="AK42" s="101" t="str">
        <f t="shared" si="9"/>
        <v>Buckinghamshire</v>
      </c>
      <c r="AL42" s="164">
        <f t="shared" si="10"/>
        <v>205.52721088435374</v>
      </c>
      <c r="AM42" s="164">
        <f t="shared" si="10"/>
        <v>227.33389402859547</v>
      </c>
      <c r="AN42" s="164">
        <f t="shared" si="10"/>
        <v>218.49087893864015</v>
      </c>
      <c r="AO42" s="164">
        <f t="shared" si="10"/>
        <v>275.19332269547073</v>
      </c>
      <c r="AP42" s="164">
        <f t="shared" si="10"/>
        <v>301.76721511273615</v>
      </c>
      <c r="AQ42" s="165">
        <f t="shared" si="12"/>
        <v>9.8000000000000007</v>
      </c>
      <c r="AR42" s="398"/>
      <c r="AS42" s="398"/>
      <c r="AT42" s="398"/>
      <c r="AU42" s="398"/>
      <c r="AV42" s="398"/>
      <c r="AW42" s="88"/>
    </row>
    <row r="43" spans="1:49" ht="14.25" customHeight="1" x14ac:dyDescent="0.2">
      <c r="A43" s="135"/>
      <c r="B43" s="9"/>
      <c r="C43" s="9"/>
      <c r="D43" s="9"/>
      <c r="E43" s="9"/>
      <c r="F43" s="9"/>
      <c r="G43" s="9"/>
      <c r="H43" s="9"/>
      <c r="I43" s="9"/>
      <c r="J43" s="13"/>
      <c r="K43" s="14"/>
      <c r="L43" s="14"/>
      <c r="M43" s="14"/>
      <c r="N43" s="14"/>
      <c r="O43" s="15"/>
      <c r="P43" s="15"/>
      <c r="Q43" s="15"/>
      <c r="R43" s="15"/>
      <c r="S43" s="15"/>
      <c r="T43" s="15"/>
      <c r="U43" s="134"/>
      <c r="V43" s="152"/>
      <c r="W43" s="326"/>
      <c r="X43" s="647">
        <v>3</v>
      </c>
      <c r="Y43" s="50" t="str">
        <f t="shared" si="11"/>
        <v>Buckinghamshire</v>
      </c>
      <c r="Z43" s="45">
        <v>4</v>
      </c>
      <c r="AA43" s="46">
        <f>IF(H11&gt;0,IDACI!D11,0)</f>
        <v>103548</v>
      </c>
      <c r="AB43" s="46">
        <f>IF(H11&gt;0,IDACI!E11,0)</f>
        <v>10147.704</v>
      </c>
      <c r="AI43" s="642" t="b">
        <v>1</v>
      </c>
      <c r="AJ43" s="178" t="s">
        <v>4</v>
      </c>
      <c r="AK43" s="101" t="str">
        <f t="shared" si="9"/>
        <v>East Sussex</v>
      </c>
      <c r="AL43" s="164">
        <f t="shared" si="10"/>
        <v>412.69083969465652</v>
      </c>
      <c r="AM43" s="164">
        <f t="shared" si="10"/>
        <v>317.93168880455408</v>
      </c>
      <c r="AN43" s="164">
        <f t="shared" si="10"/>
        <v>283.19169027384328</v>
      </c>
      <c r="AO43" s="164">
        <f t="shared" si="10"/>
        <v>296.44175485966218</v>
      </c>
      <c r="AP43" s="164">
        <f t="shared" si="10"/>
        <v>295.53491442312225</v>
      </c>
      <c r="AQ43" s="165">
        <f t="shared" si="12"/>
        <v>17.399999999999999</v>
      </c>
      <c r="AR43" s="398"/>
      <c r="AS43" s="398"/>
      <c r="AT43" s="398"/>
      <c r="AU43" s="398"/>
      <c r="AV43" s="398"/>
      <c r="AW43" s="88"/>
    </row>
    <row r="44" spans="1:49" s="82" customFormat="1" ht="14.25" customHeight="1" x14ac:dyDescent="0.2">
      <c r="A44" s="136"/>
      <c r="B44" s="256"/>
      <c r="C44" s="256"/>
      <c r="D44" s="257"/>
      <c r="E44" s="257"/>
      <c r="F44" s="257"/>
      <c r="G44" s="257"/>
      <c r="H44" s="257"/>
      <c r="I44" s="257"/>
      <c r="J44" s="16"/>
      <c r="K44" s="9"/>
      <c r="L44" s="9"/>
      <c r="M44" s="9"/>
      <c r="N44" s="9"/>
      <c r="O44" s="9"/>
      <c r="P44" s="9"/>
      <c r="Q44" s="9"/>
      <c r="R44" s="9"/>
      <c r="S44" s="9"/>
      <c r="T44" s="9"/>
      <c r="U44" s="137"/>
      <c r="V44" s="153"/>
      <c r="W44" s="327"/>
      <c r="X44" s="647">
        <v>4</v>
      </c>
      <c r="Y44" s="50" t="str">
        <f t="shared" si="11"/>
        <v>East Sussex</v>
      </c>
      <c r="Z44" s="45">
        <v>5</v>
      </c>
      <c r="AA44" s="46">
        <f>IF(H12&gt;0,IDACI!D12,0)</f>
        <v>91918</v>
      </c>
      <c r="AB44" s="46">
        <f>IF(H12&gt;0,IDACI!E12,0)</f>
        <v>15993.731999999998</v>
      </c>
      <c r="AC44" s="88"/>
      <c r="AD44" s="88"/>
      <c r="AE44" s="88"/>
      <c r="AF44" s="88"/>
      <c r="AG44" s="88"/>
      <c r="AH44" s="88"/>
      <c r="AI44" s="642" t="b">
        <v>1</v>
      </c>
      <c r="AJ44" s="178" t="s">
        <v>6</v>
      </c>
      <c r="AK44" s="101" t="str">
        <f t="shared" si="9"/>
        <v>Hampshire</v>
      </c>
      <c r="AL44" s="164">
        <f t="shared" si="10"/>
        <v>284.49804895352963</v>
      </c>
      <c r="AM44" s="164">
        <f t="shared" si="10"/>
        <v>277.72646536412077</v>
      </c>
      <c r="AN44" s="164">
        <f t="shared" si="10"/>
        <v>309.7552323518978</v>
      </c>
      <c r="AO44" s="164">
        <f t="shared" si="10"/>
        <v>308.10740087202208</v>
      </c>
      <c r="AP44" s="164">
        <f t="shared" si="10"/>
        <v>292.43171887022879</v>
      </c>
      <c r="AQ44" s="165">
        <f t="shared" si="12"/>
        <v>11.799999999999999</v>
      </c>
      <c r="AR44" s="398"/>
      <c r="AS44" s="398"/>
      <c r="AT44" s="398"/>
      <c r="AU44" s="398"/>
      <c r="AV44" s="398"/>
    </row>
    <row r="45" spans="1:49" ht="14.25" customHeight="1" x14ac:dyDescent="0.2">
      <c r="A45" s="135"/>
      <c r="B45" s="257"/>
      <c r="C45" s="257"/>
      <c r="D45" s="257"/>
      <c r="E45" s="257"/>
      <c r="F45" s="257"/>
      <c r="G45" s="257"/>
      <c r="H45" s="257"/>
      <c r="I45" s="257"/>
      <c r="J45" s="13"/>
      <c r="K45" s="15"/>
      <c r="L45" s="15"/>
      <c r="M45" s="15"/>
      <c r="N45" s="15"/>
      <c r="O45" s="9"/>
      <c r="P45" s="9"/>
      <c r="Q45" s="9"/>
      <c r="R45" s="9"/>
      <c r="S45" s="9"/>
      <c r="T45" s="9"/>
      <c r="U45" s="134"/>
      <c r="V45" s="152"/>
      <c r="W45" s="326"/>
      <c r="X45" s="647">
        <v>5</v>
      </c>
      <c r="Y45" s="50" t="str">
        <f t="shared" si="11"/>
        <v>Hampshire</v>
      </c>
      <c r="Z45" s="45">
        <v>6</v>
      </c>
      <c r="AA45" s="46">
        <f>IF(H13&gt;0,IDACI!D13,0)</f>
        <v>247800</v>
      </c>
      <c r="AB45" s="46">
        <f>IF(H13&gt;0,IDACI!E13,0)</f>
        <v>29240.399999999998</v>
      </c>
      <c r="AI45" s="642" t="b">
        <v>1</v>
      </c>
      <c r="AJ45" s="178" t="s">
        <v>1</v>
      </c>
      <c r="AK45" s="101" t="str">
        <f t="shared" si="9"/>
        <v>Isle of Wight</v>
      </c>
      <c r="AL45" s="164">
        <f t="shared" si="10"/>
        <v>447.67441860465112</v>
      </c>
      <c r="AM45" s="164">
        <f t="shared" si="10"/>
        <v>428.23529411764707</v>
      </c>
      <c r="AN45" s="164">
        <f t="shared" si="10"/>
        <v>514.62450592885375</v>
      </c>
      <c r="AO45" s="164">
        <f t="shared" si="10"/>
        <v>494.84126984126982</v>
      </c>
      <c r="AP45" s="164">
        <f t="shared" si="10"/>
        <v>490.91997605268409</v>
      </c>
      <c r="AQ45" s="165">
        <f t="shared" si="12"/>
        <v>20.399999999999999</v>
      </c>
      <c r="AR45" s="398"/>
      <c r="AS45" s="398"/>
      <c r="AT45" s="398"/>
      <c r="AU45" s="398"/>
      <c r="AV45" s="398"/>
    </row>
    <row r="46" spans="1:49" ht="14.25" customHeight="1" x14ac:dyDescent="0.2">
      <c r="A46" s="135"/>
      <c r="B46" s="257"/>
      <c r="C46" s="257"/>
      <c r="D46" s="257"/>
      <c r="E46" s="257"/>
      <c r="F46" s="257"/>
      <c r="G46" s="257"/>
      <c r="H46" s="257"/>
      <c r="I46" s="257"/>
      <c r="J46" s="13"/>
      <c r="K46" s="15"/>
      <c r="L46" s="15"/>
      <c r="M46" s="15"/>
      <c r="N46" s="15"/>
      <c r="O46" s="9"/>
      <c r="P46" s="9"/>
      <c r="Q46" s="9"/>
      <c r="R46" s="9"/>
      <c r="S46" s="9"/>
      <c r="T46" s="9"/>
      <c r="U46" s="134"/>
      <c r="V46" s="152"/>
      <c r="W46" s="326"/>
      <c r="X46" s="647">
        <v>6</v>
      </c>
      <c r="Y46" s="50" t="str">
        <f t="shared" si="11"/>
        <v>Isle of Wight</v>
      </c>
      <c r="Z46" s="45">
        <v>7</v>
      </c>
      <c r="AA46" s="46">
        <f>IF(H14&gt;0,IDACI!D14,0)</f>
        <v>22502</v>
      </c>
      <c r="AB46" s="46">
        <f>IF(H14&gt;0,IDACI!E14,0)</f>
        <v>4590.4079999999994</v>
      </c>
      <c r="AC46" s="239"/>
      <c r="AI46" s="642" t="b">
        <v>1</v>
      </c>
      <c r="AJ46" s="178" t="s">
        <v>10</v>
      </c>
      <c r="AK46" s="101" t="str">
        <f t="shared" si="9"/>
        <v>Kent</v>
      </c>
      <c r="AL46" s="164">
        <f t="shared" si="10"/>
        <v>308.04668304668303</v>
      </c>
      <c r="AM46" s="164">
        <f t="shared" si="10"/>
        <v>279.68321657021016</v>
      </c>
      <c r="AN46" s="164">
        <f t="shared" si="10"/>
        <v>281.17433414043586</v>
      </c>
      <c r="AO46" s="164">
        <f t="shared" si="10"/>
        <v>300.40985452416339</v>
      </c>
      <c r="AP46" s="164">
        <f t="shared" si="10"/>
        <v>298.1046743431819</v>
      </c>
      <c r="AQ46" s="165">
        <f t="shared" si="12"/>
        <v>17.8</v>
      </c>
      <c r="AR46" s="398"/>
      <c r="AS46" s="398"/>
      <c r="AT46" s="398"/>
      <c r="AU46" s="398"/>
      <c r="AV46" s="398"/>
    </row>
    <row r="47" spans="1:49" ht="14.25" customHeight="1" x14ac:dyDescent="0.2">
      <c r="A47" s="135"/>
      <c r="B47" s="58"/>
      <c r="C47" s="58"/>
      <c r="D47" s="58"/>
      <c r="E47" s="58"/>
      <c r="F47" s="58"/>
      <c r="G47" s="58"/>
      <c r="H47" s="58"/>
      <c r="I47" s="58"/>
      <c r="J47" s="13"/>
      <c r="K47" s="15"/>
      <c r="L47" s="15"/>
      <c r="M47" s="15"/>
      <c r="N47" s="15"/>
      <c r="O47" s="9"/>
      <c r="P47" s="9"/>
      <c r="Q47" s="9"/>
      <c r="R47" s="9"/>
      <c r="S47" s="9"/>
      <c r="T47" s="9"/>
      <c r="U47" s="134"/>
      <c r="V47" s="152"/>
      <c r="W47" s="326"/>
      <c r="X47" s="647">
        <v>7</v>
      </c>
      <c r="Y47" s="50" t="str">
        <f t="shared" si="11"/>
        <v>Kent</v>
      </c>
      <c r="Z47" s="45">
        <v>8</v>
      </c>
      <c r="AA47" s="46">
        <f>IF(H15&gt;0,IDACI!D15,0)</f>
        <v>286168</v>
      </c>
      <c r="AB47" s="46">
        <f>IF(H15&gt;0,IDACI!E15,0)</f>
        <v>50937.904000000002</v>
      </c>
      <c r="AC47" s="210"/>
      <c r="AI47" s="642" t="b">
        <v>1</v>
      </c>
      <c r="AJ47" s="178" t="s">
        <v>2</v>
      </c>
      <c r="AK47" s="101" t="str">
        <f t="shared" si="9"/>
        <v>Medway</v>
      </c>
      <c r="AL47" s="164">
        <f t="shared" si="10"/>
        <v>420.29220779220776</v>
      </c>
      <c r="AM47" s="164">
        <f t="shared" si="10"/>
        <v>407.03999999999996</v>
      </c>
      <c r="AN47" s="164">
        <f t="shared" si="10"/>
        <v>414.24050632911394</v>
      </c>
      <c r="AO47" s="164">
        <f t="shared" si="10"/>
        <v>278.82003862034315</v>
      </c>
      <c r="AP47" s="164">
        <f t="shared" si="10"/>
        <v>304.17715778114882</v>
      </c>
      <c r="AQ47" s="165">
        <f t="shared" si="12"/>
        <v>22</v>
      </c>
      <c r="AR47" s="398"/>
      <c r="AS47" s="398"/>
      <c r="AT47" s="398"/>
      <c r="AU47" s="398"/>
      <c r="AV47" s="398"/>
    </row>
    <row r="48" spans="1:49" ht="14.25" customHeight="1" x14ac:dyDescent="0.2">
      <c r="A48" s="135"/>
      <c r="B48" s="58"/>
      <c r="C48" s="58"/>
      <c r="D48" s="69"/>
      <c r="E48" s="70"/>
      <c r="F48" s="69"/>
      <c r="G48" s="70"/>
      <c r="H48" s="70"/>
      <c r="I48" s="70"/>
      <c r="J48" s="13"/>
      <c r="K48" s="15"/>
      <c r="L48" s="15"/>
      <c r="M48" s="15"/>
      <c r="N48" s="15"/>
      <c r="O48" s="9"/>
      <c r="P48" s="9"/>
      <c r="Q48" s="9"/>
      <c r="R48" s="9"/>
      <c r="S48" s="9"/>
      <c r="T48" s="9"/>
      <c r="U48" s="134"/>
      <c r="V48" s="152"/>
      <c r="W48" s="326"/>
      <c r="X48" s="647">
        <v>8</v>
      </c>
      <c r="Y48" s="50" t="str">
        <f t="shared" si="11"/>
        <v>Medway</v>
      </c>
      <c r="Z48" s="45">
        <v>9</v>
      </c>
      <c r="AA48" s="46">
        <f>IF(H16&gt;0,IDACI!D16,0)</f>
        <v>54280</v>
      </c>
      <c r="AB48" s="46">
        <f>IF(H16&gt;0,IDACI!E16,0)</f>
        <v>11941.6</v>
      </c>
      <c r="AI48" s="642" t="b">
        <v>1</v>
      </c>
      <c r="AJ48" s="178" t="s">
        <v>11</v>
      </c>
      <c r="AK48" s="101" t="str">
        <f t="shared" si="9"/>
        <v>Milton Keynes</v>
      </c>
      <c r="AL48" s="164">
        <f t="shared" si="10"/>
        <v>232.34375000000003</v>
      </c>
      <c r="AM48" s="164">
        <f t="shared" si="10"/>
        <v>242.94478527607362</v>
      </c>
      <c r="AN48" s="164">
        <f t="shared" si="10"/>
        <v>261.72465960665659</v>
      </c>
      <c r="AO48" s="164">
        <f t="shared" si="10"/>
        <v>301.58162809400409</v>
      </c>
      <c r="AP48" s="164">
        <f t="shared" si="10"/>
        <v>277.02632784898077</v>
      </c>
      <c r="AQ48" s="165">
        <f t="shared" si="12"/>
        <v>19.7</v>
      </c>
      <c r="AR48" s="398"/>
      <c r="AS48" s="398"/>
      <c r="AT48" s="398"/>
      <c r="AU48" s="398"/>
      <c r="AV48" s="398"/>
    </row>
    <row r="49" spans="1:48" ht="14.25" customHeight="1" x14ac:dyDescent="0.2">
      <c r="A49" s="135"/>
      <c r="B49" s="58"/>
      <c r="C49" s="58"/>
      <c r="D49" s="62"/>
      <c r="E49" s="62"/>
      <c r="F49" s="62"/>
      <c r="G49" s="62"/>
      <c r="H49" s="62"/>
      <c r="I49" s="62"/>
      <c r="J49" s="13"/>
      <c r="K49" s="15"/>
      <c r="L49" s="15"/>
      <c r="M49" s="15"/>
      <c r="N49" s="15"/>
      <c r="O49" s="9"/>
      <c r="P49" s="9"/>
      <c r="Q49" s="9"/>
      <c r="R49" s="9"/>
      <c r="S49" s="9"/>
      <c r="T49" s="9"/>
      <c r="U49" s="134"/>
      <c r="V49" s="152"/>
      <c r="W49" s="326"/>
      <c r="X49" s="647">
        <v>9</v>
      </c>
      <c r="Y49" s="50" t="str">
        <f t="shared" si="11"/>
        <v>Milton Keynes</v>
      </c>
      <c r="Z49" s="45">
        <v>10</v>
      </c>
      <c r="AA49" s="46">
        <f>IF(H17&gt;0,IDACI!D17,0)</f>
        <v>56637</v>
      </c>
      <c r="AB49" s="46">
        <f>IF(H17&gt;0,IDACI!E17,0)</f>
        <v>11157.489</v>
      </c>
      <c r="AI49" s="642" t="b">
        <v>1</v>
      </c>
      <c r="AJ49" s="178" t="s">
        <v>12</v>
      </c>
      <c r="AK49" s="101" t="str">
        <f t="shared" si="9"/>
        <v>Oxfordshire</v>
      </c>
      <c r="AL49" s="164">
        <f t="shared" si="10"/>
        <v>249.75053456878121</v>
      </c>
      <c r="AM49" s="164">
        <f t="shared" si="10"/>
        <v>277.40793201133147</v>
      </c>
      <c r="AN49" s="164">
        <f t="shared" si="10"/>
        <v>326.93935119887163</v>
      </c>
      <c r="AO49" s="164">
        <f t="shared" si="10"/>
        <v>336.46612595085975</v>
      </c>
      <c r="AP49" s="164">
        <f t="shared" si="10"/>
        <v>299.28055547809601</v>
      </c>
      <c r="AQ49" s="165">
        <f t="shared" si="12"/>
        <v>11.799999999999999</v>
      </c>
      <c r="AR49" s="398"/>
      <c r="AS49" s="398"/>
      <c r="AT49" s="398"/>
      <c r="AU49" s="398"/>
      <c r="AV49" s="398"/>
    </row>
    <row r="50" spans="1:48" ht="14.25" customHeight="1" x14ac:dyDescent="0.2">
      <c r="A50" s="135"/>
      <c r="B50" s="415"/>
      <c r="C50" s="415"/>
      <c r="D50" s="58"/>
      <c r="E50" s="58"/>
      <c r="F50" s="58"/>
      <c r="G50" s="58"/>
      <c r="H50" s="58"/>
      <c r="I50" s="58"/>
      <c r="J50" s="13"/>
      <c r="K50" s="15"/>
      <c r="L50" s="15"/>
      <c r="M50" s="15"/>
      <c r="N50" s="15"/>
      <c r="O50" s="9"/>
      <c r="P50" s="9"/>
      <c r="Q50" s="9"/>
      <c r="R50" s="9"/>
      <c r="S50" s="9"/>
      <c r="T50" s="9"/>
      <c r="U50" s="134"/>
      <c r="V50" s="152"/>
      <c r="W50" s="326"/>
      <c r="X50" s="647">
        <v>10</v>
      </c>
      <c r="Y50" s="50" t="str">
        <f t="shared" si="11"/>
        <v>Oxfordshire</v>
      </c>
      <c r="Z50" s="45">
        <v>11</v>
      </c>
      <c r="AA50" s="46">
        <f>IF(H18&gt;0,IDACI!D18,0)</f>
        <v>123975</v>
      </c>
      <c r="AB50" s="46">
        <f>IF(H18&gt;0,IDACI!E18,0)</f>
        <v>14629.05</v>
      </c>
      <c r="AI50" s="642" t="b">
        <v>1</v>
      </c>
      <c r="AJ50" s="178" t="s">
        <v>13</v>
      </c>
      <c r="AK50" s="101" t="str">
        <f t="shared" si="9"/>
        <v>Portsmouth</v>
      </c>
      <c r="AL50" s="164">
        <f t="shared" si="10"/>
        <v>311.73708920187789</v>
      </c>
      <c r="AM50" s="164">
        <f t="shared" si="10"/>
        <v>330.87557603686639</v>
      </c>
      <c r="AN50" s="164">
        <f t="shared" si="10"/>
        <v>303.88127853881281</v>
      </c>
      <c r="AO50" s="164">
        <f t="shared" si="10"/>
        <v>325.45454545454544</v>
      </c>
      <c r="AP50" s="164">
        <f t="shared" si="10"/>
        <v>395.54670528602463</v>
      </c>
      <c r="AQ50" s="165">
        <f t="shared" si="12"/>
        <v>23.799999999999997</v>
      </c>
      <c r="AR50" s="398"/>
      <c r="AS50" s="398"/>
      <c r="AT50" s="398"/>
      <c r="AU50" s="398"/>
      <c r="AV50" s="398"/>
    </row>
    <row r="51" spans="1:48" ht="14.25" customHeight="1" x14ac:dyDescent="0.2">
      <c r="A51" s="135"/>
      <c r="B51" s="415"/>
      <c r="C51" s="415"/>
      <c r="D51" s="58"/>
      <c r="E51" s="58"/>
      <c r="F51" s="58"/>
      <c r="G51" s="58"/>
      <c r="H51" s="58"/>
      <c r="I51" s="58"/>
      <c r="J51" s="13"/>
      <c r="K51" s="15"/>
      <c r="L51" s="15"/>
      <c r="M51" s="15"/>
      <c r="N51" s="15"/>
      <c r="O51" s="9"/>
      <c r="P51" s="9"/>
      <c r="Q51" s="9"/>
      <c r="R51" s="9"/>
      <c r="S51" s="9"/>
      <c r="T51" s="9"/>
      <c r="U51" s="134"/>
      <c r="V51" s="152"/>
      <c r="W51" s="326"/>
      <c r="X51" s="647">
        <v>11</v>
      </c>
      <c r="Y51" s="50" t="str">
        <f t="shared" si="11"/>
        <v>Portsmouth</v>
      </c>
      <c r="Z51" s="45">
        <v>12</v>
      </c>
      <c r="AA51" s="46">
        <f>IF(H19&gt;0,IDACI!D19,0)</f>
        <v>37912</v>
      </c>
      <c r="AB51" s="46">
        <f>IF(H19&gt;0,IDACI!E19,0)</f>
        <v>9023.0559999999987</v>
      </c>
      <c r="AI51" s="642" t="b">
        <v>1</v>
      </c>
      <c r="AJ51" s="178" t="s">
        <v>3</v>
      </c>
      <c r="AK51" s="101" t="str">
        <f t="shared" si="9"/>
        <v>Reading</v>
      </c>
      <c r="AL51" s="164">
        <f t="shared" si="10"/>
        <v>431.98847262247841</v>
      </c>
      <c r="AM51" s="164">
        <f t="shared" si="10"/>
        <v>388.30083565459609</v>
      </c>
      <c r="AN51" s="164">
        <f t="shared" si="10"/>
        <v>513.46153846153845</v>
      </c>
      <c r="AO51" s="164">
        <f t="shared" si="10"/>
        <v>486.06751999126658</v>
      </c>
      <c r="AP51" s="164">
        <f t="shared" si="10"/>
        <v>453.724422397757</v>
      </c>
      <c r="AQ51" s="165">
        <f t="shared" si="12"/>
        <v>19.8</v>
      </c>
      <c r="AR51" s="398"/>
      <c r="AS51" s="398"/>
      <c r="AT51" s="398"/>
      <c r="AU51" s="398"/>
      <c r="AV51" s="398"/>
    </row>
    <row r="52" spans="1:48" ht="14.25" customHeight="1" x14ac:dyDescent="0.2">
      <c r="A52" s="135"/>
      <c r="B52" s="415"/>
      <c r="C52" s="415"/>
      <c r="D52" s="58"/>
      <c r="E52" s="58"/>
      <c r="F52" s="58"/>
      <c r="G52" s="58"/>
      <c r="H52" s="58"/>
      <c r="I52" s="58"/>
      <c r="J52" s="13"/>
      <c r="K52" s="15"/>
      <c r="L52" s="15"/>
      <c r="M52" s="15"/>
      <c r="N52" s="15"/>
      <c r="O52" s="9"/>
      <c r="P52" s="9"/>
      <c r="Q52" s="9"/>
      <c r="R52" s="9"/>
      <c r="S52" s="9"/>
      <c r="T52" s="9"/>
      <c r="U52" s="134"/>
      <c r="V52" s="152"/>
      <c r="W52" s="326"/>
      <c r="X52" s="647">
        <v>12</v>
      </c>
      <c r="Y52" s="50" t="str">
        <f t="shared" si="11"/>
        <v>Reading</v>
      </c>
      <c r="Z52" s="45">
        <v>13</v>
      </c>
      <c r="AA52" s="46">
        <f>IF(H20&gt;0,IDACI!D20,0)</f>
        <v>30916</v>
      </c>
      <c r="AB52" s="46">
        <f>IF(H20&gt;0,IDACI!E20,0)</f>
        <v>6121.3680000000004</v>
      </c>
      <c r="AI52" s="642" t="b">
        <v>1</v>
      </c>
      <c r="AJ52" s="178" t="s">
        <v>14</v>
      </c>
      <c r="AK52" s="101" t="str">
        <f t="shared" si="9"/>
        <v>Slough</v>
      </c>
      <c r="AL52" s="164">
        <f t="shared" si="10"/>
        <v>398.20051413881748</v>
      </c>
      <c r="AM52" s="164">
        <f t="shared" si="10"/>
        <v>363.40852130325811</v>
      </c>
      <c r="AN52" s="164">
        <f t="shared" si="10"/>
        <v>394.33497536945811</v>
      </c>
      <c r="AO52" s="164">
        <f t="shared" si="10"/>
        <v>292.71120127517753</v>
      </c>
      <c r="AP52" s="164">
        <f t="shared" si="10"/>
        <v>289.94784257942155</v>
      </c>
      <c r="AQ52" s="165">
        <f t="shared" si="12"/>
        <v>19.5</v>
      </c>
      <c r="AR52" s="398"/>
      <c r="AS52" s="398"/>
      <c r="AT52" s="398"/>
      <c r="AU52" s="398"/>
      <c r="AV52" s="398"/>
    </row>
    <row r="53" spans="1:48" ht="14.25" customHeight="1" x14ac:dyDescent="0.2">
      <c r="A53" s="135"/>
      <c r="B53" s="415"/>
      <c r="C53" s="415"/>
      <c r="D53" s="58"/>
      <c r="E53" s="58"/>
      <c r="F53" s="58"/>
      <c r="G53" s="58"/>
      <c r="H53" s="58"/>
      <c r="I53" s="58"/>
      <c r="J53" s="13"/>
      <c r="K53" s="15"/>
      <c r="L53" s="15"/>
      <c r="M53" s="15"/>
      <c r="N53" s="15"/>
      <c r="O53" s="9"/>
      <c r="P53" s="9"/>
      <c r="Q53" s="9"/>
      <c r="R53" s="9"/>
      <c r="S53" s="9"/>
      <c r="T53" s="9"/>
      <c r="U53" s="134"/>
      <c r="V53" s="152"/>
      <c r="W53" s="326"/>
      <c r="X53" s="647">
        <v>13</v>
      </c>
      <c r="Y53" s="50" t="str">
        <f t="shared" si="11"/>
        <v>Slough</v>
      </c>
      <c r="Z53" s="45">
        <v>14</v>
      </c>
      <c r="AA53" s="46">
        <f>IF(H21&gt;0,IDACI!D21,0)</f>
        <v>34703</v>
      </c>
      <c r="AB53" s="46">
        <f>IF(H21&gt;0,IDACI!E21,0)</f>
        <v>6767.085</v>
      </c>
      <c r="AI53" s="642" t="b">
        <v>1</v>
      </c>
      <c r="AJ53" s="178" t="s">
        <v>93</v>
      </c>
      <c r="AK53" s="101" t="str">
        <f t="shared" si="9"/>
        <v>Somerset</v>
      </c>
      <c r="AL53" s="164">
        <f t="shared" si="10"/>
        <v>371.04779411764702</v>
      </c>
      <c r="AM53" s="164">
        <f t="shared" si="10"/>
        <v>391.55188246097339</v>
      </c>
      <c r="AN53" s="164">
        <f t="shared" si="10"/>
        <v>265.84249084249086</v>
      </c>
      <c r="AO53" s="164">
        <f t="shared" si="10"/>
        <v>283.52043189217289</v>
      </c>
      <c r="AP53" s="164">
        <f t="shared" si="10"/>
        <v>290.05123360343009</v>
      </c>
      <c r="AQ53" s="165">
        <f t="shared" si="12"/>
        <v>14.8</v>
      </c>
      <c r="AR53" s="398"/>
      <c r="AS53" s="398"/>
      <c r="AT53" s="398"/>
      <c r="AU53" s="398"/>
      <c r="AV53" s="398"/>
    </row>
    <row r="54" spans="1:48" ht="14.25" customHeight="1" x14ac:dyDescent="0.2">
      <c r="A54" s="135"/>
      <c r="B54" s="415"/>
      <c r="C54" s="415"/>
      <c r="D54" s="58"/>
      <c r="E54" s="58"/>
      <c r="F54" s="58"/>
      <c r="G54" s="58"/>
      <c r="H54" s="58"/>
      <c r="I54" s="58"/>
      <c r="J54" s="13"/>
      <c r="K54" s="15"/>
      <c r="L54" s="15"/>
      <c r="M54" s="15"/>
      <c r="N54" s="15"/>
      <c r="O54" s="9"/>
      <c r="P54" s="9"/>
      <c r="Q54" s="9"/>
      <c r="R54" s="9"/>
      <c r="S54" s="9"/>
      <c r="T54" s="9"/>
      <c r="U54" s="134"/>
      <c r="V54" s="152"/>
      <c r="W54" s="326"/>
      <c r="X54" s="647">
        <v>14</v>
      </c>
      <c r="Y54" s="50" t="str">
        <f t="shared" si="11"/>
        <v>Somerset</v>
      </c>
      <c r="Z54" s="45">
        <v>15</v>
      </c>
      <c r="AA54" s="46">
        <f>IF(H22&gt;0,IDACI!D22,0)</f>
        <v>94797</v>
      </c>
      <c r="AB54" s="46">
        <f>IF(H22&gt;0,IDACI!E22,0)</f>
        <v>14029.956000000002</v>
      </c>
      <c r="AI54" s="642" t="b">
        <v>1</v>
      </c>
      <c r="AJ54" s="178" t="s">
        <v>15</v>
      </c>
      <c r="AK54" s="101" t="str">
        <f t="shared" si="9"/>
        <v>Southampton</v>
      </c>
      <c r="AL54" s="164">
        <f t="shared" si="10"/>
        <v>411.81434599156114</v>
      </c>
      <c r="AM54" s="164">
        <f t="shared" si="10"/>
        <v>277.16049382716051</v>
      </c>
      <c r="AN54" s="164">
        <f t="shared" si="10"/>
        <v>700.00000000000011</v>
      </c>
      <c r="AO54" s="164">
        <f t="shared" si="10"/>
        <v>458.30744874852206</v>
      </c>
      <c r="AP54" s="164">
        <f t="shared" si="10"/>
        <v>475.89702812841665</v>
      </c>
      <c r="AQ54" s="165">
        <f t="shared" si="12"/>
        <v>25</v>
      </c>
      <c r="AR54" s="398"/>
      <c r="AS54" s="398"/>
      <c r="AT54" s="398"/>
      <c r="AU54" s="398"/>
      <c r="AV54" s="398"/>
    </row>
    <row r="55" spans="1:48" ht="14.25" customHeight="1" x14ac:dyDescent="0.2">
      <c r="A55" s="135"/>
      <c r="B55" s="415"/>
      <c r="C55" s="415"/>
      <c r="D55" s="58"/>
      <c r="E55" s="58"/>
      <c r="F55" s="58"/>
      <c r="G55" s="58"/>
      <c r="H55" s="58"/>
      <c r="I55" s="58"/>
      <c r="J55" s="13"/>
      <c r="K55" s="15"/>
      <c r="L55" s="15"/>
      <c r="M55" s="15"/>
      <c r="N55" s="15"/>
      <c r="O55" s="9"/>
      <c r="P55" s="9"/>
      <c r="Q55" s="9"/>
      <c r="R55" s="9"/>
      <c r="S55" s="9"/>
      <c r="T55" s="9"/>
      <c r="U55" s="134"/>
      <c r="V55" s="152"/>
      <c r="W55" s="326"/>
      <c r="X55" s="647">
        <v>15</v>
      </c>
      <c r="Y55" s="50" t="str">
        <f t="shared" si="11"/>
        <v>Southampton</v>
      </c>
      <c r="Z55" s="45">
        <v>16</v>
      </c>
      <c r="AA55" s="46">
        <f>IF(H23&gt;0,IDACI!D23,0)</f>
        <v>42079</v>
      </c>
      <c r="AB55" s="46">
        <f>IF(H23&gt;0,IDACI!E23,0)</f>
        <v>10519.75</v>
      </c>
      <c r="AI55" s="642" t="b">
        <v>1</v>
      </c>
      <c r="AJ55" s="178" t="s">
        <v>7</v>
      </c>
      <c r="AK55" s="101" t="str">
        <f t="shared" si="9"/>
        <v>Surrey</v>
      </c>
      <c r="AL55" s="164">
        <f t="shared" si="10"/>
        <v>181.8650793650794</v>
      </c>
      <c r="AM55" s="164">
        <f t="shared" si="10"/>
        <v>225.25530243519245</v>
      </c>
      <c r="AN55" s="164">
        <f t="shared" si="10"/>
        <v>242.86271450858032</v>
      </c>
      <c r="AO55" s="164">
        <f t="shared" si="10"/>
        <v>236.48739956524926</v>
      </c>
      <c r="AP55" s="164">
        <f t="shared" si="10"/>
        <v>269.64522387199634</v>
      </c>
      <c r="AQ55" s="165">
        <f t="shared" si="12"/>
        <v>9.7000000000000011</v>
      </c>
      <c r="AR55" s="398"/>
      <c r="AS55" s="398"/>
      <c r="AT55" s="398"/>
      <c r="AU55" s="398"/>
      <c r="AV55" s="398"/>
    </row>
    <row r="56" spans="1:48" ht="14.25" customHeight="1" x14ac:dyDescent="0.2">
      <c r="A56" s="309"/>
      <c r="B56" s="415"/>
      <c r="C56" s="415"/>
      <c r="D56" s="58"/>
      <c r="E56" s="58"/>
      <c r="F56" s="58"/>
      <c r="G56" s="58"/>
      <c r="H56" s="58"/>
      <c r="I56" s="58"/>
      <c r="J56" s="13"/>
      <c r="K56" s="15"/>
      <c r="L56" s="15"/>
      <c r="M56" s="15"/>
      <c r="N56" s="15"/>
      <c r="O56" s="9"/>
      <c r="P56" s="9"/>
      <c r="Q56" s="9"/>
      <c r="R56" s="9"/>
      <c r="S56" s="9"/>
      <c r="T56" s="9"/>
      <c r="U56" s="134"/>
      <c r="V56" s="152"/>
      <c r="W56" s="326"/>
      <c r="X56" s="647">
        <v>16</v>
      </c>
      <c r="Y56" s="50" t="str">
        <f t="shared" si="11"/>
        <v>Surrey</v>
      </c>
      <c r="Z56" s="45">
        <v>17</v>
      </c>
      <c r="AA56" s="46">
        <f>IF(H24&gt;0,IDACI!D24,0)</f>
        <v>221989</v>
      </c>
      <c r="AB56" s="46">
        <f>IF(H24&gt;0,IDACI!E24,0)</f>
        <v>21532.933000000005</v>
      </c>
      <c r="AI56" s="642" t="b">
        <v>1</v>
      </c>
      <c r="AJ56" s="178" t="s">
        <v>116</v>
      </c>
      <c r="AK56" s="101" t="str">
        <f t="shared" si="9"/>
        <v>Swindon</v>
      </c>
      <c r="AL56" s="164">
        <f t="shared" si="10"/>
        <v>337.78705636743211</v>
      </c>
      <c r="AM56" s="164">
        <f t="shared" si="10"/>
        <v>386.62551440329219</v>
      </c>
      <c r="AN56" s="164">
        <f t="shared" si="10"/>
        <v>401.63265306122452</v>
      </c>
      <c r="AO56" s="164">
        <f t="shared" si="10"/>
        <v>387.97460676883264</v>
      </c>
      <c r="AP56" s="164">
        <f t="shared" si="10"/>
        <v>543.42600753144779</v>
      </c>
      <c r="AQ56" s="165">
        <f t="shared" si="12"/>
        <v>17.2</v>
      </c>
      <c r="AR56" s="398"/>
      <c r="AS56" s="398"/>
      <c r="AT56" s="398"/>
      <c r="AU56" s="398"/>
      <c r="AV56" s="398"/>
    </row>
    <row r="57" spans="1:48" ht="14.25" customHeight="1" x14ac:dyDescent="0.2">
      <c r="A57" s="309"/>
      <c r="B57" s="415"/>
      <c r="C57" s="415"/>
      <c r="D57" s="58"/>
      <c r="E57" s="58"/>
      <c r="F57" s="58"/>
      <c r="G57" s="58"/>
      <c r="H57" s="58"/>
      <c r="I57" s="58"/>
      <c r="J57" s="13"/>
      <c r="K57" s="15"/>
      <c r="L57" s="15"/>
      <c r="M57" s="15"/>
      <c r="N57" s="15"/>
      <c r="O57" s="9"/>
      <c r="P57" s="9"/>
      <c r="Q57" s="9"/>
      <c r="R57" s="9"/>
      <c r="S57" s="9"/>
      <c r="T57" s="9"/>
      <c r="U57" s="134"/>
      <c r="V57" s="152"/>
      <c r="W57" s="326"/>
      <c r="X57" s="647">
        <v>17</v>
      </c>
      <c r="Y57" s="50" t="str">
        <f t="shared" si="11"/>
        <v>Swindon</v>
      </c>
      <c r="Z57" s="45">
        <v>18</v>
      </c>
      <c r="AA57" s="46">
        <f>IF(H25&gt;0,IDACI!D25,0)</f>
        <v>42184</v>
      </c>
      <c r="AB57" s="46">
        <f>IF(H25&gt;0,IDACI!E25,0)</f>
        <v>7255.6479999999992</v>
      </c>
      <c r="AI57" s="642" t="b">
        <v>1</v>
      </c>
      <c r="AJ57" s="178" t="s">
        <v>117</v>
      </c>
      <c r="AK57" s="101" t="str">
        <f t="shared" si="9"/>
        <v>Torbay</v>
      </c>
      <c r="AL57" s="164">
        <f t="shared" si="10"/>
        <v>743.14516129032256</v>
      </c>
      <c r="AM57" s="164">
        <f t="shared" si="10"/>
        <v>619.52191235059763</v>
      </c>
      <c r="AN57" s="164">
        <f t="shared" si="10"/>
        <v>468.25396825396825</v>
      </c>
      <c r="AO57" s="164">
        <f t="shared" si="10"/>
        <v>471.3672013557719</v>
      </c>
      <c r="AP57" s="164">
        <f t="shared" si="10"/>
        <v>455.9940197505606</v>
      </c>
      <c r="AQ57" s="165">
        <f t="shared" si="12"/>
        <v>24.1</v>
      </c>
      <c r="AR57" s="398"/>
      <c r="AS57" s="398"/>
      <c r="AT57" s="398"/>
      <c r="AU57" s="398"/>
      <c r="AV57" s="398"/>
    </row>
    <row r="58" spans="1:48" ht="14.25" customHeight="1" x14ac:dyDescent="0.2">
      <c r="A58" s="135"/>
      <c r="B58" s="415"/>
      <c r="C58" s="415"/>
      <c r="D58" s="58"/>
      <c r="E58" s="58"/>
      <c r="F58" s="58"/>
      <c r="G58" s="58"/>
      <c r="H58" s="58"/>
      <c r="I58" s="58"/>
      <c r="J58" s="13"/>
      <c r="K58" s="15"/>
      <c r="L58" s="15"/>
      <c r="M58" s="15"/>
      <c r="N58" s="15"/>
      <c r="O58" s="9"/>
      <c r="P58" s="9"/>
      <c r="Q58" s="9"/>
      <c r="R58" s="9"/>
      <c r="S58" s="9"/>
      <c r="T58" s="9"/>
      <c r="U58" s="134"/>
      <c r="V58" s="152"/>
      <c r="W58" s="326"/>
      <c r="X58" s="647">
        <v>18</v>
      </c>
      <c r="Y58" s="50" t="str">
        <f t="shared" si="11"/>
        <v>Torbay</v>
      </c>
      <c r="Z58" s="45">
        <v>19</v>
      </c>
      <c r="AA58" s="46">
        <f>IF(H26&gt;0,IDACI!D26,0)</f>
        <v>21714</v>
      </c>
      <c r="AB58" s="46">
        <f>IF(H26&gt;0,IDACI!E26,0)</f>
        <v>5233.0740000000005</v>
      </c>
      <c r="AI58" s="642" t="b">
        <v>1</v>
      </c>
      <c r="AJ58" s="178" t="s">
        <v>16</v>
      </c>
      <c r="AK58" s="101" t="str">
        <f t="shared" si="9"/>
        <v>West Berkshire</v>
      </c>
      <c r="AL58" s="164">
        <f t="shared" si="10"/>
        <v>234.73389355742299</v>
      </c>
      <c r="AM58" s="164">
        <f t="shared" si="10"/>
        <v>268.25842696629218</v>
      </c>
      <c r="AN58" s="164">
        <f t="shared" si="10"/>
        <v>295.23809523809524</v>
      </c>
      <c r="AO58" s="164">
        <f t="shared" si="10"/>
        <v>273.85822827085246</v>
      </c>
      <c r="AP58" s="164">
        <f t="shared" si="10"/>
        <v>285.27521654093323</v>
      </c>
      <c r="AQ58" s="165">
        <f t="shared" si="12"/>
        <v>10.4</v>
      </c>
      <c r="AR58" s="398"/>
      <c r="AS58" s="398"/>
      <c r="AT58" s="398"/>
      <c r="AU58" s="398"/>
      <c r="AV58" s="398"/>
    </row>
    <row r="59" spans="1:48" ht="14.25" customHeight="1" x14ac:dyDescent="0.2">
      <c r="A59" s="135"/>
      <c r="B59" s="415"/>
      <c r="C59" s="415"/>
      <c r="D59" s="58"/>
      <c r="E59" s="58"/>
      <c r="F59" s="58"/>
      <c r="G59" s="58"/>
      <c r="H59" s="58"/>
      <c r="I59" s="58"/>
      <c r="J59" s="13"/>
      <c r="K59" s="15"/>
      <c r="L59" s="15"/>
      <c r="M59" s="15"/>
      <c r="N59" s="15"/>
      <c r="O59" s="9"/>
      <c r="P59" s="9"/>
      <c r="Q59" s="9"/>
      <c r="R59" s="9"/>
      <c r="S59" s="9"/>
      <c r="T59" s="9"/>
      <c r="U59" s="134"/>
      <c r="V59" s="152"/>
      <c r="W59" s="326"/>
      <c r="X59" s="647">
        <v>19</v>
      </c>
      <c r="Y59" s="50" t="str">
        <f t="shared" si="11"/>
        <v>West Berkshire</v>
      </c>
      <c r="Z59" s="45">
        <v>20</v>
      </c>
      <c r="AA59" s="46">
        <f>IF(H27&gt;0,IDACI!D27,0)</f>
        <v>31302</v>
      </c>
      <c r="AB59" s="46">
        <f>IF(H27&gt;0,IDACI!E27,0)</f>
        <v>3255.4080000000004</v>
      </c>
      <c r="AI59" s="642" t="b">
        <v>1</v>
      </c>
      <c r="AJ59" s="178" t="s">
        <v>5</v>
      </c>
      <c r="AK59" s="101" t="str">
        <f t="shared" si="9"/>
        <v>West Sussex</v>
      </c>
      <c r="AL59" s="164">
        <f t="shared" si="10"/>
        <v>298.14371257485027</v>
      </c>
      <c r="AM59" s="164">
        <f t="shared" si="10"/>
        <v>282.34597156398104</v>
      </c>
      <c r="AN59" s="164">
        <f t="shared" si="10"/>
        <v>227.52347417840377</v>
      </c>
      <c r="AO59" s="164">
        <f t="shared" si="10"/>
        <v>279.57452506680795</v>
      </c>
      <c r="AP59" s="164">
        <f t="shared" si="10"/>
        <v>417.41448860521348</v>
      </c>
      <c r="AQ59" s="165">
        <f t="shared" si="12"/>
        <v>12.9</v>
      </c>
      <c r="AR59" s="398"/>
      <c r="AS59" s="398"/>
      <c r="AT59" s="398"/>
      <c r="AU59" s="398"/>
      <c r="AV59" s="398"/>
    </row>
    <row r="60" spans="1:48" s="88" customFormat="1" ht="14.25" customHeight="1" x14ac:dyDescent="0.2">
      <c r="A60" s="135"/>
      <c r="B60" s="415"/>
      <c r="C60" s="415"/>
      <c r="D60" s="58"/>
      <c r="E60" s="58"/>
      <c r="F60" s="58"/>
      <c r="G60" s="58"/>
      <c r="H60" s="58"/>
      <c r="I60" s="58"/>
      <c r="J60" s="13"/>
      <c r="K60" s="15"/>
      <c r="L60" s="15"/>
      <c r="M60" s="15"/>
      <c r="N60" s="15"/>
      <c r="O60" s="9"/>
      <c r="P60" s="9"/>
      <c r="Q60" s="9"/>
      <c r="R60" s="9"/>
      <c r="S60" s="9"/>
      <c r="T60" s="9"/>
      <c r="U60" s="134"/>
      <c r="V60" s="152"/>
      <c r="W60" s="326"/>
      <c r="X60" s="647">
        <v>20</v>
      </c>
      <c r="Y60" s="50" t="str">
        <f t="shared" si="11"/>
        <v>West Sussex</v>
      </c>
      <c r="Z60" s="45">
        <v>21</v>
      </c>
      <c r="AA60" s="46">
        <f>IF(H28&gt;0,IDACI!D28,0)</f>
        <v>146958</v>
      </c>
      <c r="AB60" s="46">
        <f>IF(H28&gt;0,IDACI!E28,0)</f>
        <v>18957.582000000002</v>
      </c>
      <c r="AI60" s="642" t="b">
        <v>1</v>
      </c>
      <c r="AJ60" s="178" t="s">
        <v>31</v>
      </c>
      <c r="AK60" s="101" t="str">
        <f t="shared" si="9"/>
        <v>Windsor &amp; Maidenhead</v>
      </c>
      <c r="AL60" s="164">
        <f t="shared" si="10"/>
        <v>285.58558558558559</v>
      </c>
      <c r="AM60" s="164">
        <f t="shared" si="10"/>
        <v>251.79640718562877</v>
      </c>
      <c r="AN60" s="164">
        <f t="shared" si="10"/>
        <v>300.593471810089</v>
      </c>
      <c r="AO60" s="164">
        <f t="shared" si="10"/>
        <v>280.6062734082397</v>
      </c>
      <c r="AP60" s="164">
        <f t="shared" si="10"/>
        <v>223.27666511411272</v>
      </c>
      <c r="AQ60" s="165">
        <f t="shared" si="12"/>
        <v>8.4</v>
      </c>
      <c r="AR60" s="398"/>
      <c r="AS60" s="398"/>
      <c r="AT60" s="398"/>
      <c r="AU60" s="398"/>
      <c r="AV60" s="398"/>
    </row>
    <row r="61" spans="1:48" s="88" customFormat="1" ht="14.25" customHeight="1" x14ac:dyDescent="0.2">
      <c r="A61" s="135"/>
      <c r="B61" s="415"/>
      <c r="C61" s="415"/>
      <c r="D61" s="58"/>
      <c r="E61" s="58"/>
      <c r="F61" s="58"/>
      <c r="G61" s="58"/>
      <c r="H61" s="58"/>
      <c r="I61" s="58"/>
      <c r="J61" s="13"/>
      <c r="K61" s="15"/>
      <c r="L61" s="15"/>
      <c r="M61" s="15"/>
      <c r="N61" s="15"/>
      <c r="O61" s="9"/>
      <c r="P61" s="9"/>
      <c r="Q61" s="9"/>
      <c r="R61" s="9"/>
      <c r="S61" s="9"/>
      <c r="T61" s="9"/>
      <c r="U61" s="134"/>
      <c r="V61" s="152"/>
      <c r="W61" s="326"/>
      <c r="X61" s="647">
        <v>21</v>
      </c>
      <c r="Y61" s="50" t="str">
        <f t="shared" si="11"/>
        <v>Windsor &amp; Maidenhead</v>
      </c>
      <c r="Z61" s="45">
        <v>22</v>
      </c>
      <c r="AA61" s="46">
        <f>IF(H29&gt;0,IDACI!D29,0)</f>
        <v>29154</v>
      </c>
      <c r="AB61" s="46">
        <f>IF(H29&gt;0,IDACI!E29,0)</f>
        <v>2448.9360000000001</v>
      </c>
      <c r="AI61" s="642" t="b">
        <v>1</v>
      </c>
      <c r="AJ61" s="178" t="s">
        <v>17</v>
      </c>
      <c r="AK61" s="101" t="str">
        <f t="shared" si="9"/>
        <v>Wokingham</v>
      </c>
      <c r="AL61" s="164">
        <f t="shared" si="10"/>
        <v>149.44751381215471</v>
      </c>
      <c r="AM61" s="164">
        <f t="shared" si="10"/>
        <v>141.73441734417344</v>
      </c>
      <c r="AN61" s="164">
        <f t="shared" si="10"/>
        <v>150.93833780160858</v>
      </c>
      <c r="AO61" s="164">
        <f t="shared" si="10"/>
        <v>175.43859649122805</v>
      </c>
      <c r="AP61" s="164">
        <f t="shared" si="10"/>
        <v>250.37465764043202</v>
      </c>
      <c r="AQ61" s="165">
        <f t="shared" si="12"/>
        <v>6.8000000000000007</v>
      </c>
      <c r="AR61" s="398"/>
      <c r="AS61" s="398"/>
      <c r="AT61" s="398"/>
      <c r="AU61" s="398"/>
      <c r="AV61" s="398"/>
    </row>
    <row r="62" spans="1:48" s="88" customFormat="1" ht="14.25" customHeight="1" x14ac:dyDescent="0.2">
      <c r="A62" s="135"/>
      <c r="B62" s="415"/>
      <c r="C62" s="415"/>
      <c r="D62" s="58"/>
      <c r="E62" s="58"/>
      <c r="F62" s="58"/>
      <c r="G62" s="58"/>
      <c r="H62" s="58"/>
      <c r="I62" s="58"/>
      <c r="J62" s="13"/>
      <c r="K62" s="15"/>
      <c r="L62" s="15"/>
      <c r="M62" s="15"/>
      <c r="N62" s="15"/>
      <c r="O62" s="9"/>
      <c r="P62" s="9"/>
      <c r="Q62" s="9"/>
      <c r="R62" s="9"/>
      <c r="S62" s="9"/>
      <c r="T62" s="9"/>
      <c r="U62" s="134"/>
      <c r="V62" s="152"/>
      <c r="W62" s="326"/>
      <c r="X62" s="647">
        <v>22</v>
      </c>
      <c r="Y62" s="50" t="str">
        <f t="shared" si="11"/>
        <v>Wokingham</v>
      </c>
      <c r="Z62" s="45">
        <v>23</v>
      </c>
      <c r="AA62" s="46">
        <f>IF(H30&gt;0,IDACI!D30,0)</f>
        <v>31967</v>
      </c>
      <c r="AB62" s="46">
        <f>IF(H30&gt;0,IDACI!E30,0)</f>
        <v>2173.7560000000003</v>
      </c>
      <c r="AI62" s="642" t="b">
        <v>1</v>
      </c>
      <c r="AJ62" s="178" t="s">
        <v>74</v>
      </c>
      <c r="AK62" s="101" t="str">
        <f t="shared" si="9"/>
        <v>South East</v>
      </c>
      <c r="AL62" s="164">
        <f t="shared" si="10"/>
        <v>287.87894848420603</v>
      </c>
      <c r="AM62" s="164">
        <f t="shared" si="10"/>
        <v>283.05850225816619</v>
      </c>
      <c r="AN62" s="164">
        <f t="shared" si="10"/>
        <v>302.95605025806788</v>
      </c>
      <c r="AO62" s="164">
        <f t="shared" si="10"/>
        <v>302.45298839795095</v>
      </c>
      <c r="AP62" s="164">
        <f t="shared" si="10"/>
        <v>317.51176136202872</v>
      </c>
      <c r="AQ62" s="165">
        <f t="shared" si="12"/>
        <v>14.45223640702325</v>
      </c>
      <c r="AR62" s="398"/>
      <c r="AS62" s="398"/>
      <c r="AT62" s="398"/>
      <c r="AU62" s="398"/>
      <c r="AV62" s="398"/>
    </row>
    <row r="63" spans="1:48" s="88" customFormat="1" ht="14.25" customHeight="1" x14ac:dyDescent="0.2">
      <c r="A63" s="135"/>
      <c r="B63" s="415"/>
      <c r="C63" s="415"/>
      <c r="D63" s="58"/>
      <c r="E63" s="58"/>
      <c r="F63" s="58"/>
      <c r="G63" s="58"/>
      <c r="H63" s="58"/>
      <c r="I63" s="58"/>
      <c r="J63" s="13"/>
      <c r="K63" s="9"/>
      <c r="L63" s="127"/>
      <c r="M63" s="1027" t="s">
        <v>72</v>
      </c>
      <c r="N63" s="1028"/>
      <c r="O63" s="1029"/>
      <c r="P63" s="416"/>
      <c r="Q63" s="1030" t="s">
        <v>101</v>
      </c>
      <c r="R63" s="1031"/>
      <c r="S63" s="1031"/>
      <c r="T63" s="1032"/>
      <c r="U63" s="134"/>
      <c r="V63" s="152"/>
      <c r="W63" s="326"/>
      <c r="X63" s="647">
        <v>23</v>
      </c>
      <c r="Y63" s="50" t="str">
        <f t="shared" si="11"/>
        <v>South East</v>
      </c>
      <c r="Z63" s="45">
        <v>24</v>
      </c>
      <c r="AA63" s="46">
        <f>SUM(AA55:AA56,AA41:AA53,AA59:AA62)</f>
        <v>1662421</v>
      </c>
      <c r="AB63" s="46">
        <f>SUM(AB55:AB56,AB41:AB53,AB59:AB62)</f>
        <v>240257.01299999995</v>
      </c>
      <c r="AI63" s="642" t="b">
        <v>1</v>
      </c>
      <c r="AJ63" s="178" t="s">
        <v>130</v>
      </c>
      <c r="AK63" s="101" t="str">
        <f t="shared" si="9"/>
        <v>England</v>
      </c>
      <c r="AL63" s="164">
        <f>VLOOKUP($AK63,$B$9:$O$32,AL$36,FALSE)</f>
        <v>346.37465262350923</v>
      </c>
      <c r="AM63" s="164">
        <f t="shared" ref="AM63:AP63" si="13">VLOOKUP($AK63,$B$9:$O$32,AM$36,FALSE)</f>
        <v>337.31031686465315</v>
      </c>
      <c r="AN63" s="164">
        <f t="shared" si="13"/>
        <v>337.73195523167698</v>
      </c>
      <c r="AO63" s="164">
        <f t="shared" si="13"/>
        <v>330.4377147859995</v>
      </c>
      <c r="AP63" s="164">
        <f t="shared" si="13"/>
        <v>341.03940883918267</v>
      </c>
      <c r="AQ63" s="165" t="e">
        <f t="shared" si="12"/>
        <v>#N/A</v>
      </c>
      <c r="AR63" s="398"/>
      <c r="AS63" s="398"/>
      <c r="AT63" s="398"/>
      <c r="AU63" s="398"/>
      <c r="AV63" s="398"/>
    </row>
    <row r="64" spans="1:48" s="88" customFormat="1" ht="11.25" customHeight="1" x14ac:dyDescent="0.2">
      <c r="A64" s="135"/>
      <c r="B64" s="415"/>
      <c r="C64" s="415"/>
      <c r="D64" s="58"/>
      <c r="E64" s="58"/>
      <c r="F64" s="58"/>
      <c r="G64" s="58"/>
      <c r="H64" s="58"/>
      <c r="I64" s="58"/>
      <c r="J64" s="13"/>
      <c r="K64" s="9"/>
      <c r="L64" s="481"/>
      <c r="M64" s="1030" t="str">
        <f>Z4</f>
        <v>Selected LA- (none)</v>
      </c>
      <c r="N64" s="1031"/>
      <c r="O64" s="1031"/>
      <c r="P64" s="1032"/>
      <c r="Q64" s="1035"/>
      <c r="R64" s="1036"/>
      <c r="S64" s="1037" t="s">
        <v>205</v>
      </c>
      <c r="T64" s="1038"/>
      <c r="U64" s="134"/>
      <c r="V64" s="152"/>
      <c r="W64" s="168"/>
      <c r="X64" s="647">
        <v>24</v>
      </c>
      <c r="Y64" s="50" t="str">
        <f t="shared" si="11"/>
        <v>England</v>
      </c>
      <c r="Z64" s="45">
        <v>25</v>
      </c>
      <c r="AA64" s="46">
        <f>IF(H32&gt;0,IDACI!D32,0)</f>
        <v>10130158</v>
      </c>
      <c r="AB64" s="46">
        <f>IF(H32&gt;0,IDACI!E32,0)</f>
        <v>2016166</v>
      </c>
      <c r="AJ64" s="179"/>
      <c r="AK64" s="80" t="str">
        <f>Z4</f>
        <v>Selected LA- (none)</v>
      </c>
      <c r="AL64" s="166" t="e">
        <f>VLOOKUP($Y4,$B$9:$O$31,AL$36,FALSE)</f>
        <v>#N/A</v>
      </c>
      <c r="AM64" s="166" t="e">
        <f>VLOOKUP($Y4,$B$9:$O$31,AM$36,FALSE)</f>
        <v>#N/A</v>
      </c>
      <c r="AN64" s="166" t="e">
        <f>VLOOKUP($Y4,$B$9:$O$31,AN$36,FALSE)</f>
        <v>#N/A</v>
      </c>
      <c r="AO64" s="166" t="e">
        <f>VLOOKUP($Y4,$B$9:$O$31,AO$36,FALSE)</f>
        <v>#N/A</v>
      </c>
      <c r="AP64" s="166" t="e">
        <f>VLOOKUP($Y4,$B$9:$O$31,AP$36,FALSE)</f>
        <v>#N/A</v>
      </c>
      <c r="AQ64" s="165" t="e">
        <f>VLOOKUP(Y4,$B$9:$T$31,17,FALSE)</f>
        <v>#N/A</v>
      </c>
      <c r="AR64" s="191"/>
      <c r="AS64" s="191"/>
      <c r="AT64" s="191"/>
      <c r="AU64" s="191"/>
      <c r="AV64" s="191"/>
    </row>
    <row r="65" spans="1:44" s="88" customFormat="1" ht="42" customHeight="1" x14ac:dyDescent="0.2">
      <c r="A65" s="135"/>
      <c r="B65" s="415"/>
      <c r="C65" s="415"/>
      <c r="D65" s="58"/>
      <c r="E65" s="58"/>
      <c r="F65" s="58"/>
      <c r="G65" s="58"/>
      <c r="H65" s="58"/>
      <c r="I65" s="58"/>
      <c r="J65" s="13"/>
      <c r="K65" s="9"/>
      <c r="L65" s="9"/>
      <c r="M65" s="9"/>
      <c r="N65" s="9"/>
      <c r="O65" s="9"/>
      <c r="P65" s="9"/>
      <c r="Q65" s="9"/>
      <c r="R65" s="9"/>
      <c r="S65" s="9"/>
      <c r="T65" s="9"/>
      <c r="U65" s="134"/>
      <c r="V65" s="152"/>
      <c r="W65" s="168"/>
      <c r="X65" s="44" t="s">
        <v>72</v>
      </c>
      <c r="Y65" s="240" t="s">
        <v>70</v>
      </c>
      <c r="Z65" s="44" t="s">
        <v>71</v>
      </c>
      <c r="AA65" s="241">
        <v>5</v>
      </c>
      <c r="AB65" s="242">
        <f>(AA65*Y66)+Z66</f>
        <v>244.76299999999998</v>
      </c>
      <c r="AJ65" s="179"/>
    </row>
    <row r="66" spans="1:44" s="101" customFormat="1" ht="41.25" customHeight="1" x14ac:dyDescent="0.2">
      <c r="A66" s="138"/>
      <c r="B66" s="126"/>
      <c r="C66" s="126"/>
      <c r="D66" s="126"/>
      <c r="E66" s="126"/>
      <c r="F66" s="126"/>
      <c r="G66" s="126"/>
      <c r="H66" s="126"/>
      <c r="I66" s="126"/>
      <c r="J66" s="115"/>
      <c r="K66" s="97"/>
      <c r="L66" s="97"/>
      <c r="M66" s="97"/>
      <c r="N66" s="97"/>
      <c r="O66" s="97"/>
      <c r="P66" s="97"/>
      <c r="Q66" s="97"/>
      <c r="R66" s="97"/>
      <c r="S66" s="97"/>
      <c r="T66" s="97"/>
      <c r="U66" s="139"/>
      <c r="V66" s="154"/>
      <c r="W66" s="170"/>
      <c r="X66" s="243" t="str">
        <f>"Y= "&amp;Y66&amp;"x + "&amp;Z66</f>
        <v>Y= 8.6946x + 201.29</v>
      </c>
      <c r="Y66" s="840">
        <v>8.6945999999999994</v>
      </c>
      <c r="Z66" s="840">
        <v>201.29</v>
      </c>
      <c r="AA66" s="246">
        <v>35</v>
      </c>
      <c r="AB66" s="247">
        <f>(AA66*Y66)+Z66</f>
        <v>505.601</v>
      </c>
      <c r="AC66" s="217"/>
      <c r="AD66" s="217"/>
      <c r="AE66" s="217"/>
      <c r="AF66" s="217"/>
      <c r="AG66" s="217"/>
      <c r="AH66" s="217"/>
      <c r="AI66" s="232"/>
      <c r="AJ66" s="178"/>
    </row>
    <row r="67" spans="1:44" s="101" customFormat="1" ht="42" customHeight="1" x14ac:dyDescent="0.2">
      <c r="A67" s="138"/>
      <c r="B67" s="126"/>
      <c r="C67" s="126"/>
      <c r="D67" s="126"/>
      <c r="E67" s="126"/>
      <c r="F67" s="126"/>
      <c r="G67" s="126"/>
      <c r="H67" s="126"/>
      <c r="I67" s="126"/>
      <c r="J67" s="115"/>
      <c r="K67" s="97"/>
      <c r="L67" s="97"/>
      <c r="M67" s="97"/>
      <c r="N67" s="97"/>
      <c r="O67" s="97"/>
      <c r="P67" s="97"/>
      <c r="Q67" s="97"/>
      <c r="R67" s="97"/>
      <c r="S67" s="97"/>
      <c r="T67" s="97"/>
      <c r="U67" s="139"/>
      <c r="V67" s="154"/>
      <c r="W67" s="423"/>
      <c r="X67" s="44" t="s">
        <v>216</v>
      </c>
      <c r="Y67" s="240" t="s">
        <v>70</v>
      </c>
      <c r="Z67" s="44" t="s">
        <v>71</v>
      </c>
      <c r="AA67" s="241">
        <v>5</v>
      </c>
      <c r="AB67" s="242">
        <f>(AA67*Y68)+Z68</f>
        <v>213.58725999999999</v>
      </c>
      <c r="AC67" s="843" t="s">
        <v>861</v>
      </c>
      <c r="AD67" s="217"/>
      <c r="AE67" s="217"/>
      <c r="AF67" s="217"/>
      <c r="AG67" s="217"/>
      <c r="AH67" s="217"/>
      <c r="AI67" s="232"/>
      <c r="AJ67" s="178"/>
    </row>
    <row r="68" spans="1:44" ht="7.5" customHeight="1" x14ac:dyDescent="0.2">
      <c r="A68" s="135"/>
      <c r="B68" s="18"/>
      <c r="C68" s="18"/>
      <c r="D68" s="17"/>
      <c r="E68" s="17"/>
      <c r="F68" s="17"/>
      <c r="G68" s="17"/>
      <c r="H68" s="17"/>
      <c r="I68" s="17"/>
      <c r="J68" s="13"/>
      <c r="K68" s="19"/>
      <c r="L68" s="19"/>
      <c r="M68" s="19"/>
      <c r="N68" s="19"/>
      <c r="O68" s="19"/>
      <c r="P68" s="19"/>
      <c r="Q68" s="19"/>
      <c r="R68" s="19"/>
      <c r="S68" s="19"/>
      <c r="T68" s="20"/>
      <c r="U68" s="134"/>
      <c r="V68" s="152"/>
      <c r="W68" s="168"/>
      <c r="X68" s="243" t="str">
        <f>"Y= "&amp;Y68&amp;"x + "&amp;Z68</f>
        <v>Y= 9.525212x + 165.9612</v>
      </c>
      <c r="Y68" s="844">
        <v>9.5252119999999998</v>
      </c>
      <c r="Z68" s="845">
        <v>165.96119999999999</v>
      </c>
      <c r="AA68" s="246">
        <v>35</v>
      </c>
      <c r="AB68" s="247">
        <f>(AA68*Y68)+Z68</f>
        <v>499.34361999999999</v>
      </c>
      <c r="AI68" s="210"/>
      <c r="AJ68" s="175"/>
    </row>
    <row r="69" spans="1:44" ht="15" customHeight="1" x14ac:dyDescent="0.2">
      <c r="A69" s="1010"/>
      <c r="B69" s="1018"/>
      <c r="C69" s="1018"/>
      <c r="D69" s="1018"/>
      <c r="E69" s="1018"/>
      <c r="F69" s="1018"/>
      <c r="G69" s="1018"/>
      <c r="H69" s="1018"/>
      <c r="I69" s="1018"/>
      <c r="J69" s="1018"/>
      <c r="K69" s="1018"/>
      <c r="L69" s="1018"/>
      <c r="M69" s="1018"/>
      <c r="N69" s="1018"/>
      <c r="O69" s="1018"/>
      <c r="P69" s="1018"/>
      <c r="Q69" s="1018"/>
      <c r="R69" s="1018"/>
      <c r="S69" s="1018"/>
      <c r="T69" s="1018"/>
      <c r="U69" s="1019"/>
      <c r="V69" s="152"/>
      <c r="W69" s="168"/>
      <c r="X69" s="43">
        <f>D8</f>
        <v>2014</v>
      </c>
      <c r="Y69" s="43">
        <f>E8</f>
        <v>2015</v>
      </c>
      <c r="Z69" s="43">
        <f>F8</f>
        <v>2016</v>
      </c>
      <c r="AA69" s="43">
        <f>G8</f>
        <v>2017</v>
      </c>
      <c r="AB69" s="43">
        <f>H8</f>
        <v>2018</v>
      </c>
      <c r="AI69" s="210"/>
      <c r="AJ69" s="175"/>
    </row>
    <row r="70" spans="1:44" ht="11.25" customHeight="1" x14ac:dyDescent="0.2">
      <c r="A70" s="1020" t="str">
        <f>Home!$A$35</f>
        <v>LA's provide quarterly data on the condition that it is used by the benchmarking group for internal reporting only. Please DO NOT share other LA's data with any external partners or the public</v>
      </c>
      <c r="B70" s="1021"/>
      <c r="C70" s="1021"/>
      <c r="D70" s="1021"/>
      <c r="E70" s="1021"/>
      <c r="F70" s="1021"/>
      <c r="G70" s="1021"/>
      <c r="H70" s="1021"/>
      <c r="I70" s="1022"/>
      <c r="J70" s="1021"/>
      <c r="K70" s="1021"/>
      <c r="L70" s="1021"/>
      <c r="M70" s="1021"/>
      <c r="N70" s="1021"/>
      <c r="O70" s="1021"/>
      <c r="P70" s="1021"/>
      <c r="Q70" s="1021"/>
      <c r="R70" s="1021"/>
      <c r="S70" s="1022"/>
      <c r="T70" s="1021"/>
      <c r="U70" s="1023"/>
      <c r="V70" s="152"/>
      <c r="W70" s="168"/>
      <c r="X70" s="47" t="e">
        <f ca="1">IF(OFFSET(K8,$X$4,0)=0,NA(),OFFSET(K8,$X$4,0))</f>
        <v>#N/A</v>
      </c>
      <c r="Y70" s="248" t="e">
        <f ca="1">IF(OFFSET(L8,$X$4,0)=0,NA(),OFFSET(L8,$X$4,0))</f>
        <v>#N/A</v>
      </c>
      <c r="Z70" s="47" t="e">
        <f ca="1">IF(OFFSET(M8,$X$4,0)=0,NA(),OFFSET(M8,$X$4,0))</f>
        <v>#N/A</v>
      </c>
      <c r="AA70" s="47" t="e">
        <f ca="1">IF(OFFSET(N8,$X$4,0)=0,NA(),OFFSET(N8,$X$4,0))</f>
        <v>#N/A</v>
      </c>
      <c r="AB70" s="47" t="e">
        <f ca="1">IF(OFFSET(O8,$X$4,0)=0,NA(),OFFSET(O8,$X$4,0))</f>
        <v>#N/A</v>
      </c>
      <c r="AI70" s="210"/>
      <c r="AJ70" s="175"/>
    </row>
    <row r="71" spans="1:44" ht="11.25" customHeight="1" x14ac:dyDescent="0.2">
      <c r="A71" s="129"/>
      <c r="B71" s="130"/>
      <c r="C71" s="130"/>
      <c r="D71" s="130"/>
      <c r="E71" s="130"/>
      <c r="F71" s="130"/>
      <c r="G71" s="130"/>
      <c r="H71" s="130"/>
      <c r="I71" s="130"/>
      <c r="J71" s="131"/>
      <c r="K71" s="130"/>
      <c r="L71" s="130"/>
      <c r="M71" s="130"/>
      <c r="N71" s="130"/>
      <c r="O71" s="130"/>
      <c r="P71" s="130"/>
      <c r="Q71" s="130"/>
      <c r="R71" s="130"/>
      <c r="S71" s="130"/>
      <c r="T71" s="130"/>
      <c r="U71" s="132"/>
      <c r="V71" s="152"/>
      <c r="W71" s="168"/>
      <c r="X71" s="215"/>
      <c r="Y71" s="215"/>
      <c r="Z71" s="215"/>
      <c r="AI71" s="210"/>
      <c r="AJ71" s="175"/>
    </row>
    <row r="72" spans="1:44" s="82" customFormat="1" ht="15" customHeight="1" x14ac:dyDescent="0.2">
      <c r="A72" s="136"/>
      <c r="B72" s="60"/>
      <c r="C72" s="414"/>
      <c r="D72" s="414"/>
      <c r="E72" s="414"/>
      <c r="F72" s="414"/>
      <c r="G72" s="414"/>
      <c r="H72" s="414"/>
      <c r="I72" s="414"/>
      <c r="J72" s="70"/>
      <c r="K72" s="70"/>
      <c r="L72" s="70"/>
      <c r="M72" s="70"/>
      <c r="N72" s="409"/>
      <c r="O72" s="70"/>
      <c r="P72" s="70"/>
      <c r="Q72" s="70"/>
      <c r="R72" s="70"/>
      <c r="S72" s="70"/>
      <c r="T72" s="70"/>
      <c r="U72" s="137"/>
      <c r="V72" s="153"/>
      <c r="W72" s="169"/>
      <c r="X72" s="215"/>
      <c r="Y72" s="215"/>
      <c r="Z72" s="215"/>
      <c r="AA72" s="215"/>
      <c r="AB72" s="215"/>
      <c r="AC72" s="215"/>
      <c r="AD72" s="215"/>
      <c r="AE72" s="215"/>
      <c r="AF72" s="215"/>
      <c r="AG72" s="215"/>
      <c r="AH72" s="215"/>
      <c r="AI72" s="215"/>
      <c r="AJ72" s="176"/>
    </row>
    <row r="73" spans="1:44" ht="13.5" customHeight="1" x14ac:dyDescent="0.2">
      <c r="A73" s="135"/>
      <c r="B73" s="414"/>
      <c r="C73" s="414"/>
      <c r="D73" s="414"/>
      <c r="E73" s="414"/>
      <c r="F73" s="414"/>
      <c r="G73" s="414"/>
      <c r="H73" s="414"/>
      <c r="I73" s="414"/>
      <c r="J73" s="70"/>
      <c r="K73" s="70"/>
      <c r="L73" s="70"/>
      <c r="M73" s="70"/>
      <c r="N73" s="409"/>
      <c r="O73" s="70"/>
      <c r="P73" s="70"/>
      <c r="Q73" s="10"/>
      <c r="R73" s="70"/>
      <c r="S73" s="70"/>
      <c r="T73" s="70"/>
      <c r="U73" s="134"/>
      <c r="V73" s="152"/>
      <c r="W73" s="168"/>
      <c r="X73" s="215"/>
      <c r="Y73" s="215"/>
      <c r="Z73" s="223"/>
      <c r="AA73" s="223"/>
      <c r="AB73" s="224"/>
      <c r="AC73" s="224"/>
      <c r="AI73" s="210"/>
      <c r="AJ73" s="175"/>
    </row>
    <row r="74" spans="1:44" s="101" customFormat="1" ht="12" customHeight="1" x14ac:dyDescent="0.2">
      <c r="A74" s="138"/>
      <c r="B74" s="414"/>
      <c r="C74" s="414"/>
      <c r="D74" s="414"/>
      <c r="E74" s="414"/>
      <c r="F74" s="414"/>
      <c r="G74" s="414"/>
      <c r="H74" s="414"/>
      <c r="I74" s="115"/>
      <c r="J74" s="115"/>
      <c r="K74" s="62"/>
      <c r="L74" s="62"/>
      <c r="M74" s="62"/>
      <c r="N74" s="62"/>
      <c r="O74" s="62"/>
      <c r="P74" s="417"/>
      <c r="Q74" s="417"/>
      <c r="R74" s="177"/>
      <c r="S74" s="177"/>
      <c r="T74" s="418"/>
      <c r="U74" s="139"/>
      <c r="V74" s="154"/>
      <c r="W74" s="170"/>
      <c r="X74" s="215"/>
      <c r="Y74" s="215"/>
      <c r="Z74" s="223"/>
      <c r="AA74" s="223"/>
      <c r="AB74" s="224"/>
      <c r="AC74" s="224"/>
      <c r="AD74" s="226"/>
      <c r="AE74" s="217"/>
      <c r="AF74" s="217"/>
      <c r="AG74" s="217"/>
      <c r="AH74" s="217"/>
      <c r="AI74" s="232"/>
      <c r="AJ74" s="178"/>
    </row>
    <row r="75" spans="1:44" s="101" customFormat="1" ht="24" customHeight="1" x14ac:dyDescent="0.2">
      <c r="A75" s="138"/>
      <c r="B75" s="414"/>
      <c r="C75" s="414"/>
      <c r="D75" s="414"/>
      <c r="E75" s="414"/>
      <c r="F75" s="414"/>
      <c r="G75" s="414"/>
      <c r="H75" s="414"/>
      <c r="I75" s="115"/>
      <c r="J75" s="115"/>
      <c r="K75" s="186"/>
      <c r="L75" s="186"/>
      <c r="M75" s="186"/>
      <c r="N75" s="186"/>
      <c r="O75" s="186"/>
      <c r="P75" s="186"/>
      <c r="Q75" s="187"/>
      <c r="R75" s="177"/>
      <c r="S75" s="177"/>
      <c r="T75" s="186"/>
      <c r="U75" s="139"/>
      <c r="V75" s="154"/>
      <c r="W75" s="170"/>
      <c r="Y75" s="403" t="s">
        <v>133</v>
      </c>
      <c r="Z75" s="404" t="s">
        <v>134</v>
      </c>
      <c r="AA75" s="223"/>
      <c r="AB75" s="224"/>
      <c r="AC75" s="224"/>
      <c r="AD75" s="226"/>
      <c r="AE75" s="217"/>
      <c r="AF75" s="217"/>
      <c r="AG75" s="217"/>
      <c r="AH75" s="217"/>
      <c r="AI75" s="232"/>
      <c r="AJ75" s="178"/>
    </row>
    <row r="76" spans="1:44" s="101" customFormat="1" ht="12.75" customHeight="1" x14ac:dyDescent="0.2">
      <c r="A76" s="138"/>
      <c r="B76" s="414"/>
      <c r="C76" s="414"/>
      <c r="D76" s="414"/>
      <c r="E76" s="414"/>
      <c r="F76" s="414"/>
      <c r="G76" s="414"/>
      <c r="H76" s="414"/>
      <c r="I76" s="115"/>
      <c r="J76" s="115"/>
      <c r="K76" s="186"/>
      <c r="L76" s="186"/>
      <c r="M76" s="186"/>
      <c r="N76" s="186"/>
      <c r="O76" s="186"/>
      <c r="P76" s="186"/>
      <c r="Q76" s="187"/>
      <c r="R76" s="177"/>
      <c r="S76" s="177"/>
      <c r="T76" s="186"/>
      <c r="U76" s="139"/>
      <c r="V76" s="154"/>
      <c r="W76" s="170"/>
      <c r="X76" s="405" t="str">
        <f>B9</f>
        <v>Bracknell Forest</v>
      </c>
      <c r="Y76" s="406" t="e">
        <f>IF(X76=$Y$4,I9,#N/A)</f>
        <v>#N/A</v>
      </c>
      <c r="Z76" s="406" t="e">
        <f>IF(X76=$Y$4,T9,#N/A)</f>
        <v>#N/A</v>
      </c>
      <c r="AA76" s="223"/>
      <c r="AB76" s="224"/>
      <c r="AC76" s="224"/>
      <c r="AD76" s="226"/>
      <c r="AE76" s="217"/>
      <c r="AF76" s="217"/>
      <c r="AG76" s="217"/>
      <c r="AH76" s="217"/>
      <c r="AI76" s="232"/>
      <c r="AJ76" s="178"/>
    </row>
    <row r="77" spans="1:44" s="101" customFormat="1" ht="12.75" customHeight="1" x14ac:dyDescent="0.2">
      <c r="A77" s="138"/>
      <c r="B77" s="414"/>
      <c r="C77" s="414"/>
      <c r="D77" s="414"/>
      <c r="E77" s="414"/>
      <c r="F77" s="414"/>
      <c r="G77" s="414"/>
      <c r="H77" s="414"/>
      <c r="I77" s="115"/>
      <c r="J77" s="115"/>
      <c r="K77" s="186"/>
      <c r="L77" s="186"/>
      <c r="M77" s="186"/>
      <c r="N77" s="186"/>
      <c r="O77" s="186"/>
      <c r="P77" s="186"/>
      <c r="Q77" s="187"/>
      <c r="R77" s="177"/>
      <c r="S77" s="177"/>
      <c r="T77" s="186"/>
      <c r="U77" s="139"/>
      <c r="V77" s="154"/>
      <c r="W77" s="170"/>
      <c r="X77" s="405" t="str">
        <f t="shared" ref="X77:X97" si="14">B10</f>
        <v>Brighton &amp; Hove</v>
      </c>
      <c r="Y77" s="406" t="e">
        <f t="shared" ref="Y77:Y99" si="15">IF(X77=$Y$4,I10,#N/A)</f>
        <v>#N/A</v>
      </c>
      <c r="Z77" s="406" t="e">
        <f t="shared" ref="Z77:Z99" si="16">IF(X77=$Y$4,T10,#N/A)</f>
        <v>#N/A</v>
      </c>
      <c r="AA77" s="223"/>
      <c r="AB77" s="224"/>
      <c r="AC77" s="224"/>
      <c r="AD77" s="226"/>
      <c r="AE77" s="217"/>
      <c r="AF77" s="217"/>
      <c r="AG77" s="217"/>
      <c r="AH77" s="217"/>
      <c r="AI77" s="232"/>
      <c r="AJ77" s="178"/>
    </row>
    <row r="78" spans="1:44" s="101" customFormat="1" ht="12.75" customHeight="1" x14ac:dyDescent="0.2">
      <c r="A78" s="138"/>
      <c r="B78" s="414"/>
      <c r="C78" s="414"/>
      <c r="D78" s="414"/>
      <c r="E78" s="414"/>
      <c r="F78" s="414"/>
      <c r="G78" s="414"/>
      <c r="H78" s="414"/>
      <c r="I78" s="115"/>
      <c r="J78" s="115"/>
      <c r="K78" s="186"/>
      <c r="L78" s="186"/>
      <c r="M78" s="186"/>
      <c r="N78" s="186"/>
      <c r="O78" s="186"/>
      <c r="P78" s="186"/>
      <c r="Q78" s="187"/>
      <c r="R78" s="177"/>
      <c r="S78" s="177"/>
      <c r="T78" s="186"/>
      <c r="U78" s="139"/>
      <c r="V78" s="154"/>
      <c r="W78" s="170"/>
      <c r="X78" s="405" t="str">
        <f t="shared" si="14"/>
        <v>Buckinghamshire</v>
      </c>
      <c r="Y78" s="406" t="e">
        <f t="shared" si="15"/>
        <v>#N/A</v>
      </c>
      <c r="Z78" s="406" t="e">
        <f t="shared" si="16"/>
        <v>#N/A</v>
      </c>
      <c r="AA78" s="223"/>
      <c r="AB78" s="224"/>
      <c r="AC78" s="224"/>
      <c r="AD78" s="226"/>
      <c r="AE78" s="217"/>
      <c r="AF78" s="217"/>
      <c r="AG78" s="217"/>
      <c r="AH78" s="217"/>
      <c r="AI78" s="232"/>
      <c r="AJ78" s="178"/>
    </row>
    <row r="79" spans="1:44" s="101" customFormat="1" ht="12.75" customHeight="1" x14ac:dyDescent="0.2">
      <c r="A79" s="138"/>
      <c r="B79" s="414"/>
      <c r="C79" s="414"/>
      <c r="D79" s="414"/>
      <c r="E79" s="414"/>
      <c r="F79" s="414"/>
      <c r="G79" s="414"/>
      <c r="H79" s="414"/>
      <c r="I79" s="115"/>
      <c r="J79" s="115"/>
      <c r="K79" s="186"/>
      <c r="L79" s="186"/>
      <c r="M79" s="186"/>
      <c r="N79" s="186"/>
      <c r="O79" s="186"/>
      <c r="P79" s="186"/>
      <c r="Q79" s="187"/>
      <c r="R79" s="177"/>
      <c r="S79" s="177"/>
      <c r="T79" s="186"/>
      <c r="U79" s="139"/>
      <c r="V79" s="154"/>
      <c r="W79" s="170"/>
      <c r="X79" s="405" t="str">
        <f t="shared" si="14"/>
        <v>East Sussex</v>
      </c>
      <c r="Y79" s="406" t="e">
        <f t="shared" si="15"/>
        <v>#N/A</v>
      </c>
      <c r="Z79" s="406" t="e">
        <f t="shared" si="16"/>
        <v>#N/A</v>
      </c>
      <c r="AA79" s="223"/>
      <c r="AB79" s="224"/>
      <c r="AC79" s="224"/>
      <c r="AD79" s="226"/>
      <c r="AE79" s="217"/>
      <c r="AF79" s="217"/>
      <c r="AG79" s="217"/>
      <c r="AH79" s="217"/>
      <c r="AI79" s="232"/>
      <c r="AJ79" s="178"/>
    </row>
    <row r="80" spans="1:44" s="101" customFormat="1" ht="12.75" customHeight="1" x14ac:dyDescent="0.2">
      <c r="A80" s="138"/>
      <c r="B80" s="414"/>
      <c r="C80" s="414"/>
      <c r="D80" s="414"/>
      <c r="E80" s="414"/>
      <c r="F80" s="414"/>
      <c r="G80" s="414"/>
      <c r="H80" s="414"/>
      <c r="I80" s="115"/>
      <c r="J80" s="115"/>
      <c r="K80" s="186"/>
      <c r="L80" s="186"/>
      <c r="M80" s="186"/>
      <c r="N80" s="186"/>
      <c r="O80" s="186"/>
      <c r="P80" s="186"/>
      <c r="Q80" s="187"/>
      <c r="R80" s="177"/>
      <c r="S80" s="177"/>
      <c r="T80" s="186"/>
      <c r="U80" s="139"/>
      <c r="V80" s="154"/>
      <c r="W80" s="170"/>
      <c r="X80" s="405" t="str">
        <f t="shared" si="14"/>
        <v>Hampshire</v>
      </c>
      <c r="Y80" s="406" t="e">
        <f t="shared" si="15"/>
        <v>#N/A</v>
      </c>
      <c r="Z80" s="406" t="e">
        <f t="shared" si="16"/>
        <v>#N/A</v>
      </c>
      <c r="AA80" s="223"/>
      <c r="AB80" s="224"/>
      <c r="AC80" s="224"/>
      <c r="AD80" s="226"/>
      <c r="AE80" s="217"/>
      <c r="AF80" s="217"/>
      <c r="AG80" s="217"/>
      <c r="AH80" s="217"/>
      <c r="AI80" s="232"/>
      <c r="AJ80" s="178"/>
      <c r="AR80" s="101" t="s">
        <v>104</v>
      </c>
    </row>
    <row r="81" spans="1:36" s="101" customFormat="1" ht="12.75" customHeight="1" x14ac:dyDescent="0.2">
      <c r="A81" s="138"/>
      <c r="B81" s="414"/>
      <c r="C81" s="414"/>
      <c r="D81" s="414"/>
      <c r="E81" s="414"/>
      <c r="F81" s="414"/>
      <c r="G81" s="414"/>
      <c r="H81" s="414"/>
      <c r="I81" s="115"/>
      <c r="J81" s="115"/>
      <c r="K81" s="186"/>
      <c r="L81" s="186"/>
      <c r="M81" s="186"/>
      <c r="N81" s="186"/>
      <c r="O81" s="186"/>
      <c r="P81" s="186"/>
      <c r="Q81" s="187"/>
      <c r="R81" s="177"/>
      <c r="S81" s="177"/>
      <c r="T81" s="186"/>
      <c r="U81" s="139"/>
      <c r="V81" s="154"/>
      <c r="W81" s="170"/>
      <c r="X81" s="405" t="str">
        <f t="shared" si="14"/>
        <v>Isle of Wight</v>
      </c>
      <c r="Y81" s="406" t="e">
        <f t="shared" si="15"/>
        <v>#N/A</v>
      </c>
      <c r="Z81" s="406" t="e">
        <f t="shared" si="16"/>
        <v>#N/A</v>
      </c>
      <c r="AA81" s="223"/>
      <c r="AB81" s="224"/>
      <c r="AC81" s="224"/>
      <c r="AD81" s="226"/>
      <c r="AE81" s="217"/>
      <c r="AF81" s="217"/>
      <c r="AG81" s="217"/>
      <c r="AH81" s="217"/>
      <c r="AI81" s="232"/>
      <c r="AJ81" s="178"/>
    </row>
    <row r="82" spans="1:36" s="101" customFormat="1" ht="12.75" customHeight="1" x14ac:dyDescent="0.2">
      <c r="A82" s="138"/>
      <c r="B82" s="414"/>
      <c r="C82" s="414"/>
      <c r="D82" s="414"/>
      <c r="E82" s="414"/>
      <c r="F82" s="414"/>
      <c r="G82" s="414"/>
      <c r="H82" s="414"/>
      <c r="I82" s="115"/>
      <c r="J82" s="115"/>
      <c r="K82" s="186"/>
      <c r="L82" s="186"/>
      <c r="M82" s="186"/>
      <c r="N82" s="186"/>
      <c r="O82" s="186"/>
      <c r="P82" s="186"/>
      <c r="Q82" s="187"/>
      <c r="R82" s="177"/>
      <c r="S82" s="177"/>
      <c r="T82" s="186"/>
      <c r="U82" s="139"/>
      <c r="V82" s="154"/>
      <c r="W82" s="170"/>
      <c r="X82" s="405" t="str">
        <f t="shared" si="14"/>
        <v>Kent</v>
      </c>
      <c r="Y82" s="406" t="e">
        <f t="shared" si="15"/>
        <v>#N/A</v>
      </c>
      <c r="Z82" s="406" t="e">
        <f t="shared" si="16"/>
        <v>#N/A</v>
      </c>
      <c r="AA82" s="223"/>
      <c r="AB82" s="224"/>
      <c r="AC82" s="224"/>
      <c r="AD82" s="226"/>
      <c r="AE82" s="217"/>
      <c r="AF82" s="217"/>
      <c r="AG82" s="217"/>
      <c r="AH82" s="217"/>
      <c r="AI82" s="232"/>
      <c r="AJ82" s="178"/>
    </row>
    <row r="83" spans="1:36" s="101" customFormat="1" ht="12.75" customHeight="1" x14ac:dyDescent="0.2">
      <c r="A83" s="138"/>
      <c r="B83" s="414"/>
      <c r="C83" s="414"/>
      <c r="D83" s="414"/>
      <c r="E83" s="414"/>
      <c r="F83" s="414"/>
      <c r="G83" s="414"/>
      <c r="H83" s="414"/>
      <c r="I83" s="115"/>
      <c r="J83" s="115"/>
      <c r="K83" s="186"/>
      <c r="L83" s="186"/>
      <c r="M83" s="186"/>
      <c r="N83" s="186"/>
      <c r="O83" s="186"/>
      <c r="P83" s="186"/>
      <c r="Q83" s="187"/>
      <c r="R83" s="177"/>
      <c r="S83" s="177"/>
      <c r="T83" s="186"/>
      <c r="U83" s="139"/>
      <c r="V83" s="154"/>
      <c r="W83" s="170"/>
      <c r="X83" s="405" t="str">
        <f t="shared" si="14"/>
        <v>Medway</v>
      </c>
      <c r="Y83" s="406" t="e">
        <f t="shared" si="15"/>
        <v>#N/A</v>
      </c>
      <c r="Z83" s="406" t="e">
        <f t="shared" si="16"/>
        <v>#N/A</v>
      </c>
      <c r="AA83" s="223"/>
      <c r="AB83" s="224"/>
      <c r="AC83" s="224"/>
      <c r="AD83" s="226"/>
      <c r="AE83" s="217"/>
      <c r="AF83" s="217"/>
      <c r="AG83" s="217"/>
      <c r="AH83" s="217"/>
      <c r="AI83" s="232"/>
      <c r="AJ83" s="178"/>
    </row>
    <row r="84" spans="1:36" s="101" customFormat="1" ht="12.75" customHeight="1" x14ac:dyDescent="0.2">
      <c r="A84" s="138"/>
      <c r="B84" s="414"/>
      <c r="C84" s="414"/>
      <c r="D84" s="414"/>
      <c r="E84" s="414"/>
      <c r="F84" s="414"/>
      <c r="G84" s="414"/>
      <c r="H84" s="414"/>
      <c r="I84" s="115"/>
      <c r="J84" s="115"/>
      <c r="K84" s="186"/>
      <c r="L84" s="186"/>
      <c r="M84" s="186"/>
      <c r="N84" s="186"/>
      <c r="O84" s="186"/>
      <c r="P84" s="186"/>
      <c r="Q84" s="187"/>
      <c r="R84" s="177"/>
      <c r="S84" s="177"/>
      <c r="T84" s="186"/>
      <c r="U84" s="139"/>
      <c r="V84" s="154"/>
      <c r="W84" s="170"/>
      <c r="X84" s="405" t="str">
        <f t="shared" si="14"/>
        <v>Milton Keynes</v>
      </c>
      <c r="Y84" s="406" t="e">
        <f t="shared" si="15"/>
        <v>#N/A</v>
      </c>
      <c r="Z84" s="406" t="e">
        <f t="shared" si="16"/>
        <v>#N/A</v>
      </c>
      <c r="AA84" s="223"/>
      <c r="AB84" s="224"/>
      <c r="AC84" s="224"/>
      <c r="AD84" s="226"/>
      <c r="AE84" s="217"/>
      <c r="AF84" s="217"/>
      <c r="AG84" s="217"/>
      <c r="AH84" s="217"/>
      <c r="AI84" s="232"/>
      <c r="AJ84" s="178"/>
    </row>
    <row r="85" spans="1:36" s="101" customFormat="1" ht="12.75" customHeight="1" x14ac:dyDescent="0.2">
      <c r="A85" s="138"/>
      <c r="B85" s="414"/>
      <c r="C85" s="414"/>
      <c r="D85" s="414"/>
      <c r="E85" s="414"/>
      <c r="F85" s="414"/>
      <c r="G85" s="414"/>
      <c r="H85" s="414"/>
      <c r="I85" s="115"/>
      <c r="J85" s="115"/>
      <c r="K85" s="186"/>
      <c r="L85" s="186"/>
      <c r="M85" s="186"/>
      <c r="N85" s="186"/>
      <c r="O85" s="186"/>
      <c r="P85" s="186"/>
      <c r="Q85" s="187"/>
      <c r="R85" s="177"/>
      <c r="S85" s="177"/>
      <c r="T85" s="186"/>
      <c r="U85" s="139"/>
      <c r="V85" s="154"/>
      <c r="W85" s="170"/>
      <c r="X85" s="405" t="str">
        <f t="shared" si="14"/>
        <v>Oxfordshire</v>
      </c>
      <c r="Y85" s="406" t="e">
        <f t="shared" si="15"/>
        <v>#N/A</v>
      </c>
      <c r="Z85" s="406" t="e">
        <f t="shared" si="16"/>
        <v>#N/A</v>
      </c>
      <c r="AA85" s="223"/>
      <c r="AB85" s="224"/>
      <c r="AC85" s="224"/>
      <c r="AD85" s="226"/>
      <c r="AE85" s="217"/>
      <c r="AF85" s="217"/>
      <c r="AG85" s="217"/>
      <c r="AH85" s="217"/>
      <c r="AI85" s="232"/>
      <c r="AJ85" s="178"/>
    </row>
    <row r="86" spans="1:36" s="101" customFormat="1" ht="12.75" customHeight="1" x14ac:dyDescent="0.2">
      <c r="A86" s="138"/>
      <c r="B86" s="414"/>
      <c r="C86" s="414"/>
      <c r="D86" s="414"/>
      <c r="E86" s="414"/>
      <c r="F86" s="414"/>
      <c r="G86" s="414"/>
      <c r="H86" s="414"/>
      <c r="I86" s="115"/>
      <c r="J86" s="115"/>
      <c r="K86" s="186"/>
      <c r="L86" s="186"/>
      <c r="M86" s="186"/>
      <c r="N86" s="186"/>
      <c r="O86" s="186"/>
      <c r="P86" s="186"/>
      <c r="Q86" s="187"/>
      <c r="R86" s="177"/>
      <c r="S86" s="177"/>
      <c r="T86" s="186"/>
      <c r="U86" s="139"/>
      <c r="V86" s="154"/>
      <c r="W86" s="170"/>
      <c r="X86" s="405" t="str">
        <f t="shared" si="14"/>
        <v>Portsmouth</v>
      </c>
      <c r="Y86" s="406" t="e">
        <f t="shared" si="15"/>
        <v>#N/A</v>
      </c>
      <c r="Z86" s="406" t="e">
        <f t="shared" si="16"/>
        <v>#N/A</v>
      </c>
      <c r="AA86" s="223"/>
      <c r="AB86" s="224"/>
      <c r="AC86" s="224"/>
      <c r="AD86" s="226"/>
      <c r="AE86" s="217"/>
      <c r="AF86" s="217"/>
      <c r="AG86" s="217"/>
      <c r="AH86" s="217"/>
      <c r="AI86" s="232"/>
      <c r="AJ86" s="178"/>
    </row>
    <row r="87" spans="1:36" s="101" customFormat="1" ht="12.75" customHeight="1" x14ac:dyDescent="0.2">
      <c r="A87" s="138"/>
      <c r="B87" s="414"/>
      <c r="C87" s="414"/>
      <c r="D87" s="414"/>
      <c r="E87" s="414"/>
      <c r="F87" s="414"/>
      <c r="G87" s="414"/>
      <c r="H87" s="414"/>
      <c r="I87" s="115"/>
      <c r="J87" s="115"/>
      <c r="K87" s="186"/>
      <c r="L87" s="186"/>
      <c r="M87" s="186"/>
      <c r="N87" s="186"/>
      <c r="O87" s="186"/>
      <c r="P87" s="186"/>
      <c r="Q87" s="187"/>
      <c r="R87" s="177"/>
      <c r="S87" s="177"/>
      <c r="T87" s="186"/>
      <c r="U87" s="139"/>
      <c r="V87" s="154"/>
      <c r="W87" s="170"/>
      <c r="X87" s="405" t="str">
        <f t="shared" si="14"/>
        <v>Reading</v>
      </c>
      <c r="Y87" s="406" t="e">
        <f t="shared" si="15"/>
        <v>#N/A</v>
      </c>
      <c r="Z87" s="406" t="e">
        <f t="shared" si="16"/>
        <v>#N/A</v>
      </c>
      <c r="AA87" s="223"/>
      <c r="AB87" s="224"/>
      <c r="AC87" s="224"/>
      <c r="AD87" s="226"/>
      <c r="AE87" s="217"/>
      <c r="AF87" s="217"/>
      <c r="AG87" s="217"/>
      <c r="AH87" s="217"/>
      <c r="AI87" s="232"/>
      <c r="AJ87" s="178"/>
    </row>
    <row r="88" spans="1:36" s="101" customFormat="1" ht="12.75" customHeight="1" x14ac:dyDescent="0.2">
      <c r="A88" s="138"/>
      <c r="B88" s="414"/>
      <c r="C88" s="414"/>
      <c r="D88" s="414"/>
      <c r="E88" s="414"/>
      <c r="F88" s="414"/>
      <c r="G88" s="414"/>
      <c r="H88" s="414"/>
      <c r="I88" s="115"/>
      <c r="J88" s="115"/>
      <c r="K88" s="186"/>
      <c r="L88" s="186"/>
      <c r="M88" s="186"/>
      <c r="N88" s="186"/>
      <c r="O88" s="186"/>
      <c r="P88" s="186"/>
      <c r="Q88" s="187"/>
      <c r="R88" s="177"/>
      <c r="S88" s="177"/>
      <c r="T88" s="186"/>
      <c r="U88" s="139"/>
      <c r="V88" s="154"/>
      <c r="W88" s="170"/>
      <c r="X88" s="405" t="str">
        <f t="shared" si="14"/>
        <v>Slough</v>
      </c>
      <c r="Y88" s="406" t="e">
        <f t="shared" si="15"/>
        <v>#N/A</v>
      </c>
      <c r="Z88" s="406" t="e">
        <f t="shared" si="16"/>
        <v>#N/A</v>
      </c>
      <c r="AA88" s="223"/>
      <c r="AB88" s="224"/>
      <c r="AC88" s="224"/>
      <c r="AD88" s="226"/>
      <c r="AE88" s="217"/>
      <c r="AF88" s="217"/>
      <c r="AG88" s="217"/>
      <c r="AH88" s="217"/>
      <c r="AI88" s="232"/>
      <c r="AJ88" s="178"/>
    </row>
    <row r="89" spans="1:36" s="101" customFormat="1" ht="12.75" customHeight="1" x14ac:dyDescent="0.2">
      <c r="A89" s="138"/>
      <c r="B89" s="414"/>
      <c r="C89" s="414"/>
      <c r="D89" s="414"/>
      <c r="E89" s="414"/>
      <c r="F89" s="414"/>
      <c r="G89" s="414"/>
      <c r="H89" s="414"/>
      <c r="I89" s="115"/>
      <c r="J89" s="115"/>
      <c r="K89" s="186"/>
      <c r="L89" s="186"/>
      <c r="M89" s="186"/>
      <c r="N89" s="186"/>
      <c r="O89" s="186"/>
      <c r="P89" s="186"/>
      <c r="Q89" s="187"/>
      <c r="R89" s="177"/>
      <c r="S89" s="177"/>
      <c r="T89" s="186"/>
      <c r="U89" s="139"/>
      <c r="V89" s="154"/>
      <c r="W89" s="170"/>
      <c r="X89" s="405" t="str">
        <f t="shared" si="14"/>
        <v>Somerset</v>
      </c>
      <c r="Y89" s="406" t="e">
        <f t="shared" si="15"/>
        <v>#N/A</v>
      </c>
      <c r="Z89" s="406" t="e">
        <f t="shared" si="16"/>
        <v>#N/A</v>
      </c>
      <c r="AA89" s="223"/>
      <c r="AB89" s="224"/>
      <c r="AC89" s="224"/>
      <c r="AD89" s="226"/>
      <c r="AE89" s="217"/>
      <c r="AF89" s="217"/>
      <c r="AG89" s="217"/>
      <c r="AH89" s="217"/>
      <c r="AI89" s="232"/>
      <c r="AJ89" s="178"/>
    </row>
    <row r="90" spans="1:36" s="101" customFormat="1" ht="12.75" customHeight="1" x14ac:dyDescent="0.2">
      <c r="A90" s="138"/>
      <c r="B90" s="414"/>
      <c r="C90" s="414"/>
      <c r="D90" s="414"/>
      <c r="E90" s="414"/>
      <c r="F90" s="414"/>
      <c r="G90" s="414"/>
      <c r="H90" s="414"/>
      <c r="I90" s="115"/>
      <c r="J90" s="115"/>
      <c r="K90" s="186"/>
      <c r="L90" s="186"/>
      <c r="M90" s="186"/>
      <c r="N90" s="186"/>
      <c r="O90" s="186"/>
      <c r="P90" s="186"/>
      <c r="Q90" s="187"/>
      <c r="R90" s="177"/>
      <c r="S90" s="177"/>
      <c r="T90" s="186"/>
      <c r="U90" s="139"/>
      <c r="V90" s="154"/>
      <c r="W90" s="170"/>
      <c r="X90" s="405" t="str">
        <f t="shared" si="14"/>
        <v>Southampton</v>
      </c>
      <c r="Y90" s="406" t="e">
        <f t="shared" si="15"/>
        <v>#N/A</v>
      </c>
      <c r="Z90" s="406" t="e">
        <f t="shared" si="16"/>
        <v>#N/A</v>
      </c>
      <c r="AA90" s="223"/>
      <c r="AB90" s="224"/>
      <c r="AC90" s="224"/>
      <c r="AD90" s="226"/>
      <c r="AE90" s="217"/>
      <c r="AF90" s="217"/>
      <c r="AG90" s="217"/>
      <c r="AH90" s="217"/>
      <c r="AI90" s="232"/>
      <c r="AJ90" s="178"/>
    </row>
    <row r="91" spans="1:36" s="101" customFormat="1" ht="12.75" customHeight="1" x14ac:dyDescent="0.2">
      <c r="A91" s="324"/>
      <c r="B91" s="414"/>
      <c r="C91" s="414"/>
      <c r="D91" s="414"/>
      <c r="E91" s="414"/>
      <c r="F91" s="414"/>
      <c r="G91" s="414"/>
      <c r="H91" s="414"/>
      <c r="I91" s="115"/>
      <c r="J91" s="115"/>
      <c r="K91" s="186"/>
      <c r="L91" s="186"/>
      <c r="M91" s="186"/>
      <c r="N91" s="186"/>
      <c r="O91" s="186"/>
      <c r="P91" s="186"/>
      <c r="Q91" s="187"/>
      <c r="R91" s="177"/>
      <c r="S91" s="177"/>
      <c r="T91" s="186"/>
      <c r="U91" s="139"/>
      <c r="V91" s="154"/>
      <c r="W91" s="170"/>
      <c r="X91" s="405" t="str">
        <f t="shared" si="14"/>
        <v>Surrey</v>
      </c>
      <c r="Y91" s="406" t="e">
        <f t="shared" si="15"/>
        <v>#N/A</v>
      </c>
      <c r="Z91" s="406" t="e">
        <f t="shared" si="16"/>
        <v>#N/A</v>
      </c>
      <c r="AA91" s="223"/>
      <c r="AB91" s="224"/>
      <c r="AC91" s="224"/>
      <c r="AD91" s="226"/>
      <c r="AE91" s="217"/>
      <c r="AF91" s="217"/>
      <c r="AG91" s="217"/>
      <c r="AH91" s="217"/>
      <c r="AI91" s="232"/>
      <c r="AJ91" s="178"/>
    </row>
    <row r="92" spans="1:36" s="101" customFormat="1" ht="12.75" customHeight="1" x14ac:dyDescent="0.2">
      <c r="A92" s="324"/>
      <c r="B92" s="414"/>
      <c r="C92" s="414"/>
      <c r="D92" s="414"/>
      <c r="E92" s="414"/>
      <c r="F92" s="414"/>
      <c r="G92" s="414"/>
      <c r="H92" s="414"/>
      <c r="I92" s="115"/>
      <c r="J92" s="115"/>
      <c r="K92" s="186"/>
      <c r="L92" s="186"/>
      <c r="M92" s="186"/>
      <c r="N92" s="186"/>
      <c r="O92" s="186"/>
      <c r="P92" s="186"/>
      <c r="Q92" s="187"/>
      <c r="R92" s="177"/>
      <c r="S92" s="177"/>
      <c r="T92" s="186"/>
      <c r="U92" s="139"/>
      <c r="V92" s="154"/>
      <c r="W92" s="170"/>
      <c r="X92" s="405" t="str">
        <f t="shared" si="14"/>
        <v>Swindon</v>
      </c>
      <c r="Y92" s="406" t="e">
        <f t="shared" si="15"/>
        <v>#N/A</v>
      </c>
      <c r="Z92" s="406" t="e">
        <f t="shared" si="16"/>
        <v>#N/A</v>
      </c>
      <c r="AA92" s="223"/>
      <c r="AB92" s="224"/>
      <c r="AC92" s="224"/>
      <c r="AD92" s="226"/>
      <c r="AE92" s="217"/>
      <c r="AF92" s="217"/>
      <c r="AG92" s="217"/>
      <c r="AH92" s="217"/>
      <c r="AI92" s="232"/>
      <c r="AJ92" s="178"/>
    </row>
    <row r="93" spans="1:36" s="101" customFormat="1" ht="12.75" customHeight="1" x14ac:dyDescent="0.2">
      <c r="A93" s="138"/>
      <c r="B93" s="414"/>
      <c r="C93" s="414"/>
      <c r="D93" s="414"/>
      <c r="E93" s="414"/>
      <c r="F93" s="414"/>
      <c r="G93" s="414"/>
      <c r="H93" s="414"/>
      <c r="I93" s="115"/>
      <c r="J93" s="115"/>
      <c r="K93" s="186"/>
      <c r="L93" s="186"/>
      <c r="M93" s="186"/>
      <c r="N93" s="186"/>
      <c r="O93" s="186"/>
      <c r="P93" s="186"/>
      <c r="Q93" s="187"/>
      <c r="R93" s="177"/>
      <c r="S93" s="177"/>
      <c r="T93" s="186"/>
      <c r="U93" s="139"/>
      <c r="V93" s="154"/>
      <c r="W93" s="170"/>
      <c r="X93" s="405" t="str">
        <f t="shared" si="14"/>
        <v>Torbay</v>
      </c>
      <c r="Y93" s="406" t="e">
        <f t="shared" si="15"/>
        <v>#N/A</v>
      </c>
      <c r="Z93" s="406" t="e">
        <f t="shared" si="16"/>
        <v>#N/A</v>
      </c>
      <c r="AA93" s="223"/>
      <c r="AB93" s="224"/>
      <c r="AC93" s="224"/>
      <c r="AD93" s="226"/>
      <c r="AE93" s="232"/>
      <c r="AF93" s="217"/>
      <c r="AG93" s="217"/>
      <c r="AH93" s="217"/>
      <c r="AI93" s="232"/>
      <c r="AJ93" s="178"/>
    </row>
    <row r="94" spans="1:36" s="101" customFormat="1" ht="12.75" customHeight="1" x14ac:dyDescent="0.2">
      <c r="A94" s="138"/>
      <c r="B94" s="414"/>
      <c r="C94" s="414"/>
      <c r="D94" s="414"/>
      <c r="E94" s="414"/>
      <c r="F94" s="414"/>
      <c r="G94" s="414"/>
      <c r="H94" s="414"/>
      <c r="I94" s="115"/>
      <c r="J94" s="115"/>
      <c r="K94" s="186"/>
      <c r="L94" s="186"/>
      <c r="M94" s="186"/>
      <c r="N94" s="186"/>
      <c r="O94" s="186"/>
      <c r="P94" s="186"/>
      <c r="Q94" s="187"/>
      <c r="R94" s="177"/>
      <c r="S94" s="177"/>
      <c r="T94" s="186"/>
      <c r="U94" s="139"/>
      <c r="V94" s="154"/>
      <c r="W94" s="170"/>
      <c r="X94" s="405" t="str">
        <f t="shared" si="14"/>
        <v>West Berkshire</v>
      </c>
      <c r="Y94" s="406" t="e">
        <f t="shared" si="15"/>
        <v>#N/A</v>
      </c>
      <c r="Z94" s="406" t="e">
        <f t="shared" si="16"/>
        <v>#N/A</v>
      </c>
      <c r="AA94" s="223"/>
      <c r="AB94" s="224"/>
      <c r="AC94" s="224"/>
      <c r="AD94" s="226"/>
      <c r="AE94" s="232"/>
      <c r="AF94" s="217"/>
      <c r="AG94" s="217"/>
      <c r="AH94" s="217"/>
      <c r="AI94" s="232"/>
      <c r="AJ94" s="178"/>
    </row>
    <row r="95" spans="1:36" s="101" customFormat="1" ht="12.75" customHeight="1" x14ac:dyDescent="0.2">
      <c r="A95" s="138"/>
      <c r="B95" s="414"/>
      <c r="C95" s="414"/>
      <c r="D95" s="414"/>
      <c r="E95" s="414"/>
      <c r="F95" s="414"/>
      <c r="G95" s="414"/>
      <c r="H95" s="414"/>
      <c r="I95" s="115"/>
      <c r="J95" s="115"/>
      <c r="K95" s="186"/>
      <c r="L95" s="186"/>
      <c r="M95" s="186"/>
      <c r="N95" s="186"/>
      <c r="O95" s="186"/>
      <c r="P95" s="186"/>
      <c r="Q95" s="187"/>
      <c r="R95" s="177"/>
      <c r="S95" s="177"/>
      <c r="T95" s="186"/>
      <c r="U95" s="139"/>
      <c r="V95" s="154"/>
      <c r="W95" s="170"/>
      <c r="X95" s="405" t="str">
        <f t="shared" si="14"/>
        <v>West Sussex</v>
      </c>
      <c r="Y95" s="406" t="e">
        <f t="shared" si="15"/>
        <v>#N/A</v>
      </c>
      <c r="Z95" s="406" t="e">
        <f t="shared" si="16"/>
        <v>#N/A</v>
      </c>
      <c r="AA95" s="223"/>
      <c r="AB95" s="224"/>
      <c r="AC95" s="224"/>
      <c r="AD95" s="226"/>
      <c r="AE95" s="232"/>
      <c r="AF95" s="232"/>
      <c r="AG95" s="232"/>
      <c r="AH95" s="217"/>
      <c r="AI95" s="232"/>
      <c r="AJ95" s="178"/>
    </row>
    <row r="96" spans="1:36" s="101" customFormat="1" ht="12.75" customHeight="1" x14ac:dyDescent="0.2">
      <c r="A96" s="138"/>
      <c r="B96" s="414"/>
      <c r="C96" s="414"/>
      <c r="D96" s="414"/>
      <c r="E96" s="414"/>
      <c r="F96" s="414"/>
      <c r="G96" s="414"/>
      <c r="H96" s="414"/>
      <c r="I96" s="115"/>
      <c r="J96" s="115"/>
      <c r="K96" s="186"/>
      <c r="L96" s="186"/>
      <c r="M96" s="186"/>
      <c r="N96" s="186"/>
      <c r="O96" s="186"/>
      <c r="P96" s="186"/>
      <c r="Q96" s="187"/>
      <c r="R96" s="177"/>
      <c r="S96" s="177"/>
      <c r="T96" s="186"/>
      <c r="U96" s="139"/>
      <c r="V96" s="154"/>
      <c r="W96" s="170"/>
      <c r="X96" s="405" t="str">
        <f t="shared" si="14"/>
        <v>Windsor &amp; Maidenhead</v>
      </c>
      <c r="Y96" s="406" t="e">
        <f t="shared" si="15"/>
        <v>#N/A</v>
      </c>
      <c r="Z96" s="406" t="e">
        <f t="shared" si="16"/>
        <v>#N/A</v>
      </c>
      <c r="AA96" s="223"/>
      <c r="AB96" s="224"/>
      <c r="AC96" s="224"/>
      <c r="AD96" s="226"/>
      <c r="AE96" s="232"/>
      <c r="AF96" s="232"/>
      <c r="AG96" s="232"/>
      <c r="AH96" s="217"/>
      <c r="AI96" s="232"/>
      <c r="AJ96" s="178"/>
    </row>
    <row r="97" spans="1:45" s="101" customFormat="1" ht="12.75" customHeight="1" x14ac:dyDescent="0.2">
      <c r="A97" s="138"/>
      <c r="B97" s="414"/>
      <c r="C97" s="414"/>
      <c r="D97" s="414"/>
      <c r="E97" s="414"/>
      <c r="F97" s="414"/>
      <c r="G97" s="414"/>
      <c r="H97" s="414"/>
      <c r="I97" s="115"/>
      <c r="J97" s="115"/>
      <c r="K97" s="188"/>
      <c r="L97" s="188"/>
      <c r="M97" s="188"/>
      <c r="N97" s="188"/>
      <c r="O97" s="188"/>
      <c r="P97" s="188"/>
      <c r="Q97" s="189"/>
      <c r="R97" s="177"/>
      <c r="S97" s="177"/>
      <c r="T97" s="190"/>
      <c r="U97" s="139"/>
      <c r="V97" s="154"/>
      <c r="W97" s="170"/>
      <c r="X97" s="405" t="str">
        <f t="shared" si="14"/>
        <v>Wokingham</v>
      </c>
      <c r="Y97" s="406" t="e">
        <f t="shared" si="15"/>
        <v>#N/A</v>
      </c>
      <c r="Z97" s="406" t="e">
        <f t="shared" si="16"/>
        <v>#N/A</v>
      </c>
      <c r="AA97" s="223"/>
      <c r="AB97" s="224"/>
      <c r="AC97" s="224"/>
      <c r="AD97" s="226"/>
      <c r="AE97" s="232"/>
      <c r="AF97" s="232"/>
      <c r="AG97" s="232"/>
      <c r="AH97" s="217"/>
      <c r="AI97" s="232"/>
      <c r="AJ97" s="178"/>
    </row>
    <row r="98" spans="1:45" s="101" customFormat="1" ht="12.75" customHeight="1" x14ac:dyDescent="0.2">
      <c r="A98" s="138"/>
      <c r="B98" s="414"/>
      <c r="C98" s="414"/>
      <c r="D98" s="414"/>
      <c r="E98" s="414"/>
      <c r="F98" s="414"/>
      <c r="G98" s="414"/>
      <c r="H98" s="414"/>
      <c r="I98" s="115"/>
      <c r="J98" s="115"/>
      <c r="K98" s="188"/>
      <c r="L98" s="188"/>
      <c r="M98" s="188"/>
      <c r="N98" s="188"/>
      <c r="O98" s="188"/>
      <c r="P98" s="188"/>
      <c r="Q98" s="189"/>
      <c r="R98" s="177"/>
      <c r="S98" s="177"/>
      <c r="T98" s="190"/>
      <c r="U98" s="139"/>
      <c r="V98" s="154"/>
      <c r="W98" s="170"/>
      <c r="X98" s="405" t="str">
        <f>B31</f>
        <v>South East</v>
      </c>
      <c r="Y98" s="406" t="e">
        <f t="shared" si="15"/>
        <v>#N/A</v>
      </c>
      <c r="Z98" s="406" t="e">
        <f t="shared" si="16"/>
        <v>#N/A</v>
      </c>
      <c r="AA98" s="223"/>
      <c r="AB98" s="224"/>
      <c r="AC98" s="224"/>
      <c r="AD98" s="226"/>
      <c r="AE98" s="232"/>
      <c r="AF98" s="232"/>
      <c r="AG98" s="232"/>
      <c r="AH98" s="217"/>
      <c r="AI98" s="232"/>
      <c r="AJ98" s="178"/>
    </row>
    <row r="99" spans="1:45" s="101" customFormat="1" ht="11.25" customHeight="1" x14ac:dyDescent="0.2">
      <c r="A99" s="324"/>
      <c r="B99" s="414"/>
      <c r="C99" s="414"/>
      <c r="D99" s="414"/>
      <c r="E99" s="414"/>
      <c r="F99" s="414"/>
      <c r="G99" s="414"/>
      <c r="H99" s="414"/>
      <c r="I99" s="115"/>
      <c r="J99" s="115"/>
      <c r="K99" s="188"/>
      <c r="L99" s="188"/>
      <c r="M99" s="188"/>
      <c r="N99" s="188"/>
      <c r="O99" s="188"/>
      <c r="P99" s="188"/>
      <c r="Q99" s="189"/>
      <c r="R99" s="177"/>
      <c r="S99" s="177"/>
      <c r="T99" s="190"/>
      <c r="U99" s="139"/>
      <c r="V99" s="154"/>
      <c r="W99" s="170"/>
      <c r="X99" s="405" t="str">
        <f>B32</f>
        <v>England</v>
      </c>
      <c r="Y99" s="406" t="e">
        <f t="shared" si="15"/>
        <v>#N/A</v>
      </c>
      <c r="Z99" s="406" t="e">
        <f t="shared" si="16"/>
        <v>#N/A</v>
      </c>
      <c r="AA99" s="223"/>
      <c r="AB99" s="224"/>
      <c r="AC99" s="224"/>
      <c r="AD99" s="226"/>
      <c r="AE99" s="232"/>
      <c r="AF99" s="232"/>
      <c r="AG99" s="232"/>
      <c r="AH99" s="217"/>
      <c r="AI99" s="232"/>
      <c r="AJ99" s="178"/>
    </row>
    <row r="100" spans="1:45" s="88" customFormat="1" ht="42" customHeight="1" x14ac:dyDescent="0.2">
      <c r="A100" s="249"/>
      <c r="B100" s="414"/>
      <c r="C100" s="414"/>
      <c r="D100" s="414"/>
      <c r="E100" s="414"/>
      <c r="F100" s="414"/>
      <c r="G100" s="414"/>
      <c r="H100" s="414"/>
      <c r="I100" s="421"/>
      <c r="J100" s="192"/>
      <c r="K100" s="192"/>
      <c r="L100" s="192"/>
      <c r="M100" s="192"/>
      <c r="N100" s="192"/>
      <c r="O100" s="192"/>
      <c r="P100" s="192"/>
      <c r="Q100" s="151"/>
      <c r="R100" s="192"/>
      <c r="S100" s="192"/>
      <c r="T100" s="192"/>
      <c r="U100" s="134"/>
      <c r="V100" s="152"/>
      <c r="W100" s="168"/>
      <c r="AC100" s="224"/>
      <c r="AD100" s="226"/>
      <c r="AE100" s="210"/>
      <c r="AF100" s="210"/>
      <c r="AG100" s="210"/>
      <c r="AI100" s="210"/>
      <c r="AJ100" s="179"/>
    </row>
    <row r="101" spans="1:45" s="88" customFormat="1" ht="42" customHeight="1" x14ac:dyDescent="0.2">
      <c r="A101" s="249"/>
      <c r="B101" s="414"/>
      <c r="C101" s="414"/>
      <c r="D101" s="414"/>
      <c r="E101" s="414"/>
      <c r="F101" s="414"/>
      <c r="G101" s="414"/>
      <c r="H101" s="414"/>
      <c r="I101" s="421"/>
      <c r="J101" s="192"/>
      <c r="K101" s="192"/>
      <c r="L101" s="192"/>
      <c r="M101" s="192"/>
      <c r="N101" s="192"/>
      <c r="O101" s="192"/>
      <c r="P101" s="192"/>
      <c r="Q101" s="151"/>
      <c r="R101" s="192"/>
      <c r="S101" s="192"/>
      <c r="T101" s="192"/>
      <c r="U101" s="134"/>
      <c r="V101" s="152"/>
      <c r="W101" s="168"/>
      <c r="Y101" s="217"/>
      <c r="AD101" s="226"/>
      <c r="AE101" s="210"/>
      <c r="AF101" s="210"/>
      <c r="AG101" s="210"/>
      <c r="AI101" s="210"/>
      <c r="AJ101" s="179"/>
    </row>
    <row r="102" spans="1:45" s="88" customFormat="1" ht="33" customHeight="1" x14ac:dyDescent="0.2">
      <c r="A102" s="249"/>
      <c r="B102" s="421"/>
      <c r="C102" s="421"/>
      <c r="D102" s="421"/>
      <c r="E102" s="421"/>
      <c r="F102" s="421"/>
      <c r="G102" s="421"/>
      <c r="H102" s="421"/>
      <c r="I102" s="421"/>
      <c r="J102" s="192"/>
      <c r="K102" s="192"/>
      <c r="L102" s="192"/>
      <c r="M102" s="192"/>
      <c r="N102" s="192"/>
      <c r="O102" s="192"/>
      <c r="P102" s="192"/>
      <c r="Q102" s="151"/>
      <c r="R102" s="192"/>
      <c r="S102" s="192"/>
      <c r="T102" s="192"/>
      <c r="U102" s="134"/>
      <c r="V102" s="152"/>
      <c r="W102" s="168"/>
      <c r="Y102" s="217"/>
      <c r="AD102" s="226"/>
      <c r="AE102" s="210"/>
      <c r="AF102" s="210"/>
      <c r="AG102" s="210"/>
      <c r="AI102" s="210"/>
      <c r="AJ102" s="179"/>
    </row>
    <row r="103" spans="1:45" s="88" customFormat="1" ht="7.5" customHeight="1" x14ac:dyDescent="0.2">
      <c r="A103" s="135"/>
      <c r="B103" s="18"/>
      <c r="C103" s="18"/>
      <c r="D103" s="17"/>
      <c r="E103" s="17"/>
      <c r="F103" s="17"/>
      <c r="G103" s="17"/>
      <c r="H103" s="17"/>
      <c r="I103" s="17"/>
      <c r="J103" s="13"/>
      <c r="K103" s="19"/>
      <c r="L103" s="19"/>
      <c r="M103" s="19"/>
      <c r="N103" s="19"/>
      <c r="O103" s="19"/>
      <c r="P103" s="19"/>
      <c r="Q103" s="19"/>
      <c r="R103" s="19"/>
      <c r="S103" s="19"/>
      <c r="T103" s="20"/>
      <c r="U103" s="134"/>
      <c r="V103" s="152"/>
      <c r="W103" s="168"/>
      <c r="Y103" s="217"/>
      <c r="AI103" s="210"/>
      <c r="AJ103" s="175"/>
      <c r="AK103" s="80"/>
      <c r="AL103" s="80"/>
      <c r="AM103" s="80"/>
      <c r="AN103" s="80"/>
      <c r="AO103" s="80"/>
      <c r="AP103" s="80"/>
      <c r="AQ103" s="80"/>
    </row>
    <row r="104" spans="1:45" s="88" customFormat="1" ht="15" customHeight="1" x14ac:dyDescent="0.2">
      <c r="A104" s="1010"/>
      <c r="B104" s="1018"/>
      <c r="C104" s="1018"/>
      <c r="D104" s="1018"/>
      <c r="E104" s="1018"/>
      <c r="F104" s="1018"/>
      <c r="G104" s="1018"/>
      <c r="H104" s="1018"/>
      <c r="I104" s="1018"/>
      <c r="J104" s="1018"/>
      <c r="K104" s="1018"/>
      <c r="L104" s="1018"/>
      <c r="M104" s="1018"/>
      <c r="N104" s="1018"/>
      <c r="O104" s="1018"/>
      <c r="P104" s="1018"/>
      <c r="Q104" s="1018"/>
      <c r="R104" s="1018"/>
      <c r="S104" s="1018"/>
      <c r="T104" s="1018"/>
      <c r="U104" s="1019"/>
      <c r="V104" s="152"/>
      <c r="W104" s="168"/>
      <c r="X104" s="215"/>
      <c r="Y104" s="215"/>
      <c r="AJ104" s="179"/>
      <c r="AS104" s="80"/>
    </row>
    <row r="105" spans="1:45" s="88" customFormat="1" ht="11.25" customHeight="1" x14ac:dyDescent="0.2">
      <c r="A105" s="1020" t="str">
        <f>Home!$A$35</f>
        <v>LA's provide quarterly data on the condition that it is used by the benchmarking group for internal reporting only. Please DO NOT share other LA's data with any external partners or the public</v>
      </c>
      <c r="B105" s="1021"/>
      <c r="C105" s="1021"/>
      <c r="D105" s="1021"/>
      <c r="E105" s="1021"/>
      <c r="F105" s="1021"/>
      <c r="G105" s="1021"/>
      <c r="H105" s="1021"/>
      <c r="I105" s="1022"/>
      <c r="J105" s="1021"/>
      <c r="K105" s="1021"/>
      <c r="L105" s="1021"/>
      <c r="M105" s="1021"/>
      <c r="N105" s="1021"/>
      <c r="O105" s="1021"/>
      <c r="P105" s="1021"/>
      <c r="Q105" s="1021"/>
      <c r="R105" s="1021"/>
      <c r="S105" s="1022"/>
      <c r="T105" s="1021"/>
      <c r="U105" s="1023"/>
      <c r="V105" s="152"/>
      <c r="W105" s="168"/>
      <c r="X105" s="215"/>
      <c r="Y105" s="215"/>
      <c r="AI105" s="210"/>
      <c r="AJ105" s="178"/>
      <c r="AK105" s="101"/>
      <c r="AS105" s="80"/>
    </row>
    <row r="106" spans="1:45" ht="11.25" customHeight="1" x14ac:dyDescent="0.2">
      <c r="A106" s="157"/>
      <c r="B106" s="130"/>
      <c r="C106" s="130"/>
      <c r="D106" s="130"/>
      <c r="E106" s="130"/>
      <c r="F106" s="130"/>
      <c r="G106" s="130"/>
      <c r="H106" s="130"/>
      <c r="I106" s="130"/>
      <c r="J106" s="131"/>
      <c r="K106" s="130"/>
      <c r="L106" s="130"/>
      <c r="M106" s="130"/>
      <c r="N106" s="130"/>
      <c r="O106" s="130"/>
      <c r="P106" s="130"/>
      <c r="Q106" s="130"/>
      <c r="R106" s="130"/>
      <c r="S106" s="130"/>
      <c r="T106" s="130"/>
      <c r="U106" s="130"/>
      <c r="V106" s="152"/>
      <c r="W106" s="168"/>
      <c r="AE106" s="89"/>
      <c r="AH106" s="210"/>
      <c r="AI106" s="210"/>
      <c r="AJ106" s="175"/>
      <c r="AL106" s="88"/>
      <c r="AM106" s="88"/>
      <c r="AN106" s="88"/>
      <c r="AO106" s="88"/>
      <c r="AP106" s="88"/>
      <c r="AQ106" s="88"/>
    </row>
    <row r="107" spans="1:45" ht="11.25" customHeight="1" x14ac:dyDescent="0.2">
      <c r="A107" s="158"/>
      <c r="B107" s="9"/>
      <c r="C107" s="9"/>
      <c r="D107" s="9"/>
      <c r="E107" s="9"/>
      <c r="F107" s="9"/>
      <c r="G107" s="9"/>
      <c r="H107" s="9"/>
      <c r="I107" s="9"/>
      <c r="J107" s="13"/>
      <c r="K107" s="9"/>
      <c r="L107" s="9"/>
      <c r="M107" s="9"/>
      <c r="N107" s="9"/>
      <c r="O107" s="9"/>
      <c r="P107" s="9"/>
      <c r="Q107" s="9"/>
      <c r="R107" s="9"/>
      <c r="S107" s="9"/>
      <c r="T107" s="9"/>
      <c r="U107" s="9"/>
      <c r="V107" s="152"/>
      <c r="W107" s="168"/>
      <c r="AE107" s="89"/>
      <c r="AH107" s="210"/>
      <c r="AI107" s="210"/>
      <c r="AJ107" s="175"/>
      <c r="AL107" s="88"/>
      <c r="AM107" s="88"/>
      <c r="AN107" s="88"/>
      <c r="AO107" s="88"/>
      <c r="AP107" s="88"/>
      <c r="AQ107" s="88"/>
    </row>
    <row r="108" spans="1:45" ht="11.25" customHeight="1" x14ac:dyDescent="0.2">
      <c r="A108" s="158"/>
      <c r="B108" s="1006" t="s">
        <v>82</v>
      </c>
      <c r="C108" s="411"/>
      <c r="D108" s="15"/>
      <c r="E108" s="15"/>
      <c r="F108" s="9"/>
      <c r="G108" s="9"/>
      <c r="H108" s="9"/>
      <c r="I108" s="9"/>
      <c r="J108" s="13"/>
      <c r="K108" s="9"/>
      <c r="L108" s="9"/>
      <c r="M108" s="9"/>
      <c r="N108" s="9"/>
      <c r="O108" s="9"/>
      <c r="P108" s="9"/>
      <c r="Q108" s="9"/>
      <c r="R108" s="9"/>
      <c r="S108" s="9"/>
      <c r="T108" s="9"/>
      <c r="U108" s="9"/>
      <c r="V108" s="152"/>
      <c r="W108" s="168"/>
      <c r="AE108" s="89"/>
      <c r="AH108" s="210"/>
      <c r="AI108" s="210"/>
      <c r="AJ108" s="175"/>
      <c r="AL108" s="88"/>
      <c r="AM108" s="88"/>
      <c r="AN108" s="88"/>
      <c r="AO108" s="88"/>
      <c r="AP108" s="88"/>
      <c r="AQ108" s="88"/>
    </row>
    <row r="109" spans="1:45" ht="11.25" customHeight="1" x14ac:dyDescent="0.2">
      <c r="A109" s="158"/>
      <c r="B109" s="1007"/>
      <c r="C109" s="410"/>
      <c r="D109" s="9"/>
      <c r="E109" s="9"/>
      <c r="F109" s="9"/>
      <c r="G109" s="9"/>
      <c r="H109" s="9"/>
      <c r="I109" s="9"/>
      <c r="J109" s="13"/>
      <c r="K109" s="9"/>
      <c r="L109" s="9"/>
      <c r="M109" s="9"/>
      <c r="N109" s="9"/>
      <c r="O109" s="9"/>
      <c r="P109" s="9"/>
      <c r="Q109" s="9"/>
      <c r="R109" s="9"/>
      <c r="S109" s="9"/>
      <c r="T109" s="9"/>
      <c r="U109" s="9"/>
      <c r="V109" s="152"/>
      <c r="W109" s="168"/>
      <c r="AE109" s="89"/>
      <c r="AH109" s="210"/>
      <c r="AI109" s="210"/>
      <c r="AJ109" s="175"/>
    </row>
    <row r="110" spans="1:45" ht="11.25" customHeight="1" x14ac:dyDescent="0.2">
      <c r="A110" s="158"/>
      <c r="B110" s="973" t="s">
        <v>81</v>
      </c>
      <c r="C110" s="974"/>
      <c r="D110" s="974"/>
      <c r="E110" s="974"/>
      <c r="F110" s="974"/>
      <c r="G110" s="974"/>
      <c r="H110" s="9"/>
      <c r="I110" s="9"/>
      <c r="J110" s="13"/>
      <c r="K110" s="9"/>
      <c r="L110" s="9"/>
      <c r="M110" s="9"/>
      <c r="N110" s="9"/>
      <c r="O110" s="9"/>
      <c r="P110" s="9"/>
      <c r="Q110" s="9"/>
      <c r="R110" s="9"/>
      <c r="S110" s="9"/>
      <c r="T110" s="9"/>
      <c r="U110" s="9"/>
      <c r="V110" s="152"/>
      <c r="W110" s="168"/>
      <c r="AE110" s="89"/>
      <c r="AH110" s="210"/>
      <c r="AI110" s="210"/>
      <c r="AJ110" s="175"/>
    </row>
    <row r="111" spans="1:45" ht="11.25" customHeight="1" x14ac:dyDescent="0.2">
      <c r="A111" s="158"/>
      <c r="B111" s="973"/>
      <c r="C111" s="974"/>
      <c r="D111" s="974"/>
      <c r="E111" s="974"/>
      <c r="F111" s="974"/>
      <c r="G111" s="974"/>
      <c r="H111" s="9"/>
      <c r="I111" s="9"/>
      <c r="J111" s="13"/>
      <c r="K111" s="9"/>
      <c r="L111" s="9"/>
      <c r="M111" s="9"/>
      <c r="N111" s="9"/>
      <c r="O111" s="9"/>
      <c r="P111" s="9"/>
      <c r="Q111" s="9"/>
      <c r="R111" s="9"/>
      <c r="S111" s="9"/>
      <c r="T111" s="9"/>
      <c r="U111" s="9"/>
      <c r="V111" s="152"/>
      <c r="W111" s="168"/>
      <c r="AE111" s="89"/>
      <c r="AH111" s="215"/>
      <c r="AI111" s="215"/>
      <c r="AJ111" s="176"/>
    </row>
    <row r="112" spans="1:45" s="82" customFormat="1" ht="11.25" customHeight="1" x14ac:dyDescent="0.2">
      <c r="A112" s="158"/>
      <c r="B112" s="973" t="s">
        <v>78</v>
      </c>
      <c r="C112" s="975"/>
      <c r="D112" s="975"/>
      <c r="E112" s="975"/>
      <c r="F112" s="975"/>
      <c r="G112" s="975"/>
      <c r="H112" s="15"/>
      <c r="I112" s="15"/>
      <c r="J112" s="15"/>
      <c r="K112" s="15"/>
      <c r="L112" s="15"/>
      <c r="M112" s="15"/>
      <c r="N112" s="15"/>
      <c r="O112" s="15"/>
      <c r="P112" s="15"/>
      <c r="Q112" s="15"/>
      <c r="R112" s="15"/>
      <c r="S112" s="15"/>
      <c r="T112" s="15"/>
      <c r="U112" s="15"/>
      <c r="V112" s="155"/>
      <c r="W112" s="172"/>
      <c r="X112" s="88"/>
      <c r="Y112" s="88"/>
      <c r="Z112" s="88"/>
      <c r="AA112" s="88"/>
      <c r="AB112" s="88"/>
      <c r="AC112" s="88"/>
      <c r="AD112" s="88"/>
      <c r="AE112" s="89"/>
      <c r="AF112" s="88"/>
      <c r="AG112" s="88"/>
      <c r="AH112" s="210"/>
      <c r="AI112" s="210"/>
      <c r="AJ112" s="175"/>
    </row>
    <row r="113" spans="1:37" ht="11.25" customHeight="1" x14ac:dyDescent="0.2">
      <c r="A113" s="158"/>
      <c r="B113" s="973"/>
      <c r="C113" s="975"/>
      <c r="D113" s="975"/>
      <c r="E113" s="975"/>
      <c r="F113" s="975"/>
      <c r="G113" s="975"/>
      <c r="H113" s="9"/>
      <c r="I113" s="9"/>
      <c r="J113" s="13"/>
      <c r="K113" s="9"/>
      <c r="L113" s="9"/>
      <c r="M113" s="9"/>
      <c r="N113" s="9"/>
      <c r="O113" s="9"/>
      <c r="P113" s="9"/>
      <c r="Q113" s="9"/>
      <c r="R113" s="9"/>
      <c r="S113" s="9"/>
      <c r="T113" s="9"/>
      <c r="U113" s="9"/>
      <c r="V113" s="152"/>
      <c r="W113" s="168"/>
      <c r="AE113" s="89"/>
      <c r="AH113" s="210"/>
      <c r="AI113" s="210"/>
      <c r="AJ113" s="175"/>
    </row>
    <row r="114" spans="1:37" ht="11.25" customHeight="1" x14ac:dyDescent="0.2">
      <c r="A114" s="158"/>
      <c r="B114" s="976" t="s">
        <v>18</v>
      </c>
      <c r="C114" s="977"/>
      <c r="D114" s="977"/>
      <c r="E114" s="977"/>
      <c r="F114" s="977"/>
      <c r="G114" s="977"/>
      <c r="H114" s="9"/>
      <c r="I114" s="9"/>
      <c r="J114" s="13"/>
      <c r="K114" s="9"/>
      <c r="L114" s="9"/>
      <c r="M114" s="9"/>
      <c r="N114" s="9"/>
      <c r="O114" s="9"/>
      <c r="P114" s="9"/>
      <c r="Q114" s="9"/>
      <c r="R114" s="9"/>
      <c r="S114" s="9"/>
      <c r="T114" s="9"/>
      <c r="U114" s="9"/>
      <c r="V114" s="152"/>
      <c r="W114" s="168"/>
      <c r="AE114" s="89"/>
      <c r="AH114" s="210"/>
      <c r="AI114" s="210"/>
      <c r="AJ114" s="175"/>
    </row>
    <row r="115" spans="1:37" ht="11.25" customHeight="1" x14ac:dyDescent="0.2">
      <c r="A115" s="158"/>
      <c r="B115" s="976"/>
      <c r="C115" s="977"/>
      <c r="D115" s="977"/>
      <c r="E115" s="977"/>
      <c r="F115" s="977"/>
      <c r="G115" s="977"/>
      <c r="H115" s="9"/>
      <c r="I115" s="9"/>
      <c r="J115" s="13"/>
      <c r="K115" s="9"/>
      <c r="L115" s="9"/>
      <c r="M115" s="9"/>
      <c r="N115" s="9"/>
      <c r="O115" s="9"/>
      <c r="P115" s="9"/>
      <c r="Q115" s="9"/>
      <c r="R115" s="9"/>
      <c r="S115" s="9"/>
      <c r="T115" s="9"/>
      <c r="U115" s="9"/>
      <c r="V115" s="152"/>
      <c r="W115" s="168"/>
      <c r="AE115" s="89"/>
      <c r="AH115" s="210"/>
      <c r="AI115" s="210"/>
      <c r="AJ115" s="175"/>
    </row>
    <row r="116" spans="1:37" ht="11.25" customHeight="1" x14ac:dyDescent="0.2">
      <c r="A116" s="158"/>
      <c r="B116" s="976" t="s">
        <v>210</v>
      </c>
      <c r="C116" s="976"/>
      <c r="D116" s="978"/>
      <c r="E116" s="978"/>
      <c r="F116" s="978"/>
      <c r="G116" s="924"/>
      <c r="H116" s="9"/>
      <c r="I116" s="9"/>
      <c r="J116" s="13"/>
      <c r="K116" s="9"/>
      <c r="L116" s="9"/>
      <c r="M116" s="9"/>
      <c r="N116" s="9"/>
      <c r="O116" s="9"/>
      <c r="P116" s="9"/>
      <c r="Q116" s="9"/>
      <c r="R116" s="9"/>
      <c r="S116" s="9"/>
      <c r="T116" s="9"/>
      <c r="U116" s="11"/>
      <c r="V116" s="281"/>
      <c r="W116" s="168"/>
      <c r="Z116" s="80"/>
      <c r="AA116" s="80"/>
      <c r="AE116" s="89"/>
      <c r="AH116" s="210"/>
      <c r="AI116" s="210"/>
      <c r="AJ116" s="175"/>
      <c r="AK116" s="175"/>
    </row>
    <row r="117" spans="1:37" ht="11.25" customHeight="1" x14ac:dyDescent="0.2">
      <c r="A117" s="158"/>
      <c r="B117" s="976"/>
      <c r="C117" s="976"/>
      <c r="D117" s="978"/>
      <c r="E117" s="978"/>
      <c r="F117" s="978"/>
      <c r="G117" s="924"/>
      <c r="H117" s="9"/>
      <c r="I117" s="9"/>
      <c r="J117" s="13"/>
      <c r="K117" s="9"/>
      <c r="L117" s="9"/>
      <c r="M117" s="9"/>
      <c r="N117" s="9"/>
      <c r="O117" s="9"/>
      <c r="P117" s="9"/>
      <c r="Q117" s="9"/>
      <c r="R117" s="9"/>
      <c r="S117" s="9"/>
      <c r="T117" s="9"/>
      <c r="U117" s="11"/>
      <c r="V117" s="281"/>
      <c r="W117" s="168"/>
      <c r="Z117" s="80"/>
      <c r="AA117" s="80"/>
      <c r="AE117" s="89"/>
      <c r="AH117" s="210"/>
      <c r="AI117" s="210"/>
      <c r="AJ117" s="175"/>
      <c r="AK117" s="175"/>
    </row>
    <row r="118" spans="1:37" ht="11.25" customHeight="1" x14ac:dyDescent="0.2">
      <c r="A118" s="158"/>
      <c r="B118" s="976" t="s">
        <v>211</v>
      </c>
      <c r="C118" s="976"/>
      <c r="D118" s="978"/>
      <c r="E118" s="978"/>
      <c r="F118" s="978"/>
      <c r="G118" s="924"/>
      <c r="H118" s="9"/>
      <c r="I118" s="9"/>
      <c r="J118" s="13"/>
      <c r="K118" s="9"/>
      <c r="L118" s="9"/>
      <c r="M118" s="9"/>
      <c r="N118" s="9"/>
      <c r="O118" s="9"/>
      <c r="P118" s="9"/>
      <c r="Q118" s="9"/>
      <c r="R118" s="9"/>
      <c r="S118" s="9"/>
      <c r="T118" s="9"/>
      <c r="U118" s="11"/>
      <c r="V118" s="281"/>
      <c r="W118" s="168"/>
      <c r="Z118" s="80"/>
      <c r="AA118" s="80"/>
      <c r="AE118" s="89"/>
      <c r="AH118" s="210"/>
      <c r="AI118" s="210"/>
      <c r="AJ118" s="175"/>
      <c r="AK118" s="175"/>
    </row>
    <row r="119" spans="1:37" ht="11.25" customHeight="1" x14ac:dyDescent="0.2">
      <c r="A119" s="158"/>
      <c r="B119" s="976"/>
      <c r="C119" s="976"/>
      <c r="D119" s="978"/>
      <c r="E119" s="978"/>
      <c r="F119" s="978"/>
      <c r="G119" s="924"/>
      <c r="H119" s="9"/>
      <c r="I119" s="9"/>
      <c r="J119" s="13"/>
      <c r="K119" s="9"/>
      <c r="L119" s="9"/>
      <c r="M119" s="9"/>
      <c r="N119" s="9"/>
      <c r="O119" s="9"/>
      <c r="P119" s="9"/>
      <c r="Q119" s="9"/>
      <c r="R119" s="9"/>
      <c r="S119" s="9"/>
      <c r="T119" s="9"/>
      <c r="U119" s="11"/>
      <c r="V119" s="281"/>
      <c r="W119" s="168"/>
      <c r="Z119" s="80"/>
      <c r="AA119" s="80"/>
      <c r="AE119" s="89"/>
      <c r="AH119" s="210"/>
      <c r="AI119" s="210"/>
      <c r="AJ119" s="175"/>
      <c r="AK119" s="175"/>
    </row>
    <row r="120" spans="1:37" ht="11.25" customHeight="1" x14ac:dyDescent="0.2">
      <c r="A120" s="158"/>
      <c r="B120" s="976" t="s">
        <v>212</v>
      </c>
      <c r="C120" s="976"/>
      <c r="D120" s="978"/>
      <c r="E120" s="978"/>
      <c r="F120" s="978"/>
      <c r="G120" s="924"/>
      <c r="H120" s="9"/>
      <c r="I120" s="9"/>
      <c r="J120" s="13"/>
      <c r="K120" s="9"/>
      <c r="L120" s="9"/>
      <c r="M120" s="9"/>
      <c r="N120" s="9"/>
      <c r="O120" s="9"/>
      <c r="P120" s="9"/>
      <c r="Q120" s="9"/>
      <c r="R120" s="9"/>
      <c r="S120" s="9"/>
      <c r="T120" s="9"/>
      <c r="U120" s="11"/>
      <c r="V120" s="281"/>
      <c r="W120" s="168"/>
      <c r="Z120" s="80"/>
      <c r="AA120" s="80"/>
      <c r="AE120" s="89"/>
      <c r="AH120" s="210"/>
      <c r="AI120" s="210"/>
      <c r="AJ120" s="175"/>
      <c r="AK120" s="175"/>
    </row>
    <row r="121" spans="1:37" ht="11.25" customHeight="1" x14ac:dyDescent="0.2">
      <c r="A121" s="158"/>
      <c r="B121" s="976"/>
      <c r="C121" s="976"/>
      <c r="D121" s="978"/>
      <c r="E121" s="978"/>
      <c r="F121" s="978"/>
      <c r="G121" s="924"/>
      <c r="H121" s="9"/>
      <c r="I121" s="9"/>
      <c r="J121" s="13"/>
      <c r="K121" s="9"/>
      <c r="L121" s="9"/>
      <c r="M121" s="9"/>
      <c r="N121" s="9"/>
      <c r="O121" s="9"/>
      <c r="P121" s="9"/>
      <c r="Q121" s="9"/>
      <c r="R121" s="9"/>
      <c r="S121" s="9"/>
      <c r="T121" s="9"/>
      <c r="U121" s="11"/>
      <c r="V121" s="281"/>
      <c r="W121" s="168"/>
      <c r="Z121" s="80"/>
      <c r="AA121" s="80"/>
      <c r="AE121" s="89"/>
      <c r="AH121" s="210"/>
      <c r="AI121" s="210"/>
      <c r="AJ121" s="175"/>
      <c r="AK121" s="175"/>
    </row>
    <row r="122" spans="1:37" ht="11.25" customHeight="1" x14ac:dyDescent="0.2">
      <c r="A122" s="158"/>
      <c r="B122" s="973" t="s">
        <v>80</v>
      </c>
      <c r="C122" s="974"/>
      <c r="D122" s="974"/>
      <c r="E122" s="974"/>
      <c r="F122" s="974"/>
      <c r="G122" s="974"/>
      <c r="H122" s="9"/>
      <c r="I122" s="9"/>
      <c r="J122" s="13"/>
      <c r="K122" s="9"/>
      <c r="L122" s="9"/>
      <c r="M122" s="9"/>
      <c r="N122" s="9"/>
      <c r="O122" s="9"/>
      <c r="P122" s="9"/>
      <c r="Q122" s="9"/>
      <c r="R122" s="9"/>
      <c r="S122" s="9"/>
      <c r="T122" s="9"/>
      <c r="U122" s="9"/>
      <c r="V122" s="152"/>
      <c r="W122" s="168"/>
      <c r="AE122" s="89"/>
      <c r="AH122" s="210"/>
      <c r="AI122" s="210"/>
      <c r="AJ122" s="175"/>
    </row>
    <row r="123" spans="1:37" ht="11.25" customHeight="1" x14ac:dyDescent="0.2">
      <c r="A123" s="158"/>
      <c r="B123" s="973"/>
      <c r="C123" s="974"/>
      <c r="D123" s="974"/>
      <c r="E123" s="974"/>
      <c r="F123" s="974"/>
      <c r="G123" s="974"/>
      <c r="H123" s="9"/>
      <c r="I123" s="9"/>
      <c r="J123" s="13"/>
      <c r="K123" s="9"/>
      <c r="L123" s="9"/>
      <c r="M123" s="9"/>
      <c r="N123" s="9"/>
      <c r="O123" s="9"/>
      <c r="P123" s="9"/>
      <c r="Q123" s="9"/>
      <c r="R123" s="9"/>
      <c r="S123" s="9"/>
      <c r="T123" s="9"/>
      <c r="U123" s="9"/>
      <c r="V123" s="152"/>
      <c r="W123" s="168"/>
      <c r="AE123" s="89"/>
      <c r="AH123" s="210"/>
      <c r="AI123" s="210"/>
      <c r="AJ123" s="175"/>
    </row>
    <row r="124" spans="1:37" ht="11.25" customHeight="1" x14ac:dyDescent="0.2">
      <c r="A124" s="158"/>
      <c r="B124" s="973" t="s">
        <v>69</v>
      </c>
      <c r="C124" s="974"/>
      <c r="D124" s="974"/>
      <c r="E124" s="974"/>
      <c r="F124" s="974"/>
      <c r="G124" s="974"/>
      <c r="H124" s="9"/>
      <c r="I124" s="9"/>
      <c r="J124" s="13"/>
      <c r="K124" s="9"/>
      <c r="L124" s="9"/>
      <c r="M124" s="9"/>
      <c r="N124" s="9"/>
      <c r="O124" s="9"/>
      <c r="P124" s="9"/>
      <c r="Q124" s="9"/>
      <c r="R124" s="9"/>
      <c r="S124" s="9"/>
      <c r="T124" s="9"/>
      <c r="U124" s="9"/>
      <c r="V124" s="152"/>
      <c r="W124" s="168"/>
      <c r="AE124" s="89"/>
      <c r="AH124" s="210"/>
      <c r="AI124" s="210"/>
      <c r="AJ124" s="175"/>
    </row>
    <row r="125" spans="1:37" ht="11.25" customHeight="1" x14ac:dyDescent="0.2">
      <c r="A125" s="158"/>
      <c r="B125" s="973"/>
      <c r="C125" s="974"/>
      <c r="D125" s="974"/>
      <c r="E125" s="974"/>
      <c r="F125" s="974"/>
      <c r="G125" s="974"/>
      <c r="H125" s="9"/>
      <c r="I125" s="9"/>
      <c r="J125" s="13"/>
      <c r="K125" s="9"/>
      <c r="L125" s="9"/>
      <c r="M125" s="9"/>
      <c r="N125" s="9"/>
      <c r="O125" s="9"/>
      <c r="P125" s="9"/>
      <c r="Q125" s="9"/>
      <c r="R125" s="9"/>
      <c r="S125" s="9"/>
      <c r="T125" s="9"/>
      <c r="U125" s="9"/>
      <c r="V125" s="152"/>
      <c r="W125" s="168"/>
      <c r="AE125" s="89"/>
      <c r="AH125" s="210"/>
      <c r="AI125" s="210"/>
      <c r="AJ125" s="175"/>
    </row>
    <row r="126" spans="1:37" ht="11.25" customHeight="1" x14ac:dyDescent="0.2">
      <c r="A126" s="158"/>
      <c r="B126" s="973" t="s">
        <v>25</v>
      </c>
      <c r="C126" s="974"/>
      <c r="D126" s="974"/>
      <c r="E126" s="974"/>
      <c r="F126" s="974"/>
      <c r="G126" s="974"/>
      <c r="H126" s="9"/>
      <c r="I126" s="9"/>
      <c r="J126" s="13"/>
      <c r="K126" s="9"/>
      <c r="L126" s="9"/>
      <c r="M126" s="9"/>
      <c r="N126" s="9"/>
      <c r="O126" s="9"/>
      <c r="P126" s="9"/>
      <c r="Q126" s="9"/>
      <c r="R126" s="9"/>
      <c r="S126" s="9"/>
      <c r="T126" s="9"/>
      <c r="U126" s="9"/>
      <c r="V126" s="152"/>
      <c r="W126" s="168"/>
      <c r="AE126" s="89"/>
      <c r="AH126" s="210"/>
      <c r="AI126" s="210"/>
      <c r="AJ126" s="175"/>
    </row>
    <row r="127" spans="1:37" ht="11.25" customHeight="1" x14ac:dyDescent="0.2">
      <c r="A127" s="158"/>
      <c r="B127" s="973"/>
      <c r="C127" s="974"/>
      <c r="D127" s="974"/>
      <c r="E127" s="974"/>
      <c r="F127" s="974"/>
      <c r="G127" s="974"/>
      <c r="H127" s="9"/>
      <c r="I127" s="9"/>
      <c r="J127" s="13"/>
      <c r="K127" s="9"/>
      <c r="L127" s="9"/>
      <c r="M127" s="9"/>
      <c r="N127" s="9"/>
      <c r="O127" s="9"/>
      <c r="P127" s="9"/>
      <c r="Q127" s="9"/>
      <c r="R127" s="9"/>
      <c r="S127" s="9"/>
      <c r="T127" s="9"/>
      <c r="U127" s="9"/>
      <c r="V127" s="152"/>
      <c r="W127" s="168"/>
      <c r="AE127" s="89"/>
      <c r="AH127" s="210"/>
      <c r="AI127" s="210"/>
      <c r="AJ127" s="175"/>
    </row>
    <row r="128" spans="1:37" ht="11.25" customHeight="1" x14ac:dyDescent="0.2">
      <c r="A128" s="158"/>
      <c r="B128" s="973" t="s">
        <v>23</v>
      </c>
      <c r="C128" s="974"/>
      <c r="D128" s="974"/>
      <c r="E128" s="974"/>
      <c r="F128" s="974"/>
      <c r="G128" s="974"/>
      <c r="H128" s="9"/>
      <c r="I128" s="9"/>
      <c r="J128" s="13"/>
      <c r="K128" s="9"/>
      <c r="L128" s="9"/>
      <c r="M128" s="9"/>
      <c r="N128" s="9"/>
      <c r="O128" s="9"/>
      <c r="P128" s="9"/>
      <c r="Q128" s="9"/>
      <c r="R128" s="9"/>
      <c r="S128" s="9"/>
      <c r="T128" s="9"/>
      <c r="U128" s="9"/>
      <c r="V128" s="152"/>
      <c r="W128" s="168"/>
      <c r="AE128" s="89"/>
      <c r="AH128" s="210"/>
      <c r="AI128" s="210"/>
      <c r="AJ128" s="175"/>
    </row>
    <row r="129" spans="1:36" ht="11.25" customHeight="1" x14ac:dyDescent="0.2">
      <c r="A129" s="158"/>
      <c r="B129" s="973"/>
      <c r="C129" s="974"/>
      <c r="D129" s="974"/>
      <c r="E129" s="974"/>
      <c r="F129" s="974"/>
      <c r="G129" s="974"/>
      <c r="H129" s="9"/>
      <c r="I129" s="9"/>
      <c r="J129" s="13"/>
      <c r="K129" s="9"/>
      <c r="L129" s="9"/>
      <c r="M129" s="9"/>
      <c r="N129" s="9"/>
      <c r="O129" s="9"/>
      <c r="P129" s="9"/>
      <c r="Q129" s="9"/>
      <c r="R129" s="9"/>
      <c r="S129" s="9"/>
      <c r="T129" s="9"/>
      <c r="U129" s="9"/>
      <c r="V129" s="152"/>
      <c r="W129" s="168"/>
      <c r="AE129" s="89"/>
      <c r="AH129" s="210"/>
      <c r="AI129" s="210"/>
      <c r="AJ129" s="175"/>
    </row>
    <row r="130" spans="1:36" ht="11.25" customHeight="1" x14ac:dyDescent="0.2">
      <c r="A130" s="158"/>
      <c r="B130" s="973" t="s">
        <v>26</v>
      </c>
      <c r="C130" s="974"/>
      <c r="D130" s="974"/>
      <c r="E130" s="974"/>
      <c r="F130" s="974"/>
      <c r="G130" s="974"/>
      <c r="H130" s="9"/>
      <c r="I130" s="9"/>
      <c r="J130" s="13"/>
      <c r="K130" s="9"/>
      <c r="L130" s="9"/>
      <c r="M130" s="9"/>
      <c r="N130" s="9"/>
      <c r="O130" s="9"/>
      <c r="P130" s="9"/>
      <c r="Q130" s="9"/>
      <c r="R130" s="9"/>
      <c r="S130" s="9"/>
      <c r="T130" s="9"/>
      <c r="U130" s="9"/>
      <c r="V130" s="152"/>
      <c r="W130" s="168"/>
      <c r="AE130" s="89"/>
      <c r="AH130" s="210"/>
      <c r="AI130" s="210"/>
      <c r="AJ130" s="175"/>
    </row>
    <row r="131" spans="1:36" ht="11.25" customHeight="1" x14ac:dyDescent="0.2">
      <c r="A131" s="158"/>
      <c r="B131" s="973"/>
      <c r="C131" s="974"/>
      <c r="D131" s="974"/>
      <c r="E131" s="974"/>
      <c r="F131" s="974"/>
      <c r="G131" s="974"/>
      <c r="H131" s="9"/>
      <c r="I131" s="9"/>
      <c r="J131" s="13"/>
      <c r="K131" s="9"/>
      <c r="L131" s="9"/>
      <c r="M131" s="9"/>
      <c r="N131" s="9"/>
      <c r="O131" s="9"/>
      <c r="P131" s="9"/>
      <c r="Q131" s="9"/>
      <c r="R131" s="9"/>
      <c r="S131" s="9"/>
      <c r="T131" s="9"/>
      <c r="U131" s="9"/>
      <c r="V131" s="152"/>
      <c r="W131" s="168"/>
      <c r="AE131" s="89"/>
      <c r="AH131" s="210"/>
      <c r="AI131" s="210"/>
      <c r="AJ131" s="175"/>
    </row>
    <row r="132" spans="1:36" ht="11.25" customHeight="1" x14ac:dyDescent="0.2">
      <c r="A132" s="158"/>
      <c r="B132" s="973" t="s">
        <v>19</v>
      </c>
      <c r="C132" s="974"/>
      <c r="D132" s="974"/>
      <c r="E132" s="974"/>
      <c r="F132" s="974"/>
      <c r="G132" s="974"/>
      <c r="H132" s="9"/>
      <c r="I132" s="9"/>
      <c r="J132" s="13"/>
      <c r="K132" s="9"/>
      <c r="L132" s="9"/>
      <c r="M132" s="9"/>
      <c r="N132" s="9"/>
      <c r="O132" s="9"/>
      <c r="P132" s="9"/>
      <c r="Q132" s="9"/>
      <c r="R132" s="9"/>
      <c r="S132" s="9"/>
      <c r="T132" s="9"/>
      <c r="U132" s="9"/>
      <c r="V132" s="152"/>
      <c r="W132" s="168"/>
      <c r="AE132" s="89"/>
      <c r="AH132" s="210"/>
      <c r="AI132" s="210"/>
      <c r="AJ132" s="175"/>
    </row>
    <row r="133" spans="1:36" ht="11.25" customHeight="1" x14ac:dyDescent="0.2">
      <c r="A133" s="158"/>
      <c r="B133" s="973"/>
      <c r="C133" s="974"/>
      <c r="D133" s="974"/>
      <c r="E133" s="974"/>
      <c r="F133" s="974"/>
      <c r="G133" s="974"/>
      <c r="H133" s="9"/>
      <c r="I133" s="9"/>
      <c r="J133" s="13"/>
      <c r="K133" s="9"/>
      <c r="L133" s="9"/>
      <c r="M133" s="9"/>
      <c r="N133" s="9"/>
      <c r="O133" s="9"/>
      <c r="P133" s="9"/>
      <c r="Q133" s="9"/>
      <c r="R133" s="9"/>
      <c r="S133" s="9"/>
      <c r="T133" s="9"/>
      <c r="U133" s="9"/>
      <c r="V133" s="152"/>
      <c r="W133" s="168"/>
      <c r="AE133" s="89"/>
      <c r="AH133" s="210"/>
      <c r="AI133" s="210"/>
      <c r="AJ133" s="175"/>
    </row>
    <row r="134" spans="1:36" ht="11.25" customHeight="1" x14ac:dyDescent="0.2">
      <c r="A134" s="158"/>
      <c r="B134" s="973" t="s">
        <v>20</v>
      </c>
      <c r="C134" s="930"/>
      <c r="D134" s="930"/>
      <c r="E134" s="930"/>
      <c r="F134" s="930"/>
      <c r="G134" s="930"/>
      <c r="H134" s="930"/>
      <c r="I134" s="9"/>
      <c r="J134" s="13"/>
      <c r="K134" s="9"/>
      <c r="L134" s="9"/>
      <c r="M134" s="9"/>
      <c r="N134" s="9"/>
      <c r="O134" s="9"/>
      <c r="P134" s="9"/>
      <c r="Q134" s="9"/>
      <c r="R134" s="9"/>
      <c r="S134" s="9"/>
      <c r="T134" s="9"/>
      <c r="U134" s="9"/>
      <c r="V134" s="152"/>
      <c r="W134" s="168"/>
      <c r="AE134" s="89"/>
      <c r="AH134" s="210"/>
      <c r="AI134" s="210"/>
      <c r="AJ134" s="175"/>
    </row>
    <row r="135" spans="1:36" ht="11.25" customHeight="1" x14ac:dyDescent="0.2">
      <c r="A135" s="158"/>
      <c r="B135" s="930"/>
      <c r="C135" s="930"/>
      <c r="D135" s="930"/>
      <c r="E135" s="930"/>
      <c r="F135" s="930"/>
      <c r="G135" s="930"/>
      <c r="H135" s="930"/>
      <c r="I135" s="9"/>
      <c r="J135" s="13"/>
      <c r="K135" s="9"/>
      <c r="L135" s="9"/>
      <c r="M135" s="9"/>
      <c r="N135" s="9"/>
      <c r="O135" s="9"/>
      <c r="P135" s="9"/>
      <c r="Q135" s="9"/>
      <c r="R135" s="9"/>
      <c r="S135" s="9"/>
      <c r="T135" s="9"/>
      <c r="U135" s="9"/>
      <c r="V135" s="152"/>
      <c r="W135" s="168"/>
      <c r="AE135" s="89"/>
      <c r="AH135" s="210"/>
      <c r="AI135" s="210"/>
      <c r="AJ135" s="175"/>
    </row>
    <row r="136" spans="1:36" ht="11.25" customHeight="1" x14ac:dyDescent="0.2">
      <c r="A136" s="158"/>
      <c r="B136" s="973" t="s">
        <v>21</v>
      </c>
      <c r="C136" s="974"/>
      <c r="D136" s="974"/>
      <c r="E136" s="974"/>
      <c r="F136" s="974"/>
      <c r="G136" s="974"/>
      <c r="H136" s="9"/>
      <c r="I136" s="9"/>
      <c r="J136" s="13"/>
      <c r="K136" s="9"/>
      <c r="L136" s="9"/>
      <c r="M136" s="9"/>
      <c r="N136" s="9"/>
      <c r="O136" s="9"/>
      <c r="P136" s="9"/>
      <c r="Q136" s="9"/>
      <c r="R136" s="9"/>
      <c r="S136" s="9"/>
      <c r="T136" s="9"/>
      <c r="U136" s="9"/>
      <c r="V136" s="152"/>
      <c r="W136" s="168"/>
      <c r="AE136" s="89"/>
      <c r="AH136" s="210"/>
      <c r="AI136" s="210"/>
      <c r="AJ136" s="175"/>
    </row>
    <row r="137" spans="1:36" ht="11.25" customHeight="1" x14ac:dyDescent="0.2">
      <c r="A137" s="158"/>
      <c r="B137" s="973"/>
      <c r="C137" s="974"/>
      <c r="D137" s="974"/>
      <c r="E137" s="974"/>
      <c r="F137" s="974"/>
      <c r="G137" s="974"/>
      <c r="H137" s="9"/>
      <c r="I137" s="9"/>
      <c r="J137" s="13"/>
      <c r="K137" s="9"/>
      <c r="L137" s="9"/>
      <c r="M137" s="9"/>
      <c r="N137" s="9"/>
      <c r="O137" s="9"/>
      <c r="P137" s="9"/>
      <c r="Q137" s="9"/>
      <c r="R137" s="9"/>
      <c r="S137" s="9"/>
      <c r="T137" s="9"/>
      <c r="U137" s="9"/>
      <c r="V137" s="152"/>
      <c r="W137" s="168"/>
      <c r="AE137" s="89"/>
      <c r="AH137" s="210"/>
      <c r="AI137" s="210"/>
      <c r="AJ137" s="175"/>
    </row>
    <row r="138" spans="1:36" ht="11.25" customHeight="1" x14ac:dyDescent="0.2">
      <c r="A138" s="158"/>
      <c r="B138" s="973" t="s">
        <v>27</v>
      </c>
      <c r="C138" s="974"/>
      <c r="D138" s="974"/>
      <c r="E138" s="974"/>
      <c r="F138" s="974"/>
      <c r="G138" s="974"/>
      <c r="H138" s="9"/>
      <c r="I138" s="9"/>
      <c r="J138" s="13"/>
      <c r="K138" s="9"/>
      <c r="L138" s="9"/>
      <c r="M138" s="9"/>
      <c r="N138" s="9"/>
      <c r="O138" s="9"/>
      <c r="P138" s="9"/>
      <c r="Q138" s="9"/>
      <c r="R138" s="9"/>
      <c r="S138" s="9"/>
      <c r="T138" s="9"/>
      <c r="U138" s="9"/>
      <c r="V138" s="152"/>
      <c r="W138" s="168"/>
      <c r="AE138" s="89"/>
      <c r="AH138" s="210"/>
      <c r="AI138" s="210"/>
      <c r="AJ138" s="175"/>
    </row>
    <row r="139" spans="1:36" ht="11.25" customHeight="1" x14ac:dyDescent="0.2">
      <c r="A139" s="158"/>
      <c r="B139" s="973"/>
      <c r="C139" s="974"/>
      <c r="D139" s="974"/>
      <c r="E139" s="974"/>
      <c r="F139" s="974"/>
      <c r="G139" s="974"/>
      <c r="H139" s="9"/>
      <c r="I139" s="9"/>
      <c r="J139" s="13"/>
      <c r="K139" s="9"/>
      <c r="L139" s="9"/>
      <c r="M139" s="9"/>
      <c r="N139" s="9"/>
      <c r="O139" s="9"/>
      <c r="P139" s="9"/>
      <c r="Q139" s="9"/>
      <c r="R139" s="9"/>
      <c r="S139" s="9"/>
      <c r="T139" s="9"/>
      <c r="U139" s="9"/>
      <c r="V139" s="152"/>
      <c r="W139" s="168"/>
      <c r="AE139" s="89"/>
      <c r="AH139" s="210"/>
      <c r="AI139" s="210"/>
      <c r="AJ139" s="175"/>
    </row>
    <row r="140" spans="1:36" ht="11.25" customHeight="1" x14ac:dyDescent="0.2">
      <c r="A140" s="158"/>
      <c r="B140" s="973" t="s">
        <v>22</v>
      </c>
      <c r="C140" s="974"/>
      <c r="D140" s="974"/>
      <c r="E140" s="974"/>
      <c r="F140" s="974"/>
      <c r="G140" s="974"/>
      <c r="H140" s="9"/>
      <c r="I140" s="9"/>
      <c r="J140" s="13"/>
      <c r="K140" s="9"/>
      <c r="L140" s="9"/>
      <c r="M140" s="9"/>
      <c r="N140" s="9"/>
      <c r="O140" s="9"/>
      <c r="P140" s="9"/>
      <c r="Q140" s="9"/>
      <c r="R140" s="9"/>
      <c r="S140" s="9"/>
      <c r="T140" s="9"/>
      <c r="U140" s="9"/>
      <c r="V140" s="152"/>
      <c r="W140" s="168"/>
      <c r="AE140" s="89"/>
      <c r="AH140" s="210"/>
      <c r="AI140" s="210"/>
      <c r="AJ140" s="175"/>
    </row>
    <row r="141" spans="1:36" ht="11.25" customHeight="1" x14ac:dyDescent="0.2">
      <c r="A141" s="158"/>
      <c r="B141" s="973"/>
      <c r="C141" s="974"/>
      <c r="D141" s="974"/>
      <c r="E141" s="974"/>
      <c r="F141" s="974"/>
      <c r="G141" s="974"/>
      <c r="H141" s="9"/>
      <c r="I141" s="9"/>
      <c r="J141" s="13"/>
      <c r="K141" s="9"/>
      <c r="L141" s="9"/>
      <c r="M141" s="9"/>
      <c r="N141" s="9"/>
      <c r="O141" s="9"/>
      <c r="P141" s="9"/>
      <c r="Q141" s="9"/>
      <c r="R141" s="9"/>
      <c r="S141" s="9"/>
      <c r="T141" s="9"/>
      <c r="U141" s="9"/>
      <c r="V141" s="152"/>
      <c r="W141" s="168"/>
      <c r="AE141" s="89"/>
      <c r="AH141" s="210"/>
      <c r="AI141" s="210"/>
      <c r="AJ141" s="175"/>
    </row>
    <row r="142" spans="1:36" ht="11.25" customHeight="1" x14ac:dyDescent="0.2">
      <c r="A142" s="158"/>
      <c r="B142" s="973" t="s">
        <v>874</v>
      </c>
      <c r="C142" s="975"/>
      <c r="D142" s="975"/>
      <c r="E142" s="975"/>
      <c r="F142" s="975"/>
      <c r="G142" s="975"/>
      <c r="H142" s="9"/>
      <c r="I142" s="9"/>
      <c r="J142" s="13"/>
      <c r="K142" s="9"/>
      <c r="L142" s="9"/>
      <c r="M142" s="9"/>
      <c r="N142" s="9"/>
      <c r="O142" s="9"/>
      <c r="P142" s="9"/>
      <c r="Q142" s="9"/>
      <c r="R142" s="9"/>
      <c r="S142" s="9"/>
      <c r="T142" s="9"/>
      <c r="U142" s="9"/>
      <c r="V142" s="152"/>
      <c r="W142" s="168"/>
      <c r="AE142" s="89"/>
      <c r="AH142" s="210"/>
      <c r="AI142" s="210"/>
      <c r="AJ142" s="175"/>
    </row>
    <row r="143" spans="1:36" ht="11.25" customHeight="1" x14ac:dyDescent="0.2">
      <c r="A143" s="158"/>
      <c r="B143" s="973"/>
      <c r="C143" s="975"/>
      <c r="D143" s="975"/>
      <c r="E143" s="975"/>
      <c r="F143" s="975"/>
      <c r="G143" s="975"/>
      <c r="H143" s="9"/>
      <c r="I143" s="9"/>
      <c r="J143" s="13"/>
      <c r="K143" s="9"/>
      <c r="L143" s="9"/>
      <c r="M143" s="9"/>
      <c r="N143" s="9"/>
      <c r="O143" s="9"/>
      <c r="P143" s="9"/>
      <c r="Q143" s="9"/>
      <c r="R143" s="9"/>
      <c r="S143" s="9"/>
      <c r="T143" s="9"/>
      <c r="U143" s="9"/>
      <c r="V143" s="152"/>
      <c r="W143" s="168"/>
      <c r="AE143" s="89"/>
      <c r="AH143" s="210"/>
      <c r="AI143" s="210"/>
      <c r="AJ143" s="175"/>
    </row>
    <row r="144" spans="1:36" ht="11.25" customHeight="1" x14ac:dyDescent="0.2">
      <c r="A144" s="158"/>
      <c r="B144" s="973"/>
      <c r="C144" s="973"/>
      <c r="D144" s="973"/>
      <c r="E144" s="973"/>
      <c r="F144" s="975"/>
      <c r="G144" s="975"/>
      <c r="H144" s="975"/>
      <c r="I144" s="9"/>
      <c r="J144" s="13"/>
      <c r="K144" s="9"/>
      <c r="L144" s="9"/>
      <c r="M144" s="9"/>
      <c r="N144" s="9"/>
      <c r="O144" s="9"/>
      <c r="P144" s="9"/>
      <c r="Q144" s="9"/>
      <c r="R144" s="9"/>
      <c r="S144" s="9"/>
      <c r="T144" s="9"/>
      <c r="U144" s="9"/>
      <c r="V144" s="152"/>
      <c r="W144" s="168"/>
      <c r="X144" s="80"/>
      <c r="Y144" s="80"/>
      <c r="AE144" s="89"/>
      <c r="AH144" s="210"/>
      <c r="AI144" s="210"/>
      <c r="AJ144" s="175"/>
    </row>
    <row r="145" spans="1:45" ht="11.25" customHeight="1" x14ac:dyDescent="0.2">
      <c r="A145" s="158"/>
      <c r="B145" s="973"/>
      <c r="C145" s="973"/>
      <c r="D145" s="973"/>
      <c r="E145" s="973"/>
      <c r="F145" s="975"/>
      <c r="G145" s="975"/>
      <c r="H145" s="975"/>
      <c r="I145" s="9"/>
      <c r="J145" s="13"/>
      <c r="K145" s="9"/>
      <c r="L145" s="9"/>
      <c r="M145" s="9"/>
      <c r="N145" s="9"/>
      <c r="O145" s="9"/>
      <c r="P145" s="9"/>
      <c r="Q145" s="9"/>
      <c r="R145" s="9"/>
      <c r="S145" s="9"/>
      <c r="T145" s="9"/>
      <c r="U145" s="9"/>
      <c r="V145" s="152"/>
      <c r="W145" s="168"/>
      <c r="X145" s="80"/>
      <c r="Y145" s="80"/>
      <c r="AE145" s="89"/>
      <c r="AH145" s="210"/>
      <c r="AI145" s="210"/>
      <c r="AJ145" s="175"/>
    </row>
    <row r="146" spans="1:45" ht="18.75" customHeight="1" x14ac:dyDescent="0.2">
      <c r="A146" s="159"/>
      <c r="B146" s="160"/>
      <c r="C146" s="160"/>
      <c r="D146" s="160"/>
      <c r="E146" s="160"/>
      <c r="F146" s="160"/>
      <c r="G146" s="160"/>
      <c r="H146" s="160"/>
      <c r="I146" s="160"/>
      <c r="J146" s="161"/>
      <c r="K146" s="160"/>
      <c r="L146" s="160"/>
      <c r="M146" s="160"/>
      <c r="N146" s="160"/>
      <c r="O146" s="160"/>
      <c r="P146" s="160"/>
      <c r="Q146" s="160"/>
      <c r="R146" s="160"/>
      <c r="S146" s="160"/>
      <c r="T146" s="160"/>
      <c r="U146" s="160"/>
      <c r="V146" s="156"/>
      <c r="W146" s="180"/>
      <c r="X146" s="227"/>
      <c r="Y146" s="227"/>
      <c r="Z146" s="227"/>
      <c r="AA146" s="227"/>
      <c r="AB146" s="227"/>
      <c r="AC146" s="227"/>
      <c r="AD146" s="227"/>
      <c r="AE146" s="227"/>
      <c r="AF146" s="227"/>
      <c r="AG146" s="227"/>
      <c r="AH146" s="227"/>
      <c r="AI146" s="648"/>
      <c r="AJ146" s="94"/>
    </row>
    <row r="147" spans="1:45" s="87" customFormat="1" ht="11.25" customHeight="1" x14ac:dyDescent="0.2">
      <c r="A147" s="80"/>
      <c r="B147" s="80"/>
      <c r="C147" s="80"/>
      <c r="D147" s="80"/>
      <c r="E147" s="80"/>
      <c r="F147" s="80"/>
      <c r="G147" s="80"/>
      <c r="H147" s="80"/>
      <c r="I147" s="80"/>
      <c r="J147" s="106"/>
      <c r="K147" s="80"/>
      <c r="L147" s="80"/>
      <c r="M147" s="80"/>
      <c r="N147" s="80"/>
      <c r="O147" s="80"/>
      <c r="P147" s="80"/>
      <c r="Q147" s="80"/>
      <c r="R147" s="80"/>
      <c r="S147" s="80"/>
      <c r="T147" s="80"/>
      <c r="U147" s="80"/>
      <c r="V147" s="181"/>
      <c r="X147" s="88"/>
      <c r="Y147" s="88"/>
      <c r="Z147" s="88"/>
      <c r="AA147" s="88"/>
      <c r="AB147" s="88"/>
      <c r="AC147" s="88"/>
      <c r="AD147" s="88"/>
      <c r="AE147" s="88"/>
      <c r="AF147" s="88"/>
      <c r="AG147" s="88"/>
      <c r="AH147" s="88"/>
      <c r="AI147" s="80"/>
      <c r="AJ147" s="80"/>
      <c r="AK147" s="80"/>
      <c r="AL147" s="80"/>
      <c r="AM147" s="80"/>
      <c r="AN147" s="80"/>
      <c r="AO147" s="80"/>
      <c r="AP147" s="80"/>
      <c r="AQ147" s="80"/>
      <c r="AR147" s="80"/>
      <c r="AS147" s="80"/>
    </row>
    <row r="273" spans="37:37" ht="11.25" customHeight="1" x14ac:dyDescent="0.2">
      <c r="AK273" s="80" t="b">
        <v>1</v>
      </c>
    </row>
  </sheetData>
  <mergeCells count="40">
    <mergeCell ref="B140:G141"/>
    <mergeCell ref="B142:G143"/>
    <mergeCell ref="B144:H145"/>
    <mergeCell ref="B130:G131"/>
    <mergeCell ref="B132:G133"/>
    <mergeCell ref="B134:H135"/>
    <mergeCell ref="B136:G137"/>
    <mergeCell ref="B138:G139"/>
    <mergeCell ref="R7:T7"/>
    <mergeCell ref="B34:T34"/>
    <mergeCell ref="A36:U36"/>
    <mergeCell ref="A37:U37"/>
    <mergeCell ref="A104:U104"/>
    <mergeCell ref="B5:N6"/>
    <mergeCell ref="D7:H7"/>
    <mergeCell ref="I7:I8"/>
    <mergeCell ref="K7:O7"/>
    <mergeCell ref="P7:P8"/>
    <mergeCell ref="B7:B8"/>
    <mergeCell ref="AB39:AB40"/>
    <mergeCell ref="A69:U69"/>
    <mergeCell ref="A70:U70"/>
    <mergeCell ref="M63:O63"/>
    <mergeCell ref="Q63:T63"/>
    <mergeCell ref="S64:T64"/>
    <mergeCell ref="Q64:R64"/>
    <mergeCell ref="M64:P64"/>
    <mergeCell ref="B122:G123"/>
    <mergeCell ref="B124:G125"/>
    <mergeCell ref="B126:G127"/>
    <mergeCell ref="B128:G129"/>
    <mergeCell ref="AA39:AA40"/>
    <mergeCell ref="B120:F121"/>
    <mergeCell ref="A105:U105"/>
    <mergeCell ref="B108:B109"/>
    <mergeCell ref="B116:F117"/>
    <mergeCell ref="B118:F119"/>
    <mergeCell ref="B110:G111"/>
    <mergeCell ref="B112:G113"/>
    <mergeCell ref="B114:G115"/>
  </mergeCells>
  <conditionalFormatting sqref="X69:AB69 Z8:AD8">
    <cfRule type="cellIs" dxfId="179" priority="17" stopIfTrue="1" operator="equal">
      <formula>0</formula>
    </cfRule>
  </conditionalFormatting>
  <conditionalFormatting sqref="B9:B30 K9:P30 B50:C65 D9:H30">
    <cfRule type="containsErrors" dxfId="178" priority="19">
      <formula>ISERROR(B9)</formula>
    </cfRule>
  </conditionalFormatting>
  <conditionalFormatting sqref="R9:T32">
    <cfRule type="containsErrors" dxfId="177" priority="13">
      <formula>ISERROR(R9)</formula>
    </cfRule>
  </conditionalFormatting>
  <conditionalFormatting sqref="A9:A30">
    <cfRule type="cellIs" dxfId="176" priority="12" operator="equal">
      <formula>0</formula>
    </cfRule>
  </conditionalFormatting>
  <conditionalFormatting sqref="B9:B30 K9:P30 B50:C65 D9:H30 R9:T30">
    <cfRule type="expression" dxfId="175" priority="18">
      <formula>$B9=$Y$4</formula>
    </cfRule>
  </conditionalFormatting>
  <conditionalFormatting sqref="A9:A31">
    <cfRule type="containsErrors" dxfId="174" priority="11">
      <formula>ISERROR(A9)</formula>
    </cfRule>
  </conditionalFormatting>
  <conditionalFormatting sqref="AF9:AG27">
    <cfRule type="containsErrors" dxfId="173" priority="10">
      <formula>ISERROR(AF9)</formula>
    </cfRule>
  </conditionalFormatting>
  <conditionalFormatting sqref="AF9:AG20 AG10:AG27">
    <cfRule type="expression" dxfId="172" priority="9">
      <formula>$B9=$W$4</formula>
    </cfRule>
  </conditionalFormatting>
  <conditionalFormatting sqref="I9:I30">
    <cfRule type="containsErrors" dxfId="171" priority="8">
      <formula>ISERROR(I9)</formula>
    </cfRule>
  </conditionalFormatting>
  <conditionalFormatting sqref="I9:I30">
    <cfRule type="expression" dxfId="170" priority="7">
      <formula>$B9=$Y$4</formula>
    </cfRule>
  </conditionalFormatting>
  <conditionalFormatting sqref="A37">
    <cfRule type="cellIs" dxfId="169" priority="5" operator="equal">
      <formula>0</formula>
    </cfRule>
    <cfRule type="containsErrors" dxfId="168" priority="6">
      <formula>ISERROR(A37)</formula>
    </cfRule>
  </conditionalFormatting>
  <conditionalFormatting sqref="A70">
    <cfRule type="cellIs" dxfId="167" priority="3" operator="equal">
      <formula>0</formula>
    </cfRule>
    <cfRule type="containsErrors" dxfId="166" priority="4">
      <formula>ISERROR(A70)</formula>
    </cfRule>
  </conditionalFormatting>
  <conditionalFormatting sqref="A105">
    <cfRule type="cellIs" dxfId="165" priority="1" operator="equal">
      <formula>0</formula>
    </cfRule>
    <cfRule type="containsErrors" dxfId="164" priority="2">
      <formula>ISERROR(A105)</formula>
    </cfRule>
  </conditionalFormatting>
  <hyperlinks>
    <hyperlink ref="B110:B111" location="Coverage!A1" display="Participating LA's"/>
    <hyperlink ref="B112:B113" location="IDACI!A1" display="IDACI"/>
    <hyperlink ref="B142:B143" location="Adoption!A1" display="Adoption"/>
    <hyperlink ref="B140:B141" location="'Looked After Children'!A1" display="Looked After Children"/>
    <hyperlink ref="B138:B139" location="'Court Applications'!A1" display="Court Applications"/>
    <hyperlink ref="B136:B137" location="'Child Protection Plans'!A1" display="Child Protection Plans"/>
    <hyperlink ref="B134:B135" location="'Initial CP Conferences'!A1" display="Initial Child Protection Conferences"/>
    <hyperlink ref="B132:B133" location="'Section 47 Enquiries'!A1" display="Section 47 Enquiries"/>
    <hyperlink ref="B130:B131" location="'Children in Need'!A1" display="Children in Need"/>
    <hyperlink ref="B128:B129" location="Assessments!A1" display="Assessments"/>
    <hyperlink ref="B126:B127" location="'Re-referrals'!A1" display="Re-referrals"/>
    <hyperlink ref="B124:B125" location="Referral_Source!A1" display="Referral Source"/>
    <hyperlink ref="B122:B123" location="Referrals!A1" display="Referrals"/>
    <hyperlink ref="B114:B115" location="Population!A1" display="Population"/>
    <hyperlink ref="B112:G113" location="IDACI!A1" display="IDACI"/>
    <hyperlink ref="B116:B117" location="CAF_EHA!A1" display="CAF (EHA's)"/>
    <hyperlink ref="B120:B121" location="CAF_EHA!A1" display="CAF (EHA's)"/>
    <hyperlink ref="B118:B119" location="CAF_EHA!A1" display="CAF (EHA's)"/>
    <hyperlink ref="B116:F117" location="EH_Referrals!A1" display="Early Help Referrals"/>
    <hyperlink ref="B118:F119" location="EH_Assessments!A1" display="Early Help Assessments"/>
    <hyperlink ref="B120:F121" location="EH_Clients!A1" display="Early Help Clients"/>
    <hyperlink ref="B142:G143" location="Adoption!A1" display="Permanenc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18" man="1"/>
    <brk id="70" max="20" man="1"/>
  </rowBreaks>
  <ignoredErrors>
    <ignoredError sqref="A9:A3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6257" r:id="rId4" name="Check Box 1">
              <controlPr defaultSize="0" autoFill="0" autoLine="0" autoPict="0" macro="[0]!CheckBox1_Click" altText="">
                <anchor>
                  <from>
                    <xdr:col>22</xdr:col>
                    <xdr:colOff>66675</xdr:colOff>
                    <xdr:row>38</xdr:row>
                    <xdr:rowOff>76200</xdr:rowOff>
                  </from>
                  <to>
                    <xdr:col>35</xdr:col>
                    <xdr:colOff>47625</xdr:colOff>
                    <xdr:row>40</xdr:row>
                    <xdr:rowOff>19050</xdr:rowOff>
                  </to>
                </anchor>
              </controlPr>
            </control>
          </mc:Choice>
        </mc:AlternateContent>
        <mc:AlternateContent xmlns:mc="http://schemas.openxmlformats.org/markup-compatibility/2006">
          <mc:Choice Requires="x14">
            <control shapeId="96258" r:id="rId5" name="Check Box 2">
              <controlPr defaultSize="0" autoFill="0" autoLine="0" autoPict="0" macro="[0]!CheckBox1_Click" altText="">
                <anchor>
                  <from>
                    <xdr:col>22</xdr:col>
                    <xdr:colOff>66675</xdr:colOff>
                    <xdr:row>39</xdr:row>
                    <xdr:rowOff>161925</xdr:rowOff>
                  </from>
                  <to>
                    <xdr:col>35</xdr:col>
                    <xdr:colOff>47625</xdr:colOff>
                    <xdr:row>41</xdr:row>
                    <xdr:rowOff>19050</xdr:rowOff>
                  </to>
                </anchor>
              </controlPr>
            </control>
          </mc:Choice>
        </mc:AlternateContent>
        <mc:AlternateContent xmlns:mc="http://schemas.openxmlformats.org/markup-compatibility/2006">
          <mc:Choice Requires="x14">
            <control shapeId="96259" r:id="rId6" name="Check Box 3">
              <controlPr defaultSize="0" autoFill="0" autoLine="0" autoPict="0" macro="[0]!CheckBox1_Click" altText="">
                <anchor>
                  <from>
                    <xdr:col>22</xdr:col>
                    <xdr:colOff>66675</xdr:colOff>
                    <xdr:row>40</xdr:row>
                    <xdr:rowOff>161925</xdr:rowOff>
                  </from>
                  <to>
                    <xdr:col>35</xdr:col>
                    <xdr:colOff>47625</xdr:colOff>
                    <xdr:row>42</xdr:row>
                    <xdr:rowOff>19050</xdr:rowOff>
                  </to>
                </anchor>
              </controlPr>
            </control>
          </mc:Choice>
        </mc:AlternateContent>
        <mc:AlternateContent xmlns:mc="http://schemas.openxmlformats.org/markup-compatibility/2006">
          <mc:Choice Requires="x14">
            <control shapeId="96260" r:id="rId7" name="Check Box 4">
              <controlPr defaultSize="0" autoFill="0" autoLine="0" autoPict="0" macro="[0]!CheckBox1_Click" altText="">
                <anchor>
                  <from>
                    <xdr:col>22</xdr:col>
                    <xdr:colOff>66675</xdr:colOff>
                    <xdr:row>41</xdr:row>
                    <xdr:rowOff>161925</xdr:rowOff>
                  </from>
                  <to>
                    <xdr:col>35</xdr:col>
                    <xdr:colOff>47625</xdr:colOff>
                    <xdr:row>43</xdr:row>
                    <xdr:rowOff>19050</xdr:rowOff>
                  </to>
                </anchor>
              </controlPr>
            </control>
          </mc:Choice>
        </mc:AlternateContent>
        <mc:AlternateContent xmlns:mc="http://schemas.openxmlformats.org/markup-compatibility/2006">
          <mc:Choice Requires="x14">
            <control shapeId="96261" r:id="rId8" name="Check Box 5">
              <controlPr defaultSize="0" autoFill="0" autoLine="0" autoPict="0" macro="[0]!CheckBox1_Click" altText="">
                <anchor>
                  <from>
                    <xdr:col>22</xdr:col>
                    <xdr:colOff>66675</xdr:colOff>
                    <xdr:row>42</xdr:row>
                    <xdr:rowOff>161925</xdr:rowOff>
                  </from>
                  <to>
                    <xdr:col>35</xdr:col>
                    <xdr:colOff>47625</xdr:colOff>
                    <xdr:row>44</xdr:row>
                    <xdr:rowOff>19050</xdr:rowOff>
                  </to>
                </anchor>
              </controlPr>
            </control>
          </mc:Choice>
        </mc:AlternateContent>
        <mc:AlternateContent xmlns:mc="http://schemas.openxmlformats.org/markup-compatibility/2006">
          <mc:Choice Requires="x14">
            <control shapeId="96262" r:id="rId9" name="Check Box 6">
              <controlPr defaultSize="0" autoFill="0" autoLine="0" autoPict="0" macro="[0]!CheckBox1_Click" altText="">
                <anchor>
                  <from>
                    <xdr:col>22</xdr:col>
                    <xdr:colOff>66675</xdr:colOff>
                    <xdr:row>43</xdr:row>
                    <xdr:rowOff>161925</xdr:rowOff>
                  </from>
                  <to>
                    <xdr:col>35</xdr:col>
                    <xdr:colOff>47625</xdr:colOff>
                    <xdr:row>45</xdr:row>
                    <xdr:rowOff>19050</xdr:rowOff>
                  </to>
                </anchor>
              </controlPr>
            </control>
          </mc:Choice>
        </mc:AlternateContent>
        <mc:AlternateContent xmlns:mc="http://schemas.openxmlformats.org/markup-compatibility/2006">
          <mc:Choice Requires="x14">
            <control shapeId="96263" r:id="rId10" name="Check Box 7">
              <controlPr defaultSize="0" autoFill="0" autoLine="0" autoPict="0" macro="[0]!CheckBox1_Click" altText="">
                <anchor>
                  <from>
                    <xdr:col>22</xdr:col>
                    <xdr:colOff>66675</xdr:colOff>
                    <xdr:row>44</xdr:row>
                    <xdr:rowOff>161925</xdr:rowOff>
                  </from>
                  <to>
                    <xdr:col>35</xdr:col>
                    <xdr:colOff>47625</xdr:colOff>
                    <xdr:row>46</xdr:row>
                    <xdr:rowOff>19050</xdr:rowOff>
                  </to>
                </anchor>
              </controlPr>
            </control>
          </mc:Choice>
        </mc:AlternateContent>
        <mc:AlternateContent xmlns:mc="http://schemas.openxmlformats.org/markup-compatibility/2006">
          <mc:Choice Requires="x14">
            <control shapeId="96264" r:id="rId11" name="Check Box 8">
              <controlPr defaultSize="0" autoFill="0" autoLine="0" autoPict="0" macro="[0]!CheckBox1_Click" altText="">
                <anchor>
                  <from>
                    <xdr:col>22</xdr:col>
                    <xdr:colOff>66675</xdr:colOff>
                    <xdr:row>45</xdr:row>
                    <xdr:rowOff>161925</xdr:rowOff>
                  </from>
                  <to>
                    <xdr:col>35</xdr:col>
                    <xdr:colOff>47625</xdr:colOff>
                    <xdr:row>47</xdr:row>
                    <xdr:rowOff>19050</xdr:rowOff>
                  </to>
                </anchor>
              </controlPr>
            </control>
          </mc:Choice>
        </mc:AlternateContent>
        <mc:AlternateContent xmlns:mc="http://schemas.openxmlformats.org/markup-compatibility/2006">
          <mc:Choice Requires="x14">
            <control shapeId="96265" r:id="rId12" name="Check Box 9">
              <controlPr defaultSize="0" autoFill="0" autoLine="0" autoPict="0" macro="[0]!CheckBox1_Click" altText="">
                <anchor>
                  <from>
                    <xdr:col>22</xdr:col>
                    <xdr:colOff>66675</xdr:colOff>
                    <xdr:row>46</xdr:row>
                    <xdr:rowOff>161925</xdr:rowOff>
                  </from>
                  <to>
                    <xdr:col>35</xdr:col>
                    <xdr:colOff>47625</xdr:colOff>
                    <xdr:row>48</xdr:row>
                    <xdr:rowOff>19050</xdr:rowOff>
                  </to>
                </anchor>
              </controlPr>
            </control>
          </mc:Choice>
        </mc:AlternateContent>
        <mc:AlternateContent xmlns:mc="http://schemas.openxmlformats.org/markup-compatibility/2006">
          <mc:Choice Requires="x14">
            <control shapeId="96266" r:id="rId13" name="Check Box 10">
              <controlPr defaultSize="0" autoFill="0" autoLine="0" autoPict="0" macro="[0]!CheckBox1_Click" altText="">
                <anchor>
                  <from>
                    <xdr:col>22</xdr:col>
                    <xdr:colOff>66675</xdr:colOff>
                    <xdr:row>47</xdr:row>
                    <xdr:rowOff>161925</xdr:rowOff>
                  </from>
                  <to>
                    <xdr:col>35</xdr:col>
                    <xdr:colOff>47625</xdr:colOff>
                    <xdr:row>49</xdr:row>
                    <xdr:rowOff>19050</xdr:rowOff>
                  </to>
                </anchor>
              </controlPr>
            </control>
          </mc:Choice>
        </mc:AlternateContent>
        <mc:AlternateContent xmlns:mc="http://schemas.openxmlformats.org/markup-compatibility/2006">
          <mc:Choice Requires="x14">
            <control shapeId="96267" r:id="rId14" name="Check Box 11">
              <controlPr defaultSize="0" autoFill="0" autoLine="0" autoPict="0" macro="[0]!CheckBox1_Click" altText="">
                <anchor>
                  <from>
                    <xdr:col>22</xdr:col>
                    <xdr:colOff>66675</xdr:colOff>
                    <xdr:row>48</xdr:row>
                    <xdr:rowOff>161925</xdr:rowOff>
                  </from>
                  <to>
                    <xdr:col>35</xdr:col>
                    <xdr:colOff>47625</xdr:colOff>
                    <xdr:row>50</xdr:row>
                    <xdr:rowOff>19050</xdr:rowOff>
                  </to>
                </anchor>
              </controlPr>
            </control>
          </mc:Choice>
        </mc:AlternateContent>
        <mc:AlternateContent xmlns:mc="http://schemas.openxmlformats.org/markup-compatibility/2006">
          <mc:Choice Requires="x14">
            <control shapeId="96268" r:id="rId15" name="Check Box 12">
              <controlPr defaultSize="0" autoFill="0" autoLine="0" autoPict="0" macro="[0]!CheckBox1_Click" altText="">
                <anchor>
                  <from>
                    <xdr:col>22</xdr:col>
                    <xdr:colOff>66675</xdr:colOff>
                    <xdr:row>49</xdr:row>
                    <xdr:rowOff>161925</xdr:rowOff>
                  </from>
                  <to>
                    <xdr:col>35</xdr:col>
                    <xdr:colOff>47625</xdr:colOff>
                    <xdr:row>51</xdr:row>
                    <xdr:rowOff>19050</xdr:rowOff>
                  </to>
                </anchor>
              </controlPr>
            </control>
          </mc:Choice>
        </mc:AlternateContent>
        <mc:AlternateContent xmlns:mc="http://schemas.openxmlformats.org/markup-compatibility/2006">
          <mc:Choice Requires="x14">
            <control shapeId="96269" r:id="rId16" name="Check Box 13">
              <controlPr defaultSize="0" autoFill="0" autoLine="0" autoPict="0" macro="[0]!CheckBox1_Click" altText="">
                <anchor>
                  <from>
                    <xdr:col>22</xdr:col>
                    <xdr:colOff>66675</xdr:colOff>
                    <xdr:row>50</xdr:row>
                    <xdr:rowOff>161925</xdr:rowOff>
                  </from>
                  <to>
                    <xdr:col>35</xdr:col>
                    <xdr:colOff>47625</xdr:colOff>
                    <xdr:row>52</xdr:row>
                    <xdr:rowOff>19050</xdr:rowOff>
                  </to>
                </anchor>
              </controlPr>
            </control>
          </mc:Choice>
        </mc:AlternateContent>
        <mc:AlternateContent xmlns:mc="http://schemas.openxmlformats.org/markup-compatibility/2006">
          <mc:Choice Requires="x14">
            <control shapeId="96270" r:id="rId17" name="Check Box 14">
              <controlPr defaultSize="0" autoFill="0" autoLine="0" autoPict="0" macro="[0]!CheckBox1_Click" altText="">
                <anchor>
                  <from>
                    <xdr:col>22</xdr:col>
                    <xdr:colOff>66675</xdr:colOff>
                    <xdr:row>51</xdr:row>
                    <xdr:rowOff>161925</xdr:rowOff>
                  </from>
                  <to>
                    <xdr:col>35</xdr:col>
                    <xdr:colOff>47625</xdr:colOff>
                    <xdr:row>53</xdr:row>
                    <xdr:rowOff>19050</xdr:rowOff>
                  </to>
                </anchor>
              </controlPr>
            </control>
          </mc:Choice>
        </mc:AlternateContent>
        <mc:AlternateContent xmlns:mc="http://schemas.openxmlformats.org/markup-compatibility/2006">
          <mc:Choice Requires="x14">
            <control shapeId="96271" r:id="rId18" name="Check Box 15">
              <controlPr defaultSize="0" autoFill="0" autoLine="0" autoPict="0" macro="[0]!CheckBox1_Click" altText="">
                <anchor>
                  <from>
                    <xdr:col>22</xdr:col>
                    <xdr:colOff>66675</xdr:colOff>
                    <xdr:row>52</xdr:row>
                    <xdr:rowOff>161925</xdr:rowOff>
                  </from>
                  <to>
                    <xdr:col>35</xdr:col>
                    <xdr:colOff>47625</xdr:colOff>
                    <xdr:row>54</xdr:row>
                    <xdr:rowOff>19050</xdr:rowOff>
                  </to>
                </anchor>
              </controlPr>
            </control>
          </mc:Choice>
        </mc:AlternateContent>
        <mc:AlternateContent xmlns:mc="http://schemas.openxmlformats.org/markup-compatibility/2006">
          <mc:Choice Requires="x14">
            <control shapeId="96272" r:id="rId19" name="Check Box 16">
              <controlPr defaultSize="0" autoFill="0" autoLine="0" autoPict="0" macro="[0]!CheckBox1_Click" altText="">
                <anchor>
                  <from>
                    <xdr:col>22</xdr:col>
                    <xdr:colOff>66675</xdr:colOff>
                    <xdr:row>53</xdr:row>
                    <xdr:rowOff>161925</xdr:rowOff>
                  </from>
                  <to>
                    <xdr:col>35</xdr:col>
                    <xdr:colOff>47625</xdr:colOff>
                    <xdr:row>55</xdr:row>
                    <xdr:rowOff>19050</xdr:rowOff>
                  </to>
                </anchor>
              </controlPr>
            </control>
          </mc:Choice>
        </mc:AlternateContent>
        <mc:AlternateContent xmlns:mc="http://schemas.openxmlformats.org/markup-compatibility/2006">
          <mc:Choice Requires="x14">
            <control shapeId="96273" r:id="rId20" name="Check Box 17">
              <controlPr defaultSize="0" autoFill="0" autoLine="0" autoPict="0" macro="[0]!CheckBox1_Click" altText="">
                <anchor>
                  <from>
                    <xdr:col>22</xdr:col>
                    <xdr:colOff>66675</xdr:colOff>
                    <xdr:row>56</xdr:row>
                    <xdr:rowOff>161925</xdr:rowOff>
                  </from>
                  <to>
                    <xdr:col>35</xdr:col>
                    <xdr:colOff>47625</xdr:colOff>
                    <xdr:row>58</xdr:row>
                    <xdr:rowOff>19050</xdr:rowOff>
                  </to>
                </anchor>
              </controlPr>
            </control>
          </mc:Choice>
        </mc:AlternateContent>
        <mc:AlternateContent xmlns:mc="http://schemas.openxmlformats.org/markup-compatibility/2006">
          <mc:Choice Requires="x14">
            <control shapeId="96274" r:id="rId21" name="Check Box 18">
              <controlPr defaultSize="0" autoFill="0" autoLine="0" autoPict="0" macro="[0]!CheckBox1_Click" altText="">
                <anchor>
                  <from>
                    <xdr:col>22</xdr:col>
                    <xdr:colOff>66675</xdr:colOff>
                    <xdr:row>57</xdr:row>
                    <xdr:rowOff>161925</xdr:rowOff>
                  </from>
                  <to>
                    <xdr:col>35</xdr:col>
                    <xdr:colOff>47625</xdr:colOff>
                    <xdr:row>59</xdr:row>
                    <xdr:rowOff>19050</xdr:rowOff>
                  </to>
                </anchor>
              </controlPr>
            </control>
          </mc:Choice>
        </mc:AlternateContent>
        <mc:AlternateContent xmlns:mc="http://schemas.openxmlformats.org/markup-compatibility/2006">
          <mc:Choice Requires="x14">
            <control shapeId="96275" r:id="rId22" name="Check Box 19">
              <controlPr defaultSize="0" autoFill="0" autoLine="0" autoPict="0" macro="[0]!CheckBox1_Click" altText="">
                <anchor>
                  <from>
                    <xdr:col>22</xdr:col>
                    <xdr:colOff>66675</xdr:colOff>
                    <xdr:row>58</xdr:row>
                    <xdr:rowOff>161925</xdr:rowOff>
                  </from>
                  <to>
                    <xdr:col>35</xdr:col>
                    <xdr:colOff>47625</xdr:colOff>
                    <xdr:row>60</xdr:row>
                    <xdr:rowOff>19050</xdr:rowOff>
                  </to>
                </anchor>
              </controlPr>
            </control>
          </mc:Choice>
        </mc:AlternateContent>
        <mc:AlternateContent xmlns:mc="http://schemas.openxmlformats.org/markup-compatibility/2006">
          <mc:Choice Requires="x14">
            <control shapeId="96276" r:id="rId23" name="Check Box 20">
              <controlPr defaultSize="0" autoFill="0" autoLine="0" autoPict="0" macro="[0]!CheckBox1_Click" altText="">
                <anchor>
                  <from>
                    <xdr:col>22</xdr:col>
                    <xdr:colOff>66675</xdr:colOff>
                    <xdr:row>59</xdr:row>
                    <xdr:rowOff>161925</xdr:rowOff>
                  </from>
                  <to>
                    <xdr:col>35</xdr:col>
                    <xdr:colOff>47625</xdr:colOff>
                    <xdr:row>61</xdr:row>
                    <xdr:rowOff>19050</xdr:rowOff>
                  </to>
                </anchor>
              </controlPr>
            </control>
          </mc:Choice>
        </mc:AlternateContent>
        <mc:AlternateContent xmlns:mc="http://schemas.openxmlformats.org/markup-compatibility/2006">
          <mc:Choice Requires="x14">
            <control shapeId="96277" r:id="rId24" name="Check Box 21">
              <controlPr defaultSize="0" autoFill="0" autoLine="0" autoPict="0" macro="[0]!CheckBox1_Click" altText="">
                <anchor>
                  <from>
                    <xdr:col>22</xdr:col>
                    <xdr:colOff>66675</xdr:colOff>
                    <xdr:row>60</xdr:row>
                    <xdr:rowOff>161925</xdr:rowOff>
                  </from>
                  <to>
                    <xdr:col>35</xdr:col>
                    <xdr:colOff>47625</xdr:colOff>
                    <xdr:row>62</xdr:row>
                    <xdr:rowOff>19050</xdr:rowOff>
                  </to>
                </anchor>
              </controlPr>
            </control>
          </mc:Choice>
        </mc:AlternateContent>
        <mc:AlternateContent xmlns:mc="http://schemas.openxmlformats.org/markup-compatibility/2006">
          <mc:Choice Requires="x14">
            <control shapeId="96278" r:id="rId25" name="Check Box 22">
              <controlPr defaultSize="0" autoFill="0" autoLine="0" autoPict="0" macro="[0]!CheckBox1_Click" altText="">
                <anchor>
                  <from>
                    <xdr:col>22</xdr:col>
                    <xdr:colOff>66675</xdr:colOff>
                    <xdr:row>54</xdr:row>
                    <xdr:rowOff>161925</xdr:rowOff>
                  </from>
                  <to>
                    <xdr:col>35</xdr:col>
                    <xdr:colOff>47625</xdr:colOff>
                    <xdr:row>56</xdr:row>
                    <xdr:rowOff>19050</xdr:rowOff>
                  </to>
                </anchor>
              </controlPr>
            </control>
          </mc:Choice>
        </mc:AlternateContent>
        <mc:AlternateContent xmlns:mc="http://schemas.openxmlformats.org/markup-compatibility/2006">
          <mc:Choice Requires="x14">
            <control shapeId="96279" r:id="rId26" name="Check Box 23">
              <controlPr defaultSize="0" autoFill="0" autoLine="0" autoPict="0" macro="[0]!CheckBox1_Click" altText="">
                <anchor>
                  <from>
                    <xdr:col>22</xdr:col>
                    <xdr:colOff>66675</xdr:colOff>
                    <xdr:row>55</xdr:row>
                    <xdr:rowOff>161925</xdr:rowOff>
                  </from>
                  <to>
                    <xdr:col>35</xdr:col>
                    <xdr:colOff>47625</xdr:colOff>
                    <xdr:row>57</xdr:row>
                    <xdr:rowOff>19050</xdr:rowOff>
                  </to>
                </anchor>
              </controlPr>
            </control>
          </mc:Choice>
        </mc:AlternateContent>
        <mc:AlternateContent xmlns:mc="http://schemas.openxmlformats.org/markup-compatibility/2006">
          <mc:Choice Requires="x14">
            <control shapeId="96280" r:id="rId27" name="Check Box 24">
              <controlPr defaultSize="0" autoFill="0" autoLine="0" autoPict="0" macro="[0]!CheckBox1_Click" altText="">
                <anchor>
                  <from>
                    <xdr:col>22</xdr:col>
                    <xdr:colOff>66675</xdr:colOff>
                    <xdr:row>61</xdr:row>
                    <xdr:rowOff>161925</xdr:rowOff>
                  </from>
                  <to>
                    <xdr:col>35</xdr:col>
                    <xdr:colOff>47625</xdr:colOff>
                    <xdr:row>63</xdr:row>
                    <xdr:rowOff>19050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4"/>
  <dimension ref="A1:AW273"/>
  <sheetViews>
    <sheetView showRowColHeaders="0" zoomScaleNormal="100" workbookViewId="0"/>
  </sheetViews>
  <sheetFormatPr defaultColWidth="9.140625" defaultRowHeight="11.25" customHeight="1" x14ac:dyDescent="0.2"/>
  <cols>
    <col min="1" max="1" width="2.140625" style="80" customWidth="1"/>
    <col min="2" max="2" width="17.140625" style="80" customWidth="1"/>
    <col min="3" max="3" width="1.42578125" style="80" customWidth="1"/>
    <col min="4" max="8" width="7.42578125" style="80" customWidth="1"/>
    <col min="9" max="9" width="7.7109375" style="80" customWidth="1"/>
    <col min="10" max="10" width="1.42578125" style="106" customWidth="1"/>
    <col min="11" max="15" width="7.42578125" style="80" customWidth="1"/>
    <col min="16" max="16" width="7.140625" style="80" customWidth="1"/>
    <col min="17" max="17" width="1.42578125" style="80" customWidth="1"/>
    <col min="18" max="18" width="7.140625" style="80" customWidth="1"/>
    <col min="19" max="19" width="8.140625" style="80" bestFit="1" customWidth="1"/>
    <col min="20" max="20" width="7.5703125" style="80" customWidth="1"/>
    <col min="21" max="21" width="2.140625" style="80" customWidth="1"/>
    <col min="22" max="22" width="6.42578125" style="87" customWidth="1"/>
    <col min="23" max="23" width="4.85546875" style="87" customWidth="1"/>
    <col min="24" max="24" width="17.7109375" style="88" hidden="1" customWidth="1"/>
    <col min="25" max="25" width="19.42578125" style="88" hidden="1" customWidth="1"/>
    <col min="26" max="26" width="19.85546875" style="88" hidden="1" customWidth="1"/>
    <col min="27" max="28" width="16.7109375" style="88" hidden="1" customWidth="1"/>
    <col min="29" max="30" width="8.5703125" style="88" hidden="1" customWidth="1"/>
    <col min="31" max="31" width="6.28515625" style="88" hidden="1" customWidth="1"/>
    <col min="32" max="32" width="17" style="88" hidden="1" customWidth="1"/>
    <col min="33" max="33" width="5.7109375" style="88" hidden="1" customWidth="1"/>
    <col min="34" max="34" width="4.85546875" style="88" hidden="1" customWidth="1"/>
    <col min="35" max="35" width="5.7109375" style="80" hidden="1" customWidth="1"/>
    <col min="36" max="36" width="31.5703125" style="80" customWidth="1"/>
    <col min="37" max="37" width="17" style="80" hidden="1" customWidth="1"/>
    <col min="38" max="42" width="13.7109375" style="80" hidden="1" customWidth="1"/>
    <col min="43" max="46" width="9.140625" style="80" hidden="1" customWidth="1"/>
    <col min="47" max="52" width="9.140625" style="80" customWidth="1"/>
    <col min="53" max="16384" width="9.140625" style="80"/>
  </cols>
  <sheetData>
    <row r="1" spans="1:44" ht="18.75" customHeight="1" x14ac:dyDescent="0.2">
      <c r="A1" s="129"/>
      <c r="B1" s="130"/>
      <c r="C1" s="130"/>
      <c r="D1" s="130"/>
      <c r="E1" s="130"/>
      <c r="F1" s="130"/>
      <c r="G1" s="130"/>
      <c r="H1" s="130"/>
      <c r="I1" s="130"/>
      <c r="J1" s="131"/>
      <c r="K1" s="130"/>
      <c r="L1" s="130"/>
      <c r="M1" s="130"/>
      <c r="N1" s="130"/>
      <c r="O1" s="130"/>
      <c r="P1" s="130"/>
      <c r="Q1" s="130"/>
      <c r="R1" s="130"/>
      <c r="S1" s="130"/>
      <c r="T1" s="130"/>
      <c r="U1" s="132"/>
      <c r="V1" s="306"/>
      <c r="W1" s="173"/>
      <c r="X1" s="206"/>
      <c r="Y1" s="206"/>
      <c r="Z1" s="206"/>
      <c r="AA1" s="206"/>
      <c r="AB1" s="206"/>
      <c r="AC1" s="206"/>
      <c r="AD1" s="206"/>
      <c r="AE1" s="206"/>
      <c r="AF1" s="206"/>
      <c r="AG1" s="206"/>
      <c r="AH1" s="206"/>
      <c r="AI1" s="207"/>
      <c r="AJ1" s="174"/>
    </row>
    <row r="2" spans="1:44" ht="18.75" customHeight="1" x14ac:dyDescent="0.2">
      <c r="A2" s="135"/>
      <c r="B2" s="145" t="s">
        <v>19</v>
      </c>
      <c r="C2" s="9"/>
      <c r="D2" s="9"/>
      <c r="E2" s="9"/>
      <c r="F2" s="9"/>
      <c r="G2" s="9"/>
      <c r="H2" s="9"/>
      <c r="I2" s="9"/>
      <c r="J2" s="13"/>
      <c r="K2" s="9"/>
      <c r="L2" s="9"/>
      <c r="M2" s="9"/>
      <c r="N2" s="9"/>
      <c r="O2" s="9"/>
      <c r="P2" s="9"/>
      <c r="Q2" s="9"/>
      <c r="R2" s="9"/>
      <c r="S2" s="9"/>
      <c r="T2" s="9"/>
      <c r="U2" s="134"/>
      <c r="V2" s="179"/>
      <c r="W2" s="168"/>
      <c r="AI2" s="210"/>
      <c r="AJ2" s="175"/>
    </row>
    <row r="3" spans="1:44" ht="18.75" customHeight="1" x14ac:dyDescent="0.2">
      <c r="A3" s="141"/>
      <c r="B3" s="142"/>
      <c r="C3" s="142"/>
      <c r="D3" s="142"/>
      <c r="E3" s="142"/>
      <c r="F3" s="142"/>
      <c r="G3" s="142"/>
      <c r="H3" s="142"/>
      <c r="I3" s="298"/>
      <c r="J3" s="143"/>
      <c r="K3" s="142"/>
      <c r="L3" s="142"/>
      <c r="M3" s="142"/>
      <c r="N3" s="142"/>
      <c r="O3" s="142"/>
      <c r="P3" s="142"/>
      <c r="Q3" s="142"/>
      <c r="R3" s="142"/>
      <c r="S3" s="298"/>
      <c r="T3" s="142"/>
      <c r="U3" s="144"/>
      <c r="V3" s="179"/>
      <c r="W3" s="168"/>
      <c r="AI3" s="210"/>
      <c r="AJ3" s="175"/>
    </row>
    <row r="4" spans="1:44" ht="11.25" customHeight="1" x14ac:dyDescent="0.2">
      <c r="A4" s="129"/>
      <c r="B4" s="130"/>
      <c r="C4" s="130"/>
      <c r="D4" s="130"/>
      <c r="E4" s="130"/>
      <c r="F4" s="130"/>
      <c r="G4" s="130"/>
      <c r="H4" s="130"/>
      <c r="I4" s="130"/>
      <c r="J4" s="131"/>
      <c r="K4" s="130"/>
      <c r="L4" s="130"/>
      <c r="M4" s="130"/>
      <c r="N4" s="130"/>
      <c r="O4" s="130"/>
      <c r="P4" s="130"/>
      <c r="Q4" s="130"/>
      <c r="R4" s="130"/>
      <c r="S4" s="130"/>
      <c r="T4" s="130"/>
      <c r="U4" s="132"/>
      <c r="V4" s="152"/>
      <c r="W4" s="168"/>
      <c r="X4" s="212" t="e">
        <f>VLOOKUP(Y4,$X$9:$Y$30,2,FALSE)</f>
        <v>#N/A</v>
      </c>
      <c r="Y4" s="212" t="str">
        <f>Home!$D$10</f>
        <v>(none)</v>
      </c>
      <c r="Z4" s="43" t="str">
        <f>"Selected LA- "&amp;Y4</f>
        <v>Selected LA- (none)</v>
      </c>
      <c r="AI4" s="210"/>
      <c r="AJ4" s="175"/>
    </row>
    <row r="5" spans="1:44" s="82" customFormat="1" ht="15" customHeight="1" x14ac:dyDescent="0.2">
      <c r="A5" s="136"/>
      <c r="B5" s="1087" t="s">
        <v>147</v>
      </c>
      <c r="C5" s="1087"/>
      <c r="D5" s="1087"/>
      <c r="E5" s="1087"/>
      <c r="F5" s="1087"/>
      <c r="G5" s="1087"/>
      <c r="H5" s="1087"/>
      <c r="I5" s="1087"/>
      <c r="J5" s="1087"/>
      <c r="K5" s="1087"/>
      <c r="L5" s="1087"/>
      <c r="M5" s="1087"/>
      <c r="N5" s="1087"/>
      <c r="O5" s="1087"/>
      <c r="P5" s="1087"/>
      <c r="Q5" s="70"/>
      <c r="R5" s="70"/>
      <c r="S5" s="70"/>
      <c r="T5" s="70"/>
      <c r="U5" s="137"/>
      <c r="V5" s="153"/>
      <c r="W5" s="169"/>
      <c r="X5" s="215"/>
      <c r="Y5" s="215"/>
      <c r="Z5" s="215"/>
      <c r="AA5" s="215"/>
      <c r="AB5" s="215"/>
      <c r="AC5" s="215"/>
      <c r="AD5" s="215"/>
      <c r="AE5" s="215"/>
      <c r="AF5" s="215"/>
      <c r="AG5" s="215"/>
      <c r="AH5" s="215"/>
      <c r="AI5" s="215"/>
      <c r="AJ5" s="176"/>
    </row>
    <row r="6" spans="1:44" ht="13.5" customHeight="1" x14ac:dyDescent="0.2">
      <c r="A6" s="135"/>
      <c r="B6" s="1087"/>
      <c r="C6" s="1087"/>
      <c r="D6" s="1087"/>
      <c r="E6" s="1087"/>
      <c r="F6" s="1087"/>
      <c r="G6" s="1087"/>
      <c r="H6" s="1087"/>
      <c r="I6" s="1087"/>
      <c r="J6" s="1087"/>
      <c r="K6" s="1087"/>
      <c r="L6" s="1087"/>
      <c r="M6" s="1087"/>
      <c r="N6" s="1087"/>
      <c r="O6" s="1087"/>
      <c r="P6" s="1087"/>
      <c r="Q6" s="70"/>
      <c r="R6" s="70"/>
      <c r="S6" s="70"/>
      <c r="T6" s="70"/>
      <c r="U6" s="134"/>
      <c r="V6" s="152"/>
      <c r="W6" s="168"/>
      <c r="Y6" s="217"/>
      <c r="AI6" s="210"/>
      <c r="AJ6" s="175"/>
    </row>
    <row r="7" spans="1:44" s="101" customFormat="1" ht="21" customHeight="1" x14ac:dyDescent="0.2">
      <c r="A7" s="138"/>
      <c r="B7" s="1050" t="s">
        <v>215</v>
      </c>
      <c r="C7" s="97"/>
      <c r="D7" s="982" t="s">
        <v>88</v>
      </c>
      <c r="E7" s="1042"/>
      <c r="F7" s="1042"/>
      <c r="G7" s="1042"/>
      <c r="H7" s="1043"/>
      <c r="I7" s="1044" t="str">
        <f>"% Change "&amp;E8&amp;"-"&amp;RIGHT(H8,2)</f>
        <v>% Change 2015-18</v>
      </c>
      <c r="J7" s="115"/>
      <c r="K7" s="1046" t="s">
        <v>89</v>
      </c>
      <c r="L7" s="1047"/>
      <c r="M7" s="1047"/>
      <c r="N7" s="1047"/>
      <c r="O7" s="1047"/>
      <c r="P7" s="1048" t="str">
        <f>"SE Rank "&amp;O8</f>
        <v>SE Rank 2018</v>
      </c>
      <c r="Q7" s="70"/>
      <c r="R7" s="1096" t="str">
        <f>"Distance from Expected "&amp;H8</f>
        <v>Distance from Expected 2018</v>
      </c>
      <c r="S7" s="1097"/>
      <c r="T7" s="1098"/>
      <c r="U7" s="139"/>
      <c r="V7" s="154"/>
      <c r="W7" s="170"/>
      <c r="X7" s="232"/>
      <c r="Y7" s="232"/>
      <c r="Z7" s="233" t="s">
        <v>79</v>
      </c>
      <c r="AA7" s="217"/>
      <c r="AB7" s="217"/>
      <c r="AC7" s="226"/>
      <c r="AD7" s="226"/>
      <c r="AE7" s="217"/>
      <c r="AF7" s="234" t="s">
        <v>92</v>
      </c>
      <c r="AG7" s="217"/>
      <c r="AH7" s="217"/>
      <c r="AI7" s="232"/>
      <c r="AJ7" s="178"/>
    </row>
    <row r="8" spans="1:44" s="101" customFormat="1" ht="13.5" customHeight="1" x14ac:dyDescent="0.2">
      <c r="A8" s="138"/>
      <c r="B8" s="1051"/>
      <c r="C8" s="97"/>
      <c r="D8" s="393">
        <v>2014</v>
      </c>
      <c r="E8" s="393">
        <v>2015</v>
      </c>
      <c r="F8" s="393">
        <v>2016</v>
      </c>
      <c r="G8" s="393">
        <v>2017</v>
      </c>
      <c r="H8" s="394">
        <v>2018</v>
      </c>
      <c r="I8" s="1045"/>
      <c r="J8" s="115"/>
      <c r="K8" s="395">
        <f>D8</f>
        <v>2014</v>
      </c>
      <c r="L8" s="395">
        <f t="shared" ref="L8:O8" si="0">E8</f>
        <v>2015</v>
      </c>
      <c r="M8" s="395">
        <f t="shared" si="0"/>
        <v>2016</v>
      </c>
      <c r="N8" s="395">
        <f t="shared" si="0"/>
        <v>2017</v>
      </c>
      <c r="O8" s="395">
        <f t="shared" si="0"/>
        <v>2018</v>
      </c>
      <c r="P8" s="1049"/>
      <c r="Q8" s="70"/>
      <c r="R8" s="328" t="s">
        <v>78</v>
      </c>
      <c r="S8" s="375" t="s">
        <v>131</v>
      </c>
      <c r="T8" s="376" t="s">
        <v>132</v>
      </c>
      <c r="U8" s="139"/>
      <c r="V8" s="154"/>
      <c r="W8" s="170"/>
      <c r="X8" s="232"/>
      <c r="Y8" s="232"/>
      <c r="Z8" s="44">
        <f>K8</f>
        <v>2014</v>
      </c>
      <c r="AA8" s="44">
        <f>L8</f>
        <v>2015</v>
      </c>
      <c r="AB8" s="44">
        <f>M8</f>
        <v>2016</v>
      </c>
      <c r="AC8" s="44">
        <f>N8</f>
        <v>2017</v>
      </c>
      <c r="AD8" s="44">
        <f>O8</f>
        <v>2018</v>
      </c>
      <c r="AE8" s="217"/>
      <c r="AF8" s="217"/>
      <c r="AG8" s="217"/>
      <c r="AH8" s="217"/>
      <c r="AI8" s="232"/>
      <c r="AJ8" s="178"/>
    </row>
    <row r="9" spans="1:44" s="101" customFormat="1" ht="13.5" customHeight="1" x14ac:dyDescent="0.2">
      <c r="A9" s="533">
        <f>VLOOKUP(B9,Sheet1!$B$4:$C$25,2,FALSE)</f>
        <v>0</v>
      </c>
      <c r="B9" s="112" t="s">
        <v>0</v>
      </c>
      <c r="C9" s="97"/>
      <c r="D9" s="113">
        <f>IF(Year1_Bracknell_Forest Year1_CIN_Section47="","",Year1_Bracknell_Forest Year1_CIN_Section47)</f>
        <v>340</v>
      </c>
      <c r="E9" s="113">
        <f>IF(Year2_Bracknell_Forest Year2_CIN_Section47="","",Year2_Bracknell_Forest Year2_CIN_Section47)</f>
        <v>421</v>
      </c>
      <c r="F9" s="113">
        <f>IF(Year3_Bracknell_Forest Year3_CIN_Section47="","",Year3_Bracknell_Forest Year3_CIN_Section47)</f>
        <v>394</v>
      </c>
      <c r="G9" s="113">
        <f>IF(Year4_Bracknell_Forest Year4_CIN_Section47="","",Year4_Bracknell_Forest Year4_CIN_Section47)</f>
        <v>560</v>
      </c>
      <c r="H9" s="114">
        <f>IF(Year5_Bracknell_Forest Year5_CIN_Section47="","",Year5_Bracknell_Forest Year5_CIN_Section47)</f>
        <v>632</v>
      </c>
      <c r="I9" s="392">
        <f>IF(ISNUMBER(H9),(H9-E9)/E9,"")</f>
        <v>0.50118764845605701</v>
      </c>
      <c r="J9" s="115"/>
      <c r="K9" s="116">
        <f>IF(ISNUMBER(D9),D9/Population!C8*10000,NA())</f>
        <v>125.46125461254613</v>
      </c>
      <c r="L9" s="116">
        <f>IF(ISNUMBER(E9),E9/Population!D8*10000,NA())</f>
        <v>151.43884892086331</v>
      </c>
      <c r="M9" s="116">
        <f>IF(ISNUMBER(F9),F9/Population!E8*10000,NA())</f>
        <v>139.71631205673759</v>
      </c>
      <c r="N9" s="116">
        <f>IF(ISNUMBER(G9),G9/Population!F8*10000,NA())</f>
        <v>198.76481862710301</v>
      </c>
      <c r="O9" s="117">
        <f>IF(ISNUMBER(H9),H9/Population!G8*10000,NA())</f>
        <v>225.14338641302413</v>
      </c>
      <c r="P9" s="397">
        <f>IF(ISNA(VLOOKUP(B9,$AF$9:$AH$27,3,FALSE)),"--",IF(ISNUMBER(H9),VLOOKUP(B9,$AF$9:$AH$27,3,FALSE),NA()))</f>
        <v>16</v>
      </c>
      <c r="Q9" s="70"/>
      <c r="R9" s="387">
        <f>IDACI!C9</f>
        <v>11</v>
      </c>
      <c r="S9" s="388">
        <f>(R9*$Y$68)+$Z$68</f>
        <v>119.56583900000001</v>
      </c>
      <c r="T9" s="389">
        <f>O9-S9</f>
        <v>105.57754741302412</v>
      </c>
      <c r="U9" s="139"/>
      <c r="V9" s="154"/>
      <c r="W9" s="170"/>
      <c r="X9" s="72" t="str">
        <f t="shared" ref="X9:X32" si="1">B9</f>
        <v>Bracknell Forest</v>
      </c>
      <c r="Y9" s="235">
        <v>1</v>
      </c>
      <c r="Z9" s="236">
        <f>IF(D9&gt;0,Population!C8,"")</f>
        <v>27100</v>
      </c>
      <c r="AA9" s="236">
        <f>IF(E9&gt;0,Population!D8,"")</f>
        <v>27800</v>
      </c>
      <c r="AB9" s="236">
        <f>IF(F9&gt;0,Population!E8,"")</f>
        <v>28200</v>
      </c>
      <c r="AC9" s="236">
        <f>IF(G9&gt;0,Population!F8,"")</f>
        <v>28174</v>
      </c>
      <c r="AD9" s="236">
        <f>IF(H9&gt;0,Population!G8,"")</f>
        <v>28071</v>
      </c>
      <c r="AE9" s="217"/>
      <c r="AF9" s="112" t="str">
        <f>B9</f>
        <v>Bracknell Forest</v>
      </c>
      <c r="AG9" s="262">
        <f>IFERROR(VLOOKUP(AF9,$B$9:$O$30,14,FALSE),"")</f>
        <v>225.14338641302413</v>
      </c>
      <c r="AH9" s="237">
        <f>RANK(AG9,$AG$9:$AG$27,1)</f>
        <v>16</v>
      </c>
      <c r="AI9" s="232"/>
      <c r="AJ9" s="178"/>
    </row>
    <row r="10" spans="1:44" s="101" customFormat="1" ht="13.5" customHeight="1" x14ac:dyDescent="0.2">
      <c r="A10" s="533">
        <f>VLOOKUP(B10,Sheet1!$B$4:$C$25,2,FALSE)</f>
        <v>0</v>
      </c>
      <c r="B10" s="112" t="s">
        <v>32</v>
      </c>
      <c r="C10" s="97"/>
      <c r="D10" s="113">
        <f>IF(Year1_Brighton_Hove Year1_CIN_Section47="","",Year1_Brighton_Hove Year1_CIN_Section47)</f>
        <v>848</v>
      </c>
      <c r="E10" s="113">
        <f>IF(Year2_Brighton_Hove Year2_CIN_Section47="","",Year2_Brighton_Hove Year2_CIN_Section47)</f>
        <v>1038</v>
      </c>
      <c r="F10" s="113">
        <f>IF(Year3_Brighton_Hove Year3_CIN_Section47="","",Year3_Brighton_Hove Year3_CIN_Section47)</f>
        <v>1143</v>
      </c>
      <c r="G10" s="113">
        <f>IF(Year4_Brighton_Hove Year4_CIN_Section47="","",Year4_Brighton_Hove Year4_CIN_Section47)</f>
        <v>863</v>
      </c>
      <c r="H10" s="114">
        <f>IF(Year5_Brighton_Hove Year5_CIN_Section47="","",Year5_Brighton_Hove Year5_CIN_Section47)</f>
        <v>879</v>
      </c>
      <c r="I10" s="392">
        <f>IF(ISNUMBER(H10),(H10-E10)/E10,"")</f>
        <v>-0.15317919075144509</v>
      </c>
      <c r="J10" s="115"/>
      <c r="K10" s="116">
        <f>IF(ISNUMBER(D10),D10/Population!C9*10000,NA())</f>
        <v>167.92079207920793</v>
      </c>
      <c r="L10" s="116">
        <f>IF(ISNUMBER(E10),E10/Population!D9*10000,NA())</f>
        <v>203.52941176470588</v>
      </c>
      <c r="M10" s="116">
        <f>IF(ISNUMBER(F10),F10/Population!E9*10000,NA())</f>
        <v>223.2421875</v>
      </c>
      <c r="N10" s="116">
        <f>IF(ISNUMBER(G10),G10/Population!F9*10000,NA())</f>
        <v>168.28844991322322</v>
      </c>
      <c r="O10" s="117">
        <f>IF(ISNUMBER(H10),H10/Population!G9*10000,NA())</f>
        <v>172.41717502599008</v>
      </c>
      <c r="P10" s="397">
        <f t="shared" ref="P10:P32" si="2">IF(ISNA(VLOOKUP(B10,$AF$9:$AH$27,3,FALSE)),"--",IF(ISNUMBER(H10),VLOOKUP(B10,$AF$9:$AH$27,3,FALSE),NA()))</f>
        <v>9</v>
      </c>
      <c r="Q10" s="70"/>
      <c r="R10" s="387">
        <f>IDACI!C10</f>
        <v>18.3</v>
      </c>
      <c r="S10" s="388">
        <f t="shared" ref="S10:S32" si="3">(R10*$Y$68)+$Z$68</f>
        <v>164.45462670000001</v>
      </c>
      <c r="T10" s="389">
        <f t="shared" ref="T10:T32" si="4">O10-S10</f>
        <v>7.9625483259900705</v>
      </c>
      <c r="U10" s="139"/>
      <c r="V10" s="154"/>
      <c r="W10" s="170"/>
      <c r="X10" s="72" t="str">
        <f t="shared" si="1"/>
        <v>Brighton &amp; Hove</v>
      </c>
      <c r="Y10" s="235">
        <v>2</v>
      </c>
      <c r="Z10" s="236">
        <f>IF(D10&gt;0,Population!C9,"")</f>
        <v>50500</v>
      </c>
      <c r="AA10" s="236">
        <f>IF(E10&gt;0,Population!D9,"")</f>
        <v>51000</v>
      </c>
      <c r="AB10" s="236">
        <f>IF(F10&gt;0,Population!E9,"")</f>
        <v>51200</v>
      </c>
      <c r="AC10" s="236">
        <f>IF(G10&gt;0,Population!F9,"")</f>
        <v>51281</v>
      </c>
      <c r="AD10" s="236">
        <f>IF(H10&gt;0,Population!G9,"")</f>
        <v>50981</v>
      </c>
      <c r="AE10" s="217"/>
      <c r="AF10" s="112" t="s">
        <v>32</v>
      </c>
      <c r="AG10" s="262">
        <f t="shared" ref="AG10:AG27" si="5">IFERROR(VLOOKUP(AF10,$B$9:$O$30,14,FALSE),"")</f>
        <v>172.41717502599008</v>
      </c>
      <c r="AH10" s="237">
        <f t="shared" ref="AH10:AH27" si="6">RANK(AG10,$AG$9:$AG$27,1)</f>
        <v>9</v>
      </c>
      <c r="AI10" s="232"/>
      <c r="AJ10" s="178"/>
    </row>
    <row r="11" spans="1:44" s="101" customFormat="1" ht="13.5" customHeight="1" x14ac:dyDescent="0.2">
      <c r="A11" s="533">
        <f>VLOOKUP(B11,Sheet1!$B$4:$C$25,2,FALSE)</f>
        <v>0</v>
      </c>
      <c r="B11" s="112" t="s">
        <v>9</v>
      </c>
      <c r="C11" s="97"/>
      <c r="D11" s="113">
        <f>IF(Year1_Buckinghamshire Year1_CIN_Section47="","",Year1_Buckinghamshire Year1_CIN_Section47)</f>
        <v>887</v>
      </c>
      <c r="E11" s="113">
        <f>IF(Year2_Buckinghamshire Year2_CIN_Section47="","",Year2_Buckinghamshire Year2_CIN_Section47)</f>
        <v>1758</v>
      </c>
      <c r="F11" s="113">
        <f>IF(Year3_Buckinghamshire Year3_CIN_Section47="","",Year3_Buckinghamshire Year3_CIN_Section47)</f>
        <v>1924</v>
      </c>
      <c r="G11" s="113">
        <f>IF(Year4_Buckinghamshire Year4_CIN_Section47="","",Year4_Buckinghamshire Year4_CIN_Section47)</f>
        <v>2576</v>
      </c>
      <c r="H11" s="114">
        <f>IF(Year5_Buckinghamshire Year5_CIN_Section47="","",Year5_Buckinghamshire Year5_CIN_Section47)</f>
        <v>2472</v>
      </c>
      <c r="I11" s="392">
        <f t="shared" ref="I11:I32" si="7">IF(ISNUMBER(H11),(H11-E11)/E11,"")</f>
        <v>0.4061433447098976</v>
      </c>
      <c r="J11" s="115"/>
      <c r="K11" s="116">
        <f>IF(ISNUMBER(D11),D11/Population!C10*10000,NA())</f>
        <v>75.425170068027214</v>
      </c>
      <c r="L11" s="116">
        <f>IF(ISNUMBER(E11),E11/Population!D10*10000,NA())</f>
        <v>147.85534062237173</v>
      </c>
      <c r="M11" s="116">
        <f>IF(ISNUMBER(F11),F11/Population!E10*10000,NA())</f>
        <v>159.53565505804312</v>
      </c>
      <c r="N11" s="116">
        <f>IF(ISNUMBER(G11),G11/Population!F10*10000,NA())</f>
        <v>210.79333906141321</v>
      </c>
      <c r="O11" s="117">
        <f>IF(ISNUMBER(H11),H11/Population!G10*10000,NA())</f>
        <v>200.85313833028638</v>
      </c>
      <c r="P11" s="397">
        <f t="shared" si="2"/>
        <v>14</v>
      </c>
      <c r="Q11" s="70"/>
      <c r="R11" s="387">
        <f>IDACI!C11</f>
        <v>9.8000000000000007</v>
      </c>
      <c r="S11" s="388">
        <f t="shared" si="3"/>
        <v>112.18686020000001</v>
      </c>
      <c r="T11" s="389">
        <f t="shared" si="4"/>
        <v>88.666278130286372</v>
      </c>
      <c r="U11" s="139"/>
      <c r="V11" s="154"/>
      <c r="W11" s="170"/>
      <c r="X11" s="72" t="str">
        <f t="shared" si="1"/>
        <v>Buckinghamshire</v>
      </c>
      <c r="Y11" s="235">
        <v>3</v>
      </c>
      <c r="Z11" s="236">
        <f>IF(D11&gt;0,Population!C10,"")</f>
        <v>117600</v>
      </c>
      <c r="AA11" s="236">
        <f>IF(E11&gt;0,Population!D10,"")</f>
        <v>118900</v>
      </c>
      <c r="AB11" s="236">
        <f>IF(F11&gt;0,Population!E10,"")</f>
        <v>120600</v>
      </c>
      <c r="AC11" s="236">
        <f>IF(G11&gt;0,Population!F10,"")</f>
        <v>122205</v>
      </c>
      <c r="AD11" s="236">
        <f>IF(H11&gt;0,Population!G10,"")</f>
        <v>123075</v>
      </c>
      <c r="AE11" s="217"/>
      <c r="AF11" s="112" t="s">
        <v>9</v>
      </c>
      <c r="AG11" s="262">
        <f t="shared" si="5"/>
        <v>200.85313833028638</v>
      </c>
      <c r="AH11" s="237">
        <f t="shared" si="6"/>
        <v>14</v>
      </c>
      <c r="AI11" s="232"/>
      <c r="AJ11" s="178"/>
    </row>
    <row r="12" spans="1:44" s="101" customFormat="1" ht="13.5" customHeight="1" x14ac:dyDescent="0.2">
      <c r="A12" s="533">
        <f>VLOOKUP(B12,Sheet1!$B$4:$C$25,2,FALSE)</f>
        <v>0</v>
      </c>
      <c r="B12" s="112" t="s">
        <v>4</v>
      </c>
      <c r="C12" s="97"/>
      <c r="D12" s="113">
        <f>IF(Year1_East_Sussex Year1_CIN_Section47="","",Year1_East_Sussex Year1_CIN_Section47)</f>
        <v>1364</v>
      </c>
      <c r="E12" s="118">
        <f>IF(Year2_East_Sussex Year2_CIN_Section47="","",Year2_East_Sussex Year2_CIN_Section47)</f>
        <v>995</v>
      </c>
      <c r="F12" s="113">
        <f>IF(Year3_East_Sussex Year3_CIN_Section47="","",Year3_East_Sussex Year3_CIN_Section47)</f>
        <v>868</v>
      </c>
      <c r="G12" s="113">
        <f>IF(Year4_East_Sussex Year4_CIN_Section47="","",Year4_East_Sussex Year4_CIN_Section47)</f>
        <v>1127</v>
      </c>
      <c r="H12" s="114">
        <f>IF(Year5_East_Sussex Year5_CIN_Section47="","",Year5_East_Sussex Year5_CIN_Section47)</f>
        <v>1334</v>
      </c>
      <c r="I12" s="392">
        <f t="shared" si="7"/>
        <v>0.34070351758793971</v>
      </c>
      <c r="J12" s="115"/>
      <c r="K12" s="116">
        <f>IF(ISNUMBER(D12),D12/Population!C11*10000,NA())</f>
        <v>130.15267175572518</v>
      </c>
      <c r="L12" s="116">
        <f>IF(ISNUMBER(E12),E12/Population!D11*10000,NA())</f>
        <v>94.402277039848187</v>
      </c>
      <c r="M12" s="116">
        <f>IF(ISNUMBER(F12),F12/Population!E11*10000,NA())</f>
        <v>81.964117091595838</v>
      </c>
      <c r="N12" s="116">
        <f>IF(ISNUMBER(G12),G12/Population!F11*10000,NA())</f>
        <v>106.39804386205074</v>
      </c>
      <c r="O12" s="117">
        <f>IF(ISNUMBER(H12),H12/Population!G11*10000,NA())</f>
        <v>125.79565278891036</v>
      </c>
      <c r="P12" s="397">
        <f t="shared" si="2"/>
        <v>4</v>
      </c>
      <c r="Q12" s="70"/>
      <c r="R12" s="387">
        <f>IDACI!C12</f>
        <v>17.399999999999999</v>
      </c>
      <c r="S12" s="388">
        <f t="shared" si="3"/>
        <v>158.92039259999999</v>
      </c>
      <c r="T12" s="389">
        <f t="shared" si="4"/>
        <v>-33.124739811089626</v>
      </c>
      <c r="U12" s="139"/>
      <c r="V12" s="154"/>
      <c r="W12" s="170"/>
      <c r="X12" s="72" t="str">
        <f t="shared" si="1"/>
        <v>East Sussex</v>
      </c>
      <c r="Y12" s="235">
        <v>4</v>
      </c>
      <c r="Z12" s="236">
        <f>IF(D12&gt;0,Population!C11,"")</f>
        <v>104800</v>
      </c>
      <c r="AA12" s="236">
        <f>IF(E12&gt;0,Population!D11,"")</f>
        <v>105400</v>
      </c>
      <c r="AB12" s="236">
        <f>IF(F12&gt;0,Population!E11,"")</f>
        <v>105900</v>
      </c>
      <c r="AC12" s="236">
        <f>IF(G12&gt;0,Population!F11,"")</f>
        <v>105923</v>
      </c>
      <c r="AD12" s="236">
        <f>IF(H12&gt;0,Population!G11,"")</f>
        <v>106045</v>
      </c>
      <c r="AE12" s="217"/>
      <c r="AF12" s="112" t="s">
        <v>4</v>
      </c>
      <c r="AG12" s="262">
        <f t="shared" si="5"/>
        <v>125.79565278891036</v>
      </c>
      <c r="AH12" s="237">
        <f t="shared" si="6"/>
        <v>4</v>
      </c>
      <c r="AI12" s="232"/>
      <c r="AJ12" s="178"/>
    </row>
    <row r="13" spans="1:44" s="101" customFormat="1" ht="13.5" customHeight="1" x14ac:dyDescent="0.2">
      <c r="A13" s="533">
        <f>VLOOKUP(B13,Sheet1!$B$4:$C$25,2,FALSE)</f>
        <v>0</v>
      </c>
      <c r="B13" s="112" t="s">
        <v>6</v>
      </c>
      <c r="C13" s="97"/>
      <c r="D13" s="113">
        <f>IF(Year1_Hampshire Year1_CIN_Section47="","",Year1_Hampshire Year1_CIN_Section47)</f>
        <v>2755</v>
      </c>
      <c r="E13" s="113">
        <f>IF(Year2_Hampshire Year2_CIN_Section47="","",Year2_Hampshire Year2_CIN_Section47)</f>
        <v>4623</v>
      </c>
      <c r="F13" s="119">
        <f>IF(Year3_Hampshire Year3_CIN_Section47="","",Year3_Hampshire Year3_CIN_Section47)</f>
        <v>4182</v>
      </c>
      <c r="G13" s="119">
        <f>IF(Year4_Hampshire Year4_CIN_Section47="","",Year4_Hampshire Year4_CIN_Section47)</f>
        <v>4211</v>
      </c>
      <c r="H13" s="114">
        <f>IF(Year5_Hampshire Year5_CIN_Section47="","",Year5_Hampshire Year5_CIN_Section47)</f>
        <v>3844</v>
      </c>
      <c r="I13" s="392">
        <f t="shared" si="7"/>
        <v>-0.16850529958901148</v>
      </c>
      <c r="J13" s="115"/>
      <c r="K13" s="116">
        <f>IF(ISNUMBER(D13),D13/Population!C12*10000,NA())</f>
        <v>97.729691379921945</v>
      </c>
      <c r="L13" s="116">
        <f>IF(ISNUMBER(E13),E13/Population!D12*10000,NA())</f>
        <v>164.22735346358792</v>
      </c>
      <c r="M13" s="116">
        <f>IF(ISNUMBER(F13),F13/Population!E12*10000,NA())</f>
        <v>148.35047889322453</v>
      </c>
      <c r="N13" s="116">
        <f>IF(ISNUMBER(G13),G13/Population!F12*10000,NA())</f>
        <v>148.90855791025882</v>
      </c>
      <c r="O13" s="117">
        <f>IF(ISNUMBER(H13),H13/Population!G12*10000,NA())</f>
        <v>135.67984638951833</v>
      </c>
      <c r="P13" s="397">
        <f t="shared" si="2"/>
        <v>6</v>
      </c>
      <c r="Q13" s="70"/>
      <c r="R13" s="387">
        <f>IDACI!C13</f>
        <v>11.799999999999999</v>
      </c>
      <c r="S13" s="388">
        <f t="shared" si="3"/>
        <v>124.4851582</v>
      </c>
      <c r="T13" s="389">
        <f t="shared" si="4"/>
        <v>11.194688189518331</v>
      </c>
      <c r="U13" s="139"/>
      <c r="V13" s="154"/>
      <c r="W13" s="170"/>
      <c r="X13" s="72" t="str">
        <f t="shared" si="1"/>
        <v>Hampshire</v>
      </c>
      <c r="Y13" s="235">
        <v>5</v>
      </c>
      <c r="Z13" s="236">
        <f>IF(D13&gt;0,Population!C12,"")</f>
        <v>281900</v>
      </c>
      <c r="AA13" s="236">
        <f>IF(E13&gt;0,Population!D12,"")</f>
        <v>281500</v>
      </c>
      <c r="AB13" s="236">
        <f>IF(F13&gt;0,Population!E12,"")</f>
        <v>281900</v>
      </c>
      <c r="AC13" s="236">
        <f>IF(G13&gt;0,Population!F12,"")</f>
        <v>282791</v>
      </c>
      <c r="AD13" s="236">
        <f>IF(H13&gt;0,Population!G12,"")</f>
        <v>283314</v>
      </c>
      <c r="AE13" s="217"/>
      <c r="AF13" s="112" t="s">
        <v>6</v>
      </c>
      <c r="AG13" s="262">
        <f t="shared" si="5"/>
        <v>135.67984638951833</v>
      </c>
      <c r="AH13" s="237">
        <f t="shared" si="6"/>
        <v>6</v>
      </c>
      <c r="AI13" s="232"/>
      <c r="AJ13" s="178"/>
    </row>
    <row r="14" spans="1:44" s="101" customFormat="1" ht="13.5" customHeight="1" x14ac:dyDescent="0.2">
      <c r="A14" s="533">
        <f>VLOOKUP(B14,Sheet1!$B$4:$C$25,2,FALSE)</f>
        <v>0</v>
      </c>
      <c r="B14" s="112" t="s">
        <v>1</v>
      </c>
      <c r="C14" s="97"/>
      <c r="D14" s="113">
        <f>IF(Year1_Isle_of_Wight Year1_CIN_Section47="","",Year1_Isle_of_Wight Year1_CIN_Section47)</f>
        <v>505</v>
      </c>
      <c r="E14" s="113">
        <f>IF(Year2_Isle_of_Wight Year2_CIN_Section47="","",Year2_Isle_of_Wight Year2_CIN_Section47)</f>
        <v>730</v>
      </c>
      <c r="F14" s="113">
        <f>IF(Year3_Isle_of_Wight Year3_CIN_Section47="","",Year3_Isle_of_Wight Year3_CIN_Section47)</f>
        <v>676</v>
      </c>
      <c r="G14" s="113">
        <f>IF(Year4_Isle_of_Wight Year4_CIN_Section47="","",Year4_Isle_of_Wight Year4_CIN_Section47)</f>
        <v>549</v>
      </c>
      <c r="H14" s="114">
        <f>IF(Year5_Isle_of_Wight Year5_CIN_Section47="","",Year5_Isle_of_Wight Year5_CIN_Section47)</f>
        <v>557</v>
      </c>
      <c r="I14" s="392">
        <f t="shared" si="7"/>
        <v>-0.23698630136986301</v>
      </c>
      <c r="J14" s="115"/>
      <c r="K14" s="116">
        <f>IF(ISNUMBER(D14),D14/Population!C13*10000,NA())</f>
        <v>195.73643410852713</v>
      </c>
      <c r="L14" s="116">
        <f>IF(ISNUMBER(E14),E14/Population!D13*10000,NA())</f>
        <v>286.2745098039216</v>
      </c>
      <c r="M14" s="116">
        <f>IF(ISNUMBER(F14),F14/Population!E13*10000,NA())</f>
        <v>267.19367588932806</v>
      </c>
      <c r="N14" s="116">
        <f>IF(ISNUMBER(G14),G14/Population!F13*10000,NA())</f>
        <v>217.85714285714286</v>
      </c>
      <c r="O14" s="117">
        <f>IF(ISNUMBER(H14),H14/Population!G13*10000,NA())</f>
        <v>222.31091598483337</v>
      </c>
      <c r="P14" s="397">
        <f t="shared" si="2"/>
        <v>15</v>
      </c>
      <c r="Q14" s="70"/>
      <c r="R14" s="387">
        <f>IDACI!C14</f>
        <v>20.399999999999999</v>
      </c>
      <c r="S14" s="388">
        <f t="shared" si="3"/>
        <v>177.3678396</v>
      </c>
      <c r="T14" s="389">
        <f t="shared" si="4"/>
        <v>44.943076384833375</v>
      </c>
      <c r="U14" s="139"/>
      <c r="V14" s="154"/>
      <c r="W14" s="170"/>
      <c r="X14" s="72" t="str">
        <f t="shared" si="1"/>
        <v>Isle of Wight</v>
      </c>
      <c r="Y14" s="235">
        <v>6</v>
      </c>
      <c r="Z14" s="236">
        <f>IF(D14&gt;0,Population!C13,"")</f>
        <v>25800</v>
      </c>
      <c r="AA14" s="236">
        <f>IF(E14&gt;0,Population!D13,"")</f>
        <v>25500</v>
      </c>
      <c r="AB14" s="236">
        <f>IF(F14&gt;0,Population!E13,"")</f>
        <v>25300</v>
      </c>
      <c r="AC14" s="236">
        <f>IF(G14&gt;0,Population!F13,"")</f>
        <v>25200</v>
      </c>
      <c r="AD14" s="236">
        <f>IF(H14&gt;0,Population!G13,"")</f>
        <v>25055</v>
      </c>
      <c r="AE14" s="217"/>
      <c r="AF14" s="112" t="s">
        <v>1</v>
      </c>
      <c r="AG14" s="262">
        <f t="shared" si="5"/>
        <v>222.31091598483337</v>
      </c>
      <c r="AH14" s="237">
        <f t="shared" si="6"/>
        <v>15</v>
      </c>
      <c r="AI14" s="232"/>
      <c r="AJ14" s="178"/>
      <c r="AR14" s="101" t="s">
        <v>104</v>
      </c>
    </row>
    <row r="15" spans="1:44" s="101" customFormat="1" ht="13.5" customHeight="1" x14ac:dyDescent="0.2">
      <c r="A15" s="533">
        <f>VLOOKUP(B15,Sheet1!$B$4:$C$25,2,FALSE)</f>
        <v>0</v>
      </c>
      <c r="B15" s="112" t="s">
        <v>10</v>
      </c>
      <c r="C15" s="97"/>
      <c r="D15" s="113">
        <f>IF(Year1_Kent Year1_CIN_Section47="","",Year1_Kent Year1_CIN_Section47)</f>
        <v>4023</v>
      </c>
      <c r="E15" s="113">
        <f>IF(Year2_Kent Year2_CIN_Section47="","",Year2_Kent Year2_CIN_Section47)</f>
        <v>4367</v>
      </c>
      <c r="F15" s="113">
        <f>IF(Year3_Kent Year3_CIN_Section47="","",Year3_Kent Year3_CIN_Section47)</f>
        <v>4760</v>
      </c>
      <c r="G15" s="113">
        <f>IF(Year4_Kent Year4_CIN_Section47="","",Year4_Kent Year4_CIN_Section47)</f>
        <v>4893</v>
      </c>
      <c r="H15" s="114">
        <f>IF(Year5_Kent Year5_CIN_Section47="","",Year5_Kent Year5_CIN_Section47)</f>
        <v>6259</v>
      </c>
      <c r="I15" s="392">
        <f t="shared" si="7"/>
        <v>0.43324937027707811</v>
      </c>
      <c r="J15" s="115"/>
      <c r="K15" s="116">
        <f>IF(ISNUMBER(D15),D15/Population!C14*10000,NA())</f>
        <v>123.55651105651107</v>
      </c>
      <c r="L15" s="116">
        <f>IF(ISNUMBER(E15),E15/Population!D14*10000,NA())</f>
        <v>133.01858056655499</v>
      </c>
      <c r="M15" s="116">
        <f>IF(ISNUMBER(F15),F15/Population!E14*10000,NA())</f>
        <v>144.06779661016949</v>
      </c>
      <c r="N15" s="116">
        <f>IF(ISNUMBER(G15),G15/Population!F14*10000,NA())</f>
        <v>146.91708327703464</v>
      </c>
      <c r="O15" s="117">
        <f>IF(ISNUMBER(H15),H15/Population!G14*10000,NA())</f>
        <v>186.22987890148474</v>
      </c>
      <c r="P15" s="397">
        <f t="shared" si="2"/>
        <v>13</v>
      </c>
      <c r="Q15" s="70"/>
      <c r="R15" s="387">
        <f>IDACI!C15</f>
        <v>17.8</v>
      </c>
      <c r="S15" s="388">
        <f t="shared" si="3"/>
        <v>161.38005219999999</v>
      </c>
      <c r="T15" s="389">
        <f t="shared" si="4"/>
        <v>24.849826701484744</v>
      </c>
      <c r="U15" s="139"/>
      <c r="V15" s="154"/>
      <c r="W15" s="170"/>
      <c r="X15" s="72" t="str">
        <f t="shared" si="1"/>
        <v>Kent</v>
      </c>
      <c r="Y15" s="235">
        <v>7</v>
      </c>
      <c r="Z15" s="236">
        <f>IF(D15&gt;0,Population!C14,"")</f>
        <v>325600</v>
      </c>
      <c r="AA15" s="236">
        <f>IF(E15&gt;0,Population!D14,"")</f>
        <v>328300</v>
      </c>
      <c r="AB15" s="236">
        <f>IF(F15&gt;0,Population!E14,"")</f>
        <v>330400</v>
      </c>
      <c r="AC15" s="236">
        <f>IF(G15&gt;0,Population!F14,"")</f>
        <v>333045</v>
      </c>
      <c r="AD15" s="236">
        <f>IF(H15&gt;0,Population!G14,"")</f>
        <v>336090</v>
      </c>
      <c r="AE15" s="217"/>
      <c r="AF15" s="112" t="s">
        <v>10</v>
      </c>
      <c r="AG15" s="262">
        <f t="shared" si="5"/>
        <v>186.22987890148474</v>
      </c>
      <c r="AH15" s="237">
        <f t="shared" si="6"/>
        <v>13</v>
      </c>
      <c r="AI15" s="232"/>
      <c r="AJ15" s="178"/>
    </row>
    <row r="16" spans="1:44" s="101" customFormat="1" ht="13.5" customHeight="1" x14ac:dyDescent="0.2">
      <c r="A16" s="533">
        <f>VLOOKUP(B16,Sheet1!$B$4:$C$25,2,FALSE)</f>
        <v>0</v>
      </c>
      <c r="B16" s="112" t="s">
        <v>2</v>
      </c>
      <c r="C16" s="97"/>
      <c r="D16" s="113">
        <f>IF(Year1_Medway Year1_CIN_Section47="","",Year1_Medway Year1_CIN_Section47)</f>
        <v>869</v>
      </c>
      <c r="E16" s="329">
        <f>IF(Year2_Medway Year2_CIN_Section47="","",Year2_Medway Year2_CIN_Section47)</f>
        <v>1514</v>
      </c>
      <c r="F16" s="329">
        <f>IF(Year3_Medway Year3_CIN_Section47="","",Year3_Medway Year3_CIN_Section47)</f>
        <v>1631</v>
      </c>
      <c r="G16" s="329">
        <f>IF(Year4_Medway Year4_CIN_Section47="","",Year4_Medway Year4_CIN_Section47)</f>
        <v>1072</v>
      </c>
      <c r="H16" s="330">
        <f>IF(Year5_Medway Year5_CIN_Section47="","",Year5_Medway Year5_CIN_Section47)</f>
        <v>1181</v>
      </c>
      <c r="I16" s="392">
        <f t="shared" si="7"/>
        <v>-0.21994715984147953</v>
      </c>
      <c r="J16" s="115"/>
      <c r="K16" s="116">
        <f>IF(ISNUMBER(D16),D16/Population!C15*10000,NA())</f>
        <v>141.07142857142856</v>
      </c>
      <c r="L16" s="116">
        <f>IF(ISNUMBER(E16),E16/Population!D15*10000,NA())</f>
        <v>242.23999999999998</v>
      </c>
      <c r="M16" s="116">
        <f>IF(ISNUMBER(F16),F16/Population!E15*10000,NA())</f>
        <v>258.06962025316454</v>
      </c>
      <c r="N16" s="116">
        <f>IF(ISNUMBER(G16),G16/Population!F15*10000,NA())</f>
        <v>168.29678006813509</v>
      </c>
      <c r="O16" s="117">
        <f>IF(ISNUMBER(H16),H16/Population!G15*10000,NA())</f>
        <v>184.69574464757676</v>
      </c>
      <c r="P16" s="397">
        <f t="shared" si="2"/>
        <v>12</v>
      </c>
      <c r="Q16" s="70"/>
      <c r="R16" s="387">
        <f>IDACI!C16</f>
        <v>22</v>
      </c>
      <c r="S16" s="388">
        <f t="shared" si="3"/>
        <v>187.206478</v>
      </c>
      <c r="T16" s="389">
        <f t="shared" si="4"/>
        <v>-2.5107333524232445</v>
      </c>
      <c r="U16" s="139"/>
      <c r="V16" s="154"/>
      <c r="W16" s="170"/>
      <c r="X16" s="72" t="str">
        <f t="shared" si="1"/>
        <v>Medway</v>
      </c>
      <c r="Y16" s="235">
        <v>8</v>
      </c>
      <c r="Z16" s="236">
        <f>IF(D16&gt;0,Population!C15,"")</f>
        <v>61600</v>
      </c>
      <c r="AA16" s="236">
        <f>IF(E16&gt;0,Population!D15,"")</f>
        <v>62500</v>
      </c>
      <c r="AB16" s="236">
        <f>IF(F16&gt;0,Population!E15,"")</f>
        <v>63200</v>
      </c>
      <c r="AC16" s="236">
        <f>IF(G16&gt;0,Population!F15,"")</f>
        <v>63697</v>
      </c>
      <c r="AD16" s="236">
        <f>IF(H16&gt;0,Population!G15,"")</f>
        <v>63943</v>
      </c>
      <c r="AE16" s="217"/>
      <c r="AF16" s="112" t="s">
        <v>2</v>
      </c>
      <c r="AG16" s="262">
        <f t="shared" si="5"/>
        <v>184.69574464757676</v>
      </c>
      <c r="AH16" s="237">
        <f t="shared" si="6"/>
        <v>12</v>
      </c>
      <c r="AI16" s="232"/>
      <c r="AJ16" s="178"/>
    </row>
    <row r="17" spans="1:36" s="101" customFormat="1" ht="13.5" customHeight="1" x14ac:dyDescent="0.2">
      <c r="A17" s="533">
        <f>VLOOKUP(B17,Sheet1!$B$4:$C$25,2,FALSE)</f>
        <v>0</v>
      </c>
      <c r="B17" s="112" t="s">
        <v>11</v>
      </c>
      <c r="C17" s="97"/>
      <c r="D17" s="113">
        <f>IF(Year1_Milton_Keynes Year1_CIN_Section47="","",Year1_Milton_Keynes Year1_CIN_Section47)</f>
        <v>532</v>
      </c>
      <c r="E17" s="113">
        <f>IF(Year2_Milton_Keynes Year2_CIN_Section47="","",Year2_Milton_Keynes Year2_CIN_Section47)</f>
        <v>557</v>
      </c>
      <c r="F17" s="113">
        <f>IF(Year3_Milton_Keynes Year3_CIN_Section47="","",Year3_Milton_Keynes Year3_CIN_Section47)</f>
        <v>569</v>
      </c>
      <c r="G17" s="113">
        <f>IF(Year4_Milton_Keynes Year4_CIN_Section47="","",Year4_Milton_Keynes Year4_CIN_Section47)</f>
        <v>776</v>
      </c>
      <c r="H17" s="114">
        <f>IF(Year5_Milton_Keynes Year5_CIN_Section47="","",Year5_Milton_Keynes Year5_CIN_Section47)</f>
        <v>558</v>
      </c>
      <c r="I17" s="392">
        <f t="shared" si="7"/>
        <v>1.7953321364452424E-3</v>
      </c>
      <c r="J17" s="115"/>
      <c r="K17" s="116">
        <f>IF(ISNUMBER(D17),D17/Population!C16*10000,NA())</f>
        <v>83.125</v>
      </c>
      <c r="L17" s="116">
        <f>IF(ISNUMBER(E17),E17/Population!D16*10000,NA())</f>
        <v>85.429447852760731</v>
      </c>
      <c r="M17" s="116">
        <f>IF(ISNUMBER(F17),F17/Population!E16*10000,NA())</f>
        <v>86.081694402420567</v>
      </c>
      <c r="N17" s="116">
        <f>IF(ISNUMBER(G17),G17/Population!F16*10000,NA())</f>
        <v>115.56905846960355</v>
      </c>
      <c r="O17" s="117">
        <f>IF(ISNUMBER(H17),H17/Population!G16*10000,NA())</f>
        <v>82.487028249589784</v>
      </c>
      <c r="P17" s="397">
        <f t="shared" si="2"/>
        <v>1</v>
      </c>
      <c r="Q17" s="70"/>
      <c r="R17" s="387">
        <f>IDACI!C17</f>
        <v>19.7</v>
      </c>
      <c r="S17" s="388">
        <f t="shared" si="3"/>
        <v>173.06343530000001</v>
      </c>
      <c r="T17" s="389">
        <f t="shared" si="4"/>
        <v>-90.576407050410225</v>
      </c>
      <c r="U17" s="139"/>
      <c r="V17" s="154"/>
      <c r="W17" s="170"/>
      <c r="X17" s="72" t="str">
        <f t="shared" si="1"/>
        <v>Milton Keynes</v>
      </c>
      <c r="Y17" s="235">
        <v>9</v>
      </c>
      <c r="Z17" s="236">
        <f>IF(D17&gt;0,Population!C16,"")</f>
        <v>64000</v>
      </c>
      <c r="AA17" s="236">
        <f>IF(E17&gt;0,Population!D16,"")</f>
        <v>65200</v>
      </c>
      <c r="AB17" s="236">
        <f>IF(F17&gt;0,Population!E16,"")</f>
        <v>66100</v>
      </c>
      <c r="AC17" s="236">
        <f>IF(G17&gt;0,Population!F16,"")</f>
        <v>67146</v>
      </c>
      <c r="AD17" s="236">
        <f>IF(H17&gt;0,Population!G16,"")</f>
        <v>67647</v>
      </c>
      <c r="AE17" s="217"/>
      <c r="AF17" s="112" t="s">
        <v>11</v>
      </c>
      <c r="AG17" s="262">
        <f t="shared" si="5"/>
        <v>82.487028249589784</v>
      </c>
      <c r="AH17" s="237">
        <f t="shared" si="6"/>
        <v>1</v>
      </c>
      <c r="AI17" s="232"/>
      <c r="AJ17" s="178"/>
    </row>
    <row r="18" spans="1:36" s="101" customFormat="1" ht="13.5" customHeight="1" x14ac:dyDescent="0.2">
      <c r="A18" s="533">
        <f>VLOOKUP(B18,Sheet1!$B$4:$C$25,2,FALSE)</f>
        <v>0</v>
      </c>
      <c r="B18" s="112" t="s">
        <v>12</v>
      </c>
      <c r="C18" s="97"/>
      <c r="D18" s="113">
        <f>IF(Year1_Oxfordshire Year1_CIN_Section47="","",Year1_Oxfordshire Year1_CIN_Section47)</f>
        <v>1582</v>
      </c>
      <c r="E18" s="113">
        <f>IF(Year2_Oxfordshire Year2_CIN_Section47="","",Year2_Oxfordshire Year2_CIN_Section47)</f>
        <v>1577</v>
      </c>
      <c r="F18" s="113">
        <f>IF(Year3_Oxfordshire Year3_CIN_Section47="","",Year3_Oxfordshire Year3_CIN_Section47)</f>
        <v>1864</v>
      </c>
      <c r="G18" s="113">
        <f>IF(Year4_Oxfordshire Year4_CIN_Section47="","",Year4_Oxfordshire Year4_CIN_Section47)</f>
        <v>1926</v>
      </c>
      <c r="H18" s="114">
        <f>IF(Year5_Oxfordshire Year5_CIN_Section47="","",Year5_Oxfordshire Year5_CIN_Section47)</f>
        <v>1805</v>
      </c>
      <c r="I18" s="392">
        <f t="shared" si="7"/>
        <v>0.14457831325301204</v>
      </c>
      <c r="J18" s="115"/>
      <c r="K18" s="116">
        <f>IF(ISNUMBER(D18),D18/Population!C17*10000,NA())</f>
        <v>112.7583749109052</v>
      </c>
      <c r="L18" s="116">
        <f>IF(ISNUMBER(E18),E18/Population!D17*10000,NA())</f>
        <v>111.68555240793202</v>
      </c>
      <c r="M18" s="116">
        <f>IF(ISNUMBER(F18),F18/Population!E17*10000,NA())</f>
        <v>131.45275035260931</v>
      </c>
      <c r="N18" s="116">
        <f>IF(ISNUMBER(G18),G18/Population!F17*10000,NA())</f>
        <v>134.78239571159648</v>
      </c>
      <c r="O18" s="117">
        <f>IF(ISNUMBER(H18),H18/Population!G17*10000,NA())</f>
        <v>125.83307771673962</v>
      </c>
      <c r="P18" s="397">
        <f t="shared" si="2"/>
        <v>5</v>
      </c>
      <c r="Q18" s="70"/>
      <c r="R18" s="387">
        <f>IDACI!C18</f>
        <v>11.799999999999999</v>
      </c>
      <c r="S18" s="388">
        <f t="shared" si="3"/>
        <v>124.4851582</v>
      </c>
      <c r="T18" s="389">
        <f t="shared" si="4"/>
        <v>1.3479195167396227</v>
      </c>
      <c r="U18" s="139"/>
      <c r="V18" s="154"/>
      <c r="W18" s="170"/>
      <c r="X18" s="72" t="str">
        <f t="shared" si="1"/>
        <v>Oxfordshire</v>
      </c>
      <c r="Y18" s="235">
        <v>10</v>
      </c>
      <c r="Z18" s="236">
        <f>IF(D18&gt;0,Population!C17,"")</f>
        <v>140300</v>
      </c>
      <c r="AA18" s="236">
        <f>IF(E18&gt;0,Population!D17,"")</f>
        <v>141200</v>
      </c>
      <c r="AB18" s="236">
        <f>IF(F18&gt;0,Population!E17,"")</f>
        <v>141800</v>
      </c>
      <c r="AC18" s="236">
        <f>IF(G18&gt;0,Population!F17,"")</f>
        <v>142897</v>
      </c>
      <c r="AD18" s="236">
        <f>IF(H18&gt;0,Population!G17,"")</f>
        <v>143444</v>
      </c>
      <c r="AE18" s="217"/>
      <c r="AF18" s="112" t="s">
        <v>12</v>
      </c>
      <c r="AG18" s="262">
        <f t="shared" si="5"/>
        <v>125.83307771673962</v>
      </c>
      <c r="AH18" s="237">
        <f t="shared" si="6"/>
        <v>5</v>
      </c>
      <c r="AI18" s="232"/>
      <c r="AJ18" s="178"/>
    </row>
    <row r="19" spans="1:36" s="101" customFormat="1" ht="13.5" customHeight="1" x14ac:dyDescent="0.2">
      <c r="A19" s="533">
        <f>VLOOKUP(B19,Sheet1!$B$4:$C$25,2,FALSE)</f>
        <v>0</v>
      </c>
      <c r="B19" s="112" t="s">
        <v>13</v>
      </c>
      <c r="C19" s="97"/>
      <c r="D19" s="113">
        <f>IF(Year1_Portsmouth Year1_CIN_Section47="","",Year1_Portsmouth Year1_CIN_Section47)</f>
        <v>977</v>
      </c>
      <c r="E19" s="113">
        <f>IF(Year2_Portsmouth Year2_CIN_Section47="","",Year2_Portsmouth Year2_CIN_Section47)</f>
        <v>1079</v>
      </c>
      <c r="F19" s="113">
        <f>IF(Year3_Portsmouth Year3_CIN_Section47="","",Year3_Portsmouth Year3_CIN_Section47)</f>
        <v>1148</v>
      </c>
      <c r="G19" s="113">
        <f>IF(Year4_Portsmouth Year4_CIN_Section47="","",Year4_Portsmouth Year4_CIN_Section47)</f>
        <v>1240</v>
      </c>
      <c r="H19" s="114">
        <f>IF(Year5_Portsmouth Year5_CIN_Section47="","",Year5_Portsmouth Year5_CIN_Section47)</f>
        <v>1025</v>
      </c>
      <c r="I19" s="392">
        <f t="shared" si="7"/>
        <v>-5.0046339202965709E-2</v>
      </c>
      <c r="J19" s="115"/>
      <c r="K19" s="116">
        <f>IF(ISNUMBER(D19),D19/Population!C18*10000,NA())</f>
        <v>229.34272300469485</v>
      </c>
      <c r="L19" s="116">
        <f>IF(ISNUMBER(E19),E19/Population!D18*10000,NA())</f>
        <v>248.61751152073734</v>
      </c>
      <c r="M19" s="116">
        <f>IF(ISNUMBER(F19),F19/Population!E18*10000,NA())</f>
        <v>262.10045662100458</v>
      </c>
      <c r="N19" s="116">
        <f>IF(ISNUMBER(G19),G19/Population!F18*10000,NA())</f>
        <v>281.81818181818181</v>
      </c>
      <c r="O19" s="117">
        <f>IF(ISNUMBER(H19),H19/Population!G18*10000,NA())</f>
        <v>231.94243301955106</v>
      </c>
      <c r="P19" s="397">
        <f t="shared" si="2"/>
        <v>18</v>
      </c>
      <c r="Q19" s="70"/>
      <c r="R19" s="387">
        <f>IDACI!C19</f>
        <v>23.799999999999997</v>
      </c>
      <c r="S19" s="388">
        <f t="shared" si="3"/>
        <v>198.27494619999999</v>
      </c>
      <c r="T19" s="389">
        <f t="shared" si="4"/>
        <v>33.667486819551073</v>
      </c>
      <c r="U19" s="139"/>
      <c r="V19" s="154"/>
      <c r="W19" s="170"/>
      <c r="X19" s="72" t="str">
        <f t="shared" si="1"/>
        <v>Portsmouth</v>
      </c>
      <c r="Y19" s="235">
        <v>11</v>
      </c>
      <c r="Z19" s="236">
        <f>IF(D19&gt;0,Population!C18,"")</f>
        <v>42600</v>
      </c>
      <c r="AA19" s="236">
        <f>IF(E19&gt;0,Population!D18,"")</f>
        <v>43400</v>
      </c>
      <c r="AB19" s="236">
        <f>IF(F19&gt;0,Population!E18,"")</f>
        <v>43800</v>
      </c>
      <c r="AC19" s="236">
        <f>IF(G19&gt;0,Population!F18,"")</f>
        <v>44000</v>
      </c>
      <c r="AD19" s="236">
        <f>IF(H19&gt;0,Population!G18,"")</f>
        <v>44192</v>
      </c>
      <c r="AE19" s="217"/>
      <c r="AF19" s="112" t="s">
        <v>13</v>
      </c>
      <c r="AG19" s="262">
        <f t="shared" si="5"/>
        <v>231.94243301955106</v>
      </c>
      <c r="AH19" s="237">
        <f t="shared" si="6"/>
        <v>18</v>
      </c>
      <c r="AI19" s="232"/>
      <c r="AJ19" s="178"/>
    </row>
    <row r="20" spans="1:36" s="101" customFormat="1" ht="13.5" customHeight="1" x14ac:dyDescent="0.2">
      <c r="A20" s="533">
        <f>VLOOKUP(B20,Sheet1!$B$4:$C$25,2,FALSE)</f>
        <v>0</v>
      </c>
      <c r="B20" s="112" t="s">
        <v>3</v>
      </c>
      <c r="C20" s="97"/>
      <c r="D20" s="113">
        <f>IF(Year1_Reading Year1_CIN_Section47="","",Year1_Reading Year1_CIN_Section47)</f>
        <v>557</v>
      </c>
      <c r="E20" s="113">
        <f>IF(Year2_Reading Year2_CIN_Section47="","",Year2_Reading Year2_CIN_Section47)</f>
        <v>579</v>
      </c>
      <c r="F20" s="113">
        <f>IF(Year3_Reading Year3_CIN_Section47="","",Year3_Reading Year3_CIN_Section47)</f>
        <v>973</v>
      </c>
      <c r="G20" s="113">
        <f>IF(Year4_Reading Year4_CIN_Section47="","",Year4_Reading Year4_CIN_Section47)</f>
        <v>1090</v>
      </c>
      <c r="H20" s="114">
        <f>IF(Year5_Reading Year5_CIN_Section47="","",Year5_Reading Year5_CIN_Section47)</f>
        <v>840</v>
      </c>
      <c r="I20" s="392">
        <f t="shared" si="7"/>
        <v>0.45077720207253885</v>
      </c>
      <c r="J20" s="115"/>
      <c r="K20" s="116">
        <f>IF(ISNUMBER(D20),D20/Population!C19*10000,NA())</f>
        <v>160.51873198847264</v>
      </c>
      <c r="L20" s="116">
        <f>IF(ISNUMBER(E20),E20/Population!D19*10000,NA())</f>
        <v>161.28133704735376</v>
      </c>
      <c r="M20" s="116">
        <f>IF(ISNUMBER(F20),F20/Population!E19*10000,NA())</f>
        <v>267.30769230769232</v>
      </c>
      <c r="N20" s="116">
        <f>IF(ISNUMBER(G20),G20/Population!F19*10000,NA())</f>
        <v>297.48096394749052</v>
      </c>
      <c r="O20" s="117">
        <f>IF(ISNUMBER(H20),H20/Population!G19*10000,NA())</f>
        <v>226.45782223060954</v>
      </c>
      <c r="P20" s="397">
        <f t="shared" si="2"/>
        <v>17</v>
      </c>
      <c r="Q20" s="70"/>
      <c r="R20" s="387">
        <f>IDACI!C20</f>
        <v>19.8</v>
      </c>
      <c r="S20" s="388">
        <f t="shared" si="3"/>
        <v>173.67835020000001</v>
      </c>
      <c r="T20" s="389">
        <f t="shared" si="4"/>
        <v>52.779472030609526</v>
      </c>
      <c r="U20" s="139"/>
      <c r="V20" s="154"/>
      <c r="W20" s="170"/>
      <c r="X20" s="72" t="str">
        <f t="shared" si="1"/>
        <v>Reading</v>
      </c>
      <c r="Y20" s="235">
        <v>12</v>
      </c>
      <c r="Z20" s="236">
        <f>IF(D20&gt;0,Population!C19,"")</f>
        <v>34700</v>
      </c>
      <c r="AA20" s="236">
        <f>IF(E20&gt;0,Population!D19,"")</f>
        <v>35900</v>
      </c>
      <c r="AB20" s="236">
        <f>IF(F20&gt;0,Population!E19,"")</f>
        <v>36400</v>
      </c>
      <c r="AC20" s="236">
        <f>IF(G20&gt;0,Population!F19,"")</f>
        <v>36641</v>
      </c>
      <c r="AD20" s="236">
        <f>IF(H20&gt;0,Population!G19,"")</f>
        <v>37093</v>
      </c>
      <c r="AE20" s="217"/>
      <c r="AF20" s="112" t="s">
        <v>3</v>
      </c>
      <c r="AG20" s="262">
        <f t="shared" si="5"/>
        <v>226.45782223060954</v>
      </c>
      <c r="AH20" s="237">
        <f t="shared" si="6"/>
        <v>17</v>
      </c>
      <c r="AI20" s="232"/>
      <c r="AJ20" s="178"/>
    </row>
    <row r="21" spans="1:36" s="101" customFormat="1" ht="13.5" customHeight="1" x14ac:dyDescent="0.2">
      <c r="A21" s="533">
        <f>VLOOKUP(B21,Sheet1!$B$4:$C$25,2,FALSE)</f>
        <v>0</v>
      </c>
      <c r="B21" s="112" t="s">
        <v>14</v>
      </c>
      <c r="C21" s="97"/>
      <c r="D21" s="113">
        <f>IF(Year1_Slough Year1_CIN_Section47="","",Year1_Slough Year1_CIN_Section47)</f>
        <v>908</v>
      </c>
      <c r="E21" s="113">
        <f>IF(Year2_Slough Year2_CIN_Section47="","",Year2_Slough Year2_CIN_Section47)</f>
        <v>939</v>
      </c>
      <c r="F21" s="113">
        <f>IF(Year3_Slough Year3_CIN_Section47="","",Year3_Slough Year3_CIN_Section47)</f>
        <v>900</v>
      </c>
      <c r="G21" s="113">
        <f>IF(Year4_Slough Year4_CIN_Section47="","",Year4_Slough Year4_CIN_Section47)</f>
        <v>876</v>
      </c>
      <c r="H21" s="114">
        <f>IF(Year5_Slough Year5_CIN_Section47="","",Year5_Slough Year5_CIN_Section47)</f>
        <v>708</v>
      </c>
      <c r="I21" s="392">
        <f t="shared" si="7"/>
        <v>-0.24600638977635783</v>
      </c>
      <c r="J21" s="115"/>
      <c r="K21" s="116">
        <f>IF(ISNUMBER(D21),D21/Population!C20*10000,NA())</f>
        <v>233.41902313624681</v>
      </c>
      <c r="L21" s="116">
        <f>IF(ISNUMBER(E21),E21/Population!D20*10000,NA())</f>
        <v>235.33834586466165</v>
      </c>
      <c r="M21" s="116">
        <f>IF(ISNUMBER(F21),F21/Population!E20*10000,NA())</f>
        <v>221.67487684729065</v>
      </c>
      <c r="N21" s="116">
        <f>IF(ISNUMBER(G21),G21/Population!F20*10000,NA())</f>
        <v>211.56354151572236</v>
      </c>
      <c r="O21" s="117">
        <f>IF(ISNUMBER(H21),H21/Population!G20*10000,NA())</f>
        <v>167.85206258890469</v>
      </c>
      <c r="P21" s="397">
        <f t="shared" si="2"/>
        <v>8</v>
      </c>
      <c r="Q21" s="70"/>
      <c r="R21" s="387">
        <f>IDACI!C21</f>
        <v>19.5</v>
      </c>
      <c r="S21" s="388">
        <f t="shared" si="3"/>
        <v>171.8336055</v>
      </c>
      <c r="T21" s="389">
        <f>O21-S21</f>
        <v>-3.9815429110953175</v>
      </c>
      <c r="U21" s="139"/>
      <c r="V21" s="154"/>
      <c r="W21" s="170"/>
      <c r="X21" s="72" t="str">
        <f t="shared" si="1"/>
        <v>Slough</v>
      </c>
      <c r="Y21" s="235">
        <v>13</v>
      </c>
      <c r="Z21" s="236">
        <f>IF(D21&gt;0,Population!C20,"")</f>
        <v>38900</v>
      </c>
      <c r="AA21" s="236">
        <f>IF(E21&gt;0,Population!D20,"")</f>
        <v>39900</v>
      </c>
      <c r="AB21" s="236">
        <f>IF(F21&gt;0,Population!E20,"")</f>
        <v>40600</v>
      </c>
      <c r="AC21" s="236">
        <f>IF(G21&gt;0,Population!F20,"")</f>
        <v>41406</v>
      </c>
      <c r="AD21" s="236">
        <f>IF(H21&gt;0,Population!G20,"")</f>
        <v>42180</v>
      </c>
      <c r="AE21" s="217"/>
      <c r="AF21" s="112" t="s">
        <v>14</v>
      </c>
      <c r="AG21" s="262">
        <f t="shared" si="5"/>
        <v>167.85206258890469</v>
      </c>
      <c r="AH21" s="237">
        <f t="shared" si="6"/>
        <v>8</v>
      </c>
      <c r="AI21" s="232"/>
      <c r="AJ21" s="178"/>
    </row>
    <row r="22" spans="1:36" s="101" customFormat="1" ht="13.5" customHeight="1" x14ac:dyDescent="0.2">
      <c r="A22" s="533">
        <f>VLOOKUP(B22,Sheet1!$B$4:$C$25,2,FALSE)</f>
        <v>0</v>
      </c>
      <c r="B22" s="112" t="s">
        <v>93</v>
      </c>
      <c r="C22" s="97"/>
      <c r="D22" s="113">
        <f>IF(Year1_Somerset Year1_CIN_Section47="","",Year1_Somerset Year1_CIN_Section47)</f>
        <v>1620</v>
      </c>
      <c r="E22" s="113">
        <f>IF(Year2_Somerset Year2_CIN_Section47="","",Year2_Somerset Year2_CIN_Section47)</f>
        <v>2041</v>
      </c>
      <c r="F22" s="113">
        <f>IF(Year3_Somerset Year3_CIN_Section47="","",Year3_Somerset Year3_CIN_Section47)</f>
        <v>1297</v>
      </c>
      <c r="G22" s="113">
        <f>IF(Year4_Somerset Year4_CIN_Section47="","",Year4_Somerset Year4_CIN_Section47)</f>
        <v>1577</v>
      </c>
      <c r="H22" s="114">
        <f>IF(Year5_Somerset Year5_CIN_Section47="","",Year5_Somerset Year5_CIN_Section47)</f>
        <v>1529</v>
      </c>
      <c r="I22" s="392">
        <f t="shared" si="7"/>
        <v>-0.25085742283194512</v>
      </c>
      <c r="J22" s="115"/>
      <c r="K22" s="116">
        <f>IF(ISNUMBER(D22),D22/Population!C21*10000,NA())</f>
        <v>148.89705882352939</v>
      </c>
      <c r="L22" s="116">
        <f>IF(ISNUMBER(E22),E22/Population!D21*10000,NA())</f>
        <v>187.41965105601469</v>
      </c>
      <c r="M22" s="116">
        <f>IF(ISNUMBER(F22),F22/Population!E21*10000,NA())</f>
        <v>118.77289377289378</v>
      </c>
      <c r="N22" s="116">
        <f>IF(ISNUMBER(G22),G22/Population!F21*10000,NA())</f>
        <v>143.81206854099599</v>
      </c>
      <c r="O22" s="117">
        <f>IF(ISNUMBER(H22),H22/Population!G21*10000,NA())</f>
        <v>138.89393554013299</v>
      </c>
      <c r="P22" s="422" t="str">
        <f t="shared" si="2"/>
        <v>--</v>
      </c>
      <c r="Q22" s="70"/>
      <c r="R22" s="387">
        <f>IDACI!C22</f>
        <v>14.8</v>
      </c>
      <c r="S22" s="388">
        <f t="shared" si="3"/>
        <v>142.93260520000001</v>
      </c>
      <c r="T22" s="389">
        <f t="shared" si="4"/>
        <v>-4.0386696598670255</v>
      </c>
      <c r="U22" s="139"/>
      <c r="V22" s="154"/>
      <c r="W22" s="170"/>
      <c r="X22" s="72" t="str">
        <f t="shared" si="1"/>
        <v>Somerset</v>
      </c>
      <c r="Y22" s="235">
        <v>14</v>
      </c>
      <c r="Z22" s="236">
        <f>IF(D22&gt;0,Population!C21,"")</f>
        <v>108800</v>
      </c>
      <c r="AA22" s="236">
        <f>IF(E22&gt;0,Population!D21,"")</f>
        <v>108900</v>
      </c>
      <c r="AB22" s="236">
        <f>IF(F22&gt;0,Population!E21,"")</f>
        <v>109200</v>
      </c>
      <c r="AC22" s="236">
        <f>IF(G22&gt;0,Population!F21,"")</f>
        <v>109657</v>
      </c>
      <c r="AD22" s="236">
        <f>IF(H22&gt;0,Population!G21,"")</f>
        <v>110084</v>
      </c>
      <c r="AE22" s="217"/>
      <c r="AF22" s="112" t="s">
        <v>15</v>
      </c>
      <c r="AG22" s="262">
        <f t="shared" si="5"/>
        <v>336.34827551933205</v>
      </c>
      <c r="AH22" s="237">
        <f t="shared" si="6"/>
        <v>19</v>
      </c>
      <c r="AI22" s="232"/>
      <c r="AJ22" s="178"/>
    </row>
    <row r="23" spans="1:36" s="101" customFormat="1" ht="13.5" customHeight="1" x14ac:dyDescent="0.2">
      <c r="A23" s="533">
        <f>VLOOKUP(B23,Sheet1!$B$4:$C$25,2,FALSE)</f>
        <v>0</v>
      </c>
      <c r="B23" s="112" t="s">
        <v>15</v>
      </c>
      <c r="C23" s="97"/>
      <c r="D23" s="113">
        <f>IF(Year1_Southampton Year1_CIN_Section47="","",Year1_Southampton Year1_CIN_Section47)</f>
        <v>1555</v>
      </c>
      <c r="E23" s="113">
        <f>IF(Year2_Southampton Year2_CIN_Section47="","",Year2_Southampton Year2_CIN_Section47)</f>
        <v>2120</v>
      </c>
      <c r="F23" s="113">
        <f>IF(Year3_Southampton Year3_CIN_Section47="","",Year3_Southampton Year3_CIN_Section47)</f>
        <v>1888</v>
      </c>
      <c r="G23" s="113">
        <f>IF(Year4_Southampton Year4_CIN_Section47="","",Year4_Southampton Year4_CIN_Section47)</f>
        <v>1352</v>
      </c>
      <c r="H23" s="114">
        <f>IF(Year5_Southampton Year5_CIN_Section47="","",Year5_Southampton Year5_CIN_Section47)</f>
        <v>1692</v>
      </c>
      <c r="I23" s="392">
        <f t="shared" si="7"/>
        <v>-0.2018867924528302</v>
      </c>
      <c r="J23" s="115"/>
      <c r="K23" s="116">
        <f>IF(ISNUMBER(D23),D23/Population!C22*10000,NA())</f>
        <v>328.05907172995779</v>
      </c>
      <c r="L23" s="116">
        <f>IF(ISNUMBER(E23),E23/Population!D22*10000,NA())</f>
        <v>436.21399176954736</v>
      </c>
      <c r="M23" s="116">
        <f>IF(ISNUMBER(F23),F23/Population!E22*10000,NA())</f>
        <v>383.73983739837399</v>
      </c>
      <c r="N23" s="116">
        <f>IF(ISNUMBER(G23),G23/Population!F22*10000,NA())</f>
        <v>270.93645417927496</v>
      </c>
      <c r="O23" s="117">
        <f>IF(ISNUMBER(H23),H23/Population!G22*10000,NA())</f>
        <v>336.34827551933205</v>
      </c>
      <c r="P23" s="397">
        <f t="shared" si="2"/>
        <v>19</v>
      </c>
      <c r="Q23" s="70"/>
      <c r="R23" s="387">
        <f>IDACI!C23</f>
        <v>25</v>
      </c>
      <c r="S23" s="388">
        <f t="shared" si="3"/>
        <v>205.65392499999999</v>
      </c>
      <c r="T23" s="389">
        <f t="shared" si="4"/>
        <v>130.69435051933206</v>
      </c>
      <c r="U23" s="139"/>
      <c r="V23" s="154"/>
      <c r="W23" s="170"/>
      <c r="X23" s="72" t="str">
        <f t="shared" si="1"/>
        <v>Southampton</v>
      </c>
      <c r="Y23" s="235">
        <v>15</v>
      </c>
      <c r="Z23" s="236">
        <f>IF(D23&gt;0,Population!C22,"")</f>
        <v>47400</v>
      </c>
      <c r="AA23" s="236">
        <f>IF(E23&gt;0,Population!D22,"")</f>
        <v>48600</v>
      </c>
      <c r="AB23" s="236">
        <f>IF(F23&gt;0,Population!E22,"")</f>
        <v>49200</v>
      </c>
      <c r="AC23" s="236">
        <f>IF(G23&gt;0,Population!F22,"")</f>
        <v>49901</v>
      </c>
      <c r="AD23" s="236">
        <f>IF(H23&gt;0,Population!G22,"")</f>
        <v>50305</v>
      </c>
      <c r="AE23" s="217"/>
      <c r="AF23" s="112" t="s">
        <v>7</v>
      </c>
      <c r="AG23" s="262">
        <f t="shared" si="5"/>
        <v>160.00460997675805</v>
      </c>
      <c r="AH23" s="237">
        <f t="shared" si="6"/>
        <v>7</v>
      </c>
      <c r="AI23" s="232"/>
      <c r="AJ23" s="178"/>
    </row>
    <row r="24" spans="1:36" s="101" customFormat="1" ht="13.5" customHeight="1" x14ac:dyDescent="0.2">
      <c r="A24" s="533">
        <f>VLOOKUP(B24,Sheet1!$B$4:$C$25,2,FALSE)</f>
        <v>0</v>
      </c>
      <c r="B24" s="112" t="s">
        <v>7</v>
      </c>
      <c r="C24" s="97"/>
      <c r="D24" s="113">
        <f>IF(Year1_Surrey Year1_CIN_Section47="","",Year1_Surrey Year1_CIN_Section47)</f>
        <v>2616</v>
      </c>
      <c r="E24" s="113">
        <f>IF(Year2_Surrey Year2_CIN_Section47="","",Year2_Surrey Year2_CIN_Section47)</f>
        <v>3248</v>
      </c>
      <c r="F24" s="113">
        <f>IF(Year3_Surrey Year3_CIN_Section47="","",Year3_Surrey Year3_CIN_Section47)</f>
        <v>4489</v>
      </c>
      <c r="G24" s="113">
        <f>IF(Year4_Surrey Year4_CIN_Section47="","",Year4_Surrey Year4_CIN_Section47)</f>
        <v>4268</v>
      </c>
      <c r="H24" s="114">
        <f>IF(Year5_Surrey Year5_CIN_Section47="","",Year5_Surrey Year5_CIN_Section47)</f>
        <v>4165</v>
      </c>
      <c r="I24" s="392">
        <f t="shared" si="7"/>
        <v>0.28232758620689657</v>
      </c>
      <c r="J24" s="115"/>
      <c r="K24" s="116">
        <f>IF(ISNUMBER(D24),D24/Population!C23*10000,NA())</f>
        <v>103.80952380952381</v>
      </c>
      <c r="L24" s="116">
        <f>IF(ISNUMBER(E24),E24/Population!D23*10000,NA())</f>
        <v>127.57266300078554</v>
      </c>
      <c r="M24" s="116">
        <f>IF(ISNUMBER(F24),F24/Population!E23*10000,NA())</f>
        <v>175.07800312012478</v>
      </c>
      <c r="N24" s="116">
        <f>IF(ISNUMBER(G24),G24/Population!F23*10000,NA())</f>
        <v>164.7882810358341</v>
      </c>
      <c r="O24" s="117">
        <f>IF(ISNUMBER(H24),H24/Population!G23*10000,NA())</f>
        <v>160.00460997675805</v>
      </c>
      <c r="P24" s="397">
        <f t="shared" si="2"/>
        <v>7</v>
      </c>
      <c r="Q24" s="70"/>
      <c r="R24" s="387">
        <f>IDACI!C24</f>
        <v>9.7000000000000011</v>
      </c>
      <c r="S24" s="388">
        <f t="shared" si="3"/>
        <v>111.57194530000001</v>
      </c>
      <c r="T24" s="389">
        <f t="shared" si="4"/>
        <v>48.432664676758037</v>
      </c>
      <c r="U24" s="139"/>
      <c r="V24" s="154"/>
      <c r="W24" s="170"/>
      <c r="X24" s="72" t="str">
        <f t="shared" si="1"/>
        <v>Surrey</v>
      </c>
      <c r="Y24" s="235">
        <v>16</v>
      </c>
      <c r="Z24" s="236">
        <f>IF(D24&gt;0,Population!C23,"")</f>
        <v>252000</v>
      </c>
      <c r="AA24" s="236">
        <f>IF(E24&gt;0,Population!D23,"")</f>
        <v>254600</v>
      </c>
      <c r="AB24" s="236">
        <f>IF(F24&gt;0,Population!E23,"")</f>
        <v>256400</v>
      </c>
      <c r="AC24" s="236">
        <f>IF(G24&gt;0,Population!F23,"")</f>
        <v>258999</v>
      </c>
      <c r="AD24" s="236">
        <f>IF(H24&gt;0,Population!G23,"")</f>
        <v>260305</v>
      </c>
      <c r="AE24" s="217"/>
      <c r="AF24" s="112" t="s">
        <v>16</v>
      </c>
      <c r="AG24" s="262">
        <f t="shared" si="5"/>
        <v>173.51215423302597</v>
      </c>
      <c r="AH24" s="237">
        <f t="shared" si="6"/>
        <v>11</v>
      </c>
      <c r="AI24" s="232"/>
      <c r="AJ24" s="178"/>
    </row>
    <row r="25" spans="1:36" s="101" customFormat="1" ht="13.5" customHeight="1" x14ac:dyDescent="0.2">
      <c r="A25" s="533">
        <f>VLOOKUP(B25,Sheet1!$B$4:$C$25,2,FALSE)</f>
        <v>0</v>
      </c>
      <c r="B25" s="112" t="s">
        <v>116</v>
      </c>
      <c r="C25" s="97"/>
      <c r="D25" s="113">
        <f>IF(Year1_Swindon Year1_CIN_Section47="","",Year1_Swindon Year1_CIN_Section47)</f>
        <v>519</v>
      </c>
      <c r="E25" s="113">
        <f>IF(Year2_Swindon Year2_CIN_Section47="","",Year2_Swindon Year2_CIN_Section47)</f>
        <v>581</v>
      </c>
      <c r="F25" s="113">
        <f>IF(Year3_Swindon Year3_CIN_Section47="","",Year3_Swindon Year3_CIN_Section47)</f>
        <v>766</v>
      </c>
      <c r="G25" s="113">
        <f>IF(Year4_Swindon Year4_CIN_Section47="","",Year4_Swindon Year4_CIN_Section47)</f>
        <v>918</v>
      </c>
      <c r="H25" s="114">
        <f>IF(Year5_Swindon Year5_CIN_Section47="","",Year5_Swindon Year5_CIN_Section47)</f>
        <v>1014</v>
      </c>
      <c r="I25" s="392">
        <f t="shared" si="7"/>
        <v>0.74526678141135971</v>
      </c>
      <c r="J25" s="115"/>
      <c r="K25" s="116">
        <f>IF(ISNUMBER(D25),D25/Population!C24*10000,NA())</f>
        <v>108.35073068893529</v>
      </c>
      <c r="L25" s="116">
        <f>IF(ISNUMBER(E25),E25/Population!D24*10000,NA())</f>
        <v>119.54732510288066</v>
      </c>
      <c r="M25" s="116">
        <f>IF(ISNUMBER(F25),F25/Population!E24*10000,NA())</f>
        <v>156.32653061224491</v>
      </c>
      <c r="N25" s="116">
        <f>IF(ISNUMBER(G25),G25/Population!F24*10000,NA())</f>
        <v>185.59702397800331</v>
      </c>
      <c r="O25" s="117">
        <f>IF(ISNUMBER(H25),H25/Population!G24*10000,NA())</f>
        <v>203.10872526239885</v>
      </c>
      <c r="P25" s="422" t="str">
        <f t="shared" si="2"/>
        <v>--</v>
      </c>
      <c r="Q25" s="70"/>
      <c r="R25" s="387">
        <f>IDACI!C25</f>
        <v>17.2</v>
      </c>
      <c r="S25" s="388">
        <f t="shared" si="3"/>
        <v>157.69056280000001</v>
      </c>
      <c r="T25" s="389">
        <f t="shared" si="4"/>
        <v>45.41816246239884</v>
      </c>
      <c r="U25" s="139"/>
      <c r="V25" s="154"/>
      <c r="W25" s="170"/>
      <c r="X25" s="72" t="str">
        <f t="shared" si="1"/>
        <v>Swindon</v>
      </c>
      <c r="Y25" s="235">
        <v>17</v>
      </c>
      <c r="Z25" s="236">
        <f>IF(D25&gt;0,Population!C24,"")</f>
        <v>47900</v>
      </c>
      <c r="AA25" s="236">
        <f>IF(E25&gt;0,Population!D24,"")</f>
        <v>48600</v>
      </c>
      <c r="AB25" s="236">
        <f>IF(F25&gt;0,Population!E24,"")</f>
        <v>49000</v>
      </c>
      <c r="AC25" s="236">
        <f>IF(G25&gt;0,Population!F24,"")</f>
        <v>49462</v>
      </c>
      <c r="AD25" s="236">
        <f>IF(H25&gt;0,Population!G24,"")</f>
        <v>49924</v>
      </c>
      <c r="AE25" s="217"/>
      <c r="AF25" s="112" t="s">
        <v>5</v>
      </c>
      <c r="AG25" s="262">
        <f t="shared" si="5"/>
        <v>173.30232397089119</v>
      </c>
      <c r="AH25" s="237">
        <f t="shared" si="6"/>
        <v>10</v>
      </c>
      <c r="AI25" s="232"/>
      <c r="AJ25" s="178"/>
    </row>
    <row r="26" spans="1:36" s="101" customFormat="1" ht="13.5" customHeight="1" x14ac:dyDescent="0.2">
      <c r="A26" s="533">
        <f>VLOOKUP(B26,Sheet1!$B$4:$C$25,2,FALSE)</f>
        <v>0</v>
      </c>
      <c r="B26" s="112" t="s">
        <v>117</v>
      </c>
      <c r="C26" s="97"/>
      <c r="D26" s="113">
        <f>IF(Year1_Torbay Year1_CIN_Section47="","",Year1_Torbay Year1_CIN_Section47)</f>
        <v>684</v>
      </c>
      <c r="E26" s="113">
        <f>IF(Year2_Torbay Year2_CIN_Section47="","",Year2_Torbay Year2_CIN_Section47)</f>
        <v>689</v>
      </c>
      <c r="F26" s="113">
        <f>IF(Year3_Torbay Year3_CIN_Section47="","",Year3_Torbay Year3_CIN_Section47)</f>
        <v>789</v>
      </c>
      <c r="G26" s="113">
        <f>IF(Year4_Torbay Year4_CIN_Section47="","",Year4_Torbay Year4_CIN_Section47)</f>
        <v>760</v>
      </c>
      <c r="H26" s="114">
        <f>IF(Year5_Torbay Year5_CIN_Section47="","",Year5_Torbay Year5_CIN_Section47)</f>
        <v>692</v>
      </c>
      <c r="I26" s="392">
        <f t="shared" si="7"/>
        <v>4.3541364296081275E-3</v>
      </c>
      <c r="J26" s="115"/>
      <c r="K26" s="116">
        <f>IF(ISNUMBER(D26),D26/Population!C25*10000,NA())</f>
        <v>275.80645161290323</v>
      </c>
      <c r="L26" s="116">
        <f>IF(ISNUMBER(E26),E26/Population!D25*10000,NA())</f>
        <v>274.50199203187248</v>
      </c>
      <c r="M26" s="116">
        <f>IF(ISNUMBER(F26),F26/Population!E25*10000,NA())</f>
        <v>313.09523809523807</v>
      </c>
      <c r="N26" s="116">
        <f>IF(ISNUMBER(G26),G26/Population!F25*10000,NA())</f>
        <v>299.53099751704565</v>
      </c>
      <c r="O26" s="117">
        <f>IF(ISNUMBER(H26),H26/Population!G25*10000,NA())</f>
        <v>272.2587244757446</v>
      </c>
      <c r="P26" s="422" t="str">
        <f t="shared" si="2"/>
        <v>--</v>
      </c>
      <c r="Q26" s="70"/>
      <c r="R26" s="387">
        <f>IDACI!C26</f>
        <v>24.1</v>
      </c>
      <c r="S26" s="388">
        <f t="shared" si="3"/>
        <v>200.11969089999999</v>
      </c>
      <c r="T26" s="389">
        <f t="shared" si="4"/>
        <v>72.139033575744605</v>
      </c>
      <c r="U26" s="139"/>
      <c r="V26" s="154"/>
      <c r="W26" s="170"/>
      <c r="X26" s="72" t="str">
        <f t="shared" si="1"/>
        <v>Torbay</v>
      </c>
      <c r="Y26" s="235">
        <v>18</v>
      </c>
      <c r="Z26" s="236">
        <f>IF(D26&gt;0,Population!C25,"")</f>
        <v>24800</v>
      </c>
      <c r="AA26" s="236">
        <f>IF(E26&gt;0,Population!D25,"")</f>
        <v>25100</v>
      </c>
      <c r="AB26" s="236">
        <f>IF(F26&gt;0,Population!E25,"")</f>
        <v>25200</v>
      </c>
      <c r="AC26" s="236">
        <f>IF(G26&gt;0,Population!F25,"")</f>
        <v>25373</v>
      </c>
      <c r="AD26" s="236">
        <f>IF(H26&gt;0,Population!G25,"")</f>
        <v>25417</v>
      </c>
      <c r="AE26" s="217"/>
      <c r="AF26" s="112" t="s">
        <v>31</v>
      </c>
      <c r="AG26" s="262">
        <f t="shared" si="5"/>
        <v>101.88635305076851</v>
      </c>
      <c r="AH26" s="237">
        <f t="shared" si="6"/>
        <v>2</v>
      </c>
      <c r="AI26" s="232"/>
      <c r="AJ26" s="178"/>
    </row>
    <row r="27" spans="1:36" s="101" customFormat="1" ht="13.5" customHeight="1" x14ac:dyDescent="0.2">
      <c r="A27" s="533">
        <f>VLOOKUP(B27,Sheet1!$B$4:$C$25,2,FALSE)</f>
        <v>0</v>
      </c>
      <c r="B27" s="112" t="s">
        <v>16</v>
      </c>
      <c r="C27" s="97"/>
      <c r="D27" s="113">
        <f>IF(Year1_West_Berkshire Year1_CIN_Section47="","",Year1_West_Berkshire Year1_CIN_Section47)</f>
        <v>392</v>
      </c>
      <c r="E27" s="118">
        <f>IF(Year2_West_Berkshire Year2_CIN_Section47="","",Year2_West_Berkshire Year2_CIN_Section47)</f>
        <v>496</v>
      </c>
      <c r="F27" s="113">
        <f>IF(Year3_West_Berkshire Year3_CIN_Section47="","",Year3_West_Berkshire Year3_CIN_Section47)</f>
        <v>644</v>
      </c>
      <c r="G27" s="113">
        <f>IF(Year4_West_Berkshire Year4_CIN_Section47="","",Year4_West_Berkshire Year4_CIN_Section47)</f>
        <v>553</v>
      </c>
      <c r="H27" s="114">
        <f>IF(Year5_West_Berkshire Year5_CIN_Section47="","",Year5_West_Berkshire Year5_CIN_Section47)</f>
        <v>621</v>
      </c>
      <c r="I27" s="392">
        <f t="shared" si="7"/>
        <v>0.25201612903225806</v>
      </c>
      <c r="J27" s="115"/>
      <c r="K27" s="116">
        <f>IF(ISNUMBER(D27),D27/Population!C26*10000,NA())</f>
        <v>109.80392156862746</v>
      </c>
      <c r="L27" s="116">
        <f>IF(ISNUMBER(E27),E27/Population!D26*10000,NA())</f>
        <v>139.32584269662922</v>
      </c>
      <c r="M27" s="116">
        <f>IF(ISNUMBER(F27),F27/Population!E26*10000,NA())</f>
        <v>180.39215686274511</v>
      </c>
      <c r="N27" s="116">
        <f>IF(ISNUMBER(G27),G27/Population!F26*10000,NA())</f>
        <v>153.90609779855833</v>
      </c>
      <c r="O27" s="117">
        <f>IF(ISNUMBER(H27),H27/Population!G26*10000,NA())</f>
        <v>173.51215423302597</v>
      </c>
      <c r="P27" s="397">
        <f t="shared" si="2"/>
        <v>11</v>
      </c>
      <c r="Q27" s="70"/>
      <c r="R27" s="387">
        <f>IDACI!C27</f>
        <v>10.4</v>
      </c>
      <c r="S27" s="388">
        <f t="shared" si="3"/>
        <v>115.8763496</v>
      </c>
      <c r="T27" s="389">
        <f t="shared" si="4"/>
        <v>57.63580463302597</v>
      </c>
      <c r="U27" s="139"/>
      <c r="V27" s="154"/>
      <c r="W27" s="170"/>
      <c r="X27" s="72" t="str">
        <f t="shared" si="1"/>
        <v>West Berkshire</v>
      </c>
      <c r="Y27" s="235">
        <v>19</v>
      </c>
      <c r="Z27" s="236">
        <f>IF(D27&gt;0,Population!C26,"")</f>
        <v>35700</v>
      </c>
      <c r="AA27" s="236">
        <f>IF(E27&gt;0,Population!D26,"")</f>
        <v>35600</v>
      </c>
      <c r="AB27" s="236">
        <f>IF(F27&gt;0,Population!E26,"")</f>
        <v>35700</v>
      </c>
      <c r="AC27" s="236">
        <f>IF(G27&gt;0,Population!F26,"")</f>
        <v>35931</v>
      </c>
      <c r="AD27" s="236">
        <f>IF(H27&gt;0,Population!G26,"")</f>
        <v>35790</v>
      </c>
      <c r="AE27" s="232"/>
      <c r="AF27" s="112" t="s">
        <v>17</v>
      </c>
      <c r="AG27" s="262">
        <f t="shared" si="5"/>
        <v>121.69913699550412</v>
      </c>
      <c r="AH27" s="237">
        <f t="shared" si="6"/>
        <v>3</v>
      </c>
      <c r="AI27" s="232"/>
      <c r="AJ27" s="178"/>
    </row>
    <row r="28" spans="1:36" s="101" customFormat="1" ht="13.5" customHeight="1" x14ac:dyDescent="0.2">
      <c r="A28" s="533">
        <f>VLOOKUP(B28,Sheet1!$B$4:$C$25,2,FALSE)</f>
        <v>0</v>
      </c>
      <c r="B28" s="112" t="s">
        <v>5</v>
      </c>
      <c r="C28" s="97"/>
      <c r="D28" s="113">
        <f>IF(Year1_West_Sussex Year1_CIN_Section47="","",Year1_West_Sussex Year1_CIN_Section47)</f>
        <v>1672</v>
      </c>
      <c r="E28" s="118">
        <f>IF(Year2_West_Sussex Year2_CIN_Section47="","",Year2_West_Sussex Year2_CIN_Section47)</f>
        <v>1978</v>
      </c>
      <c r="F28" s="113">
        <f>IF(Year3_West_Sussex Year3_CIN_Section47="","",Year3_West_Sussex Year3_CIN_Section47)</f>
        <v>1805</v>
      </c>
      <c r="G28" s="113">
        <f>IF(Year4_West_Sussex Year4_CIN_Section47="","",Year4_West_Sussex Year4_CIN_Section47)</f>
        <v>2169</v>
      </c>
      <c r="H28" s="114">
        <f>IF(Year5_West_Sussex Year5_CIN_Section47="","",Year5_West_Sussex Year5_CIN_Section47)</f>
        <v>3003</v>
      </c>
      <c r="I28" s="392">
        <f t="shared" si="7"/>
        <v>0.51820020222446916</v>
      </c>
      <c r="J28" s="115"/>
      <c r="K28" s="116">
        <f>IF(ISNUMBER(D28),D28/Population!C27*10000,NA())</f>
        <v>100.11976047904191</v>
      </c>
      <c r="L28" s="116">
        <f>IF(ISNUMBER(E28),E28/Population!D27*10000,NA())</f>
        <v>117.18009478672987</v>
      </c>
      <c r="M28" s="116">
        <f>IF(ISNUMBER(F28),F28/Population!E27*10000,NA())</f>
        <v>105.92723004694835</v>
      </c>
      <c r="N28" s="116">
        <f>IF(ISNUMBER(G28),G28/Population!F27*10000,NA())</f>
        <v>126.28012179714835</v>
      </c>
      <c r="O28" s="117">
        <f>IF(ISNUMBER(H28),H28/Population!G27*10000,NA())</f>
        <v>173.30232397089119</v>
      </c>
      <c r="P28" s="397">
        <f t="shared" si="2"/>
        <v>10</v>
      </c>
      <c r="Q28" s="70"/>
      <c r="R28" s="387">
        <f>IDACI!C28</f>
        <v>12.9</v>
      </c>
      <c r="S28" s="388">
        <f t="shared" si="3"/>
        <v>131.2492221</v>
      </c>
      <c r="T28" s="389">
        <f t="shared" si="4"/>
        <v>42.053101870891197</v>
      </c>
      <c r="U28" s="139"/>
      <c r="V28" s="154"/>
      <c r="W28" s="170"/>
      <c r="X28" s="72" t="str">
        <f t="shared" si="1"/>
        <v>West Sussex</v>
      </c>
      <c r="Y28" s="235">
        <v>20</v>
      </c>
      <c r="Z28" s="236">
        <f>IF(D28&gt;0,Population!C27,"")</f>
        <v>167000</v>
      </c>
      <c r="AA28" s="236">
        <f>IF(E28&gt;0,Population!D27,"")</f>
        <v>168800</v>
      </c>
      <c r="AB28" s="236">
        <f>IF(F28&gt;0,Population!E27,"")</f>
        <v>170400</v>
      </c>
      <c r="AC28" s="236">
        <f>IF(G28&gt;0,Population!F27,"")</f>
        <v>171761</v>
      </c>
      <c r="AD28" s="236">
        <f>IF(H28&gt;0,Population!G27,"")</f>
        <v>173281</v>
      </c>
      <c r="AE28" s="232"/>
      <c r="AF28" s="232"/>
      <c r="AG28" s="232"/>
      <c r="AH28" s="217"/>
      <c r="AI28" s="232"/>
      <c r="AJ28" s="178"/>
    </row>
    <row r="29" spans="1:36" s="101" customFormat="1" ht="13.5" customHeight="1" x14ac:dyDescent="0.2">
      <c r="A29" s="533">
        <f>VLOOKUP(B29,Sheet1!$B$4:$C$25,2,FALSE)</f>
        <v>0</v>
      </c>
      <c r="B29" s="112" t="s">
        <v>31</v>
      </c>
      <c r="C29" s="97"/>
      <c r="D29" s="118">
        <f>IF(Year1_Windsor_Maidenhead Year1_CIN_Section47="","",Year1_Windsor_Maidenhead Year1_CIN_Section47)</f>
        <v>386</v>
      </c>
      <c r="E29" s="113">
        <f>IF(Year2_Windsor_Maidenhead Year2_CIN_Section47="","",Year2_Windsor_Maidenhead Year2_CIN_Section47)</f>
        <v>325</v>
      </c>
      <c r="F29" s="113">
        <f>IF(Year3_Windsor_Maidenhead Year3_CIN_Section47="","",Year3_Windsor_Maidenhead Year3_CIN_Section47)</f>
        <v>437</v>
      </c>
      <c r="G29" s="113">
        <f>IF(Year4_Windsor_Maidenhead Year4_CIN_Section47="","",Year4_Windsor_Maidenhead Year4_CIN_Section47)</f>
        <v>457</v>
      </c>
      <c r="H29" s="114">
        <f>IF(Year5_Windsor_Maidenhead Year5_CIN_Section47="","",Year5_Windsor_Maidenhead Year5_CIN_Section47)</f>
        <v>350</v>
      </c>
      <c r="I29" s="392">
        <f t="shared" si="7"/>
        <v>7.6923076923076927E-2</v>
      </c>
      <c r="J29" s="115"/>
      <c r="K29" s="116">
        <f>IF(ISNUMBER(D29),D29/Population!C28*10000,NA())</f>
        <v>115.91591591591592</v>
      </c>
      <c r="L29" s="116">
        <f>IF(ISNUMBER(E29),E29/Population!D28*10000,NA())</f>
        <v>97.305389221556894</v>
      </c>
      <c r="M29" s="116">
        <f>IF(ISNUMBER(F29),F29/Population!E28*10000,NA())</f>
        <v>129.67359050445106</v>
      </c>
      <c r="N29" s="116">
        <f>IF(ISNUMBER(G29),G29/Population!F28*10000,NA())</f>
        <v>133.71956928838952</v>
      </c>
      <c r="O29" s="117">
        <f>IF(ISNUMBER(H29),H29/Population!G28*10000,NA())</f>
        <v>101.88635305076851</v>
      </c>
      <c r="P29" s="397">
        <f t="shared" si="2"/>
        <v>2</v>
      </c>
      <c r="Q29" s="70"/>
      <c r="R29" s="387">
        <f>IDACI!C29</f>
        <v>8.4</v>
      </c>
      <c r="S29" s="388">
        <f t="shared" si="3"/>
        <v>103.57805160000001</v>
      </c>
      <c r="T29" s="389">
        <f t="shared" si="4"/>
        <v>-1.6916985492315035</v>
      </c>
      <c r="U29" s="139"/>
      <c r="V29" s="154"/>
      <c r="W29" s="170"/>
      <c r="X29" s="72" t="str">
        <f t="shared" si="1"/>
        <v>Windsor &amp; Maidenhead</v>
      </c>
      <c r="Y29" s="235">
        <v>21</v>
      </c>
      <c r="Z29" s="236">
        <f>IF(D29&gt;0,Population!C28,"")</f>
        <v>33300</v>
      </c>
      <c r="AA29" s="236">
        <f>IF(E29&gt;0,Population!D28,"")</f>
        <v>33400</v>
      </c>
      <c r="AB29" s="236">
        <f>IF(F29&gt;0,Population!E28,"")</f>
        <v>33700</v>
      </c>
      <c r="AC29" s="236">
        <f>IF(G29&gt;0,Population!F28,"")</f>
        <v>34176</v>
      </c>
      <c r="AD29" s="236">
        <f>IF(H29&gt;0,Population!G28,"")</f>
        <v>34352</v>
      </c>
      <c r="AE29" s="232"/>
      <c r="AF29" s="232"/>
      <c r="AG29" s="232"/>
      <c r="AH29" s="217"/>
      <c r="AI29" s="232"/>
      <c r="AJ29" s="178"/>
    </row>
    <row r="30" spans="1:36" s="101" customFormat="1" ht="13.5" customHeight="1" x14ac:dyDescent="0.2">
      <c r="A30" s="533">
        <f>VLOOKUP(B30,Sheet1!$B$4:$C$25,2,FALSE)</f>
        <v>0</v>
      </c>
      <c r="B30" s="112" t="s">
        <v>17</v>
      </c>
      <c r="C30" s="97"/>
      <c r="D30" s="118">
        <f>IF(Year1_Wokingham Year1_CIN_Section47="","",Year1_Wokingham Year1_CIN_Section47)</f>
        <v>262</v>
      </c>
      <c r="E30" s="113">
        <f>IF(Year2_Wokingham Year2_CIN_Section47="","",Year2_Wokingham Year2_CIN_Section47)</f>
        <v>253</v>
      </c>
      <c r="F30" s="113">
        <f>IF(Year3_Wokingham Year3_CIN_Section47="","",Year3_Wokingham Year3_CIN_Section47)</f>
        <v>346</v>
      </c>
      <c r="G30" s="113">
        <f>IF(Year4_Wokingham Year4_CIN_Section47="","",Year4_Wokingham Year4_CIN_Section47)</f>
        <v>263</v>
      </c>
      <c r="H30" s="114">
        <f>IF(Year5_Wokingham Year5_CIN_Section47="","",Year5_Wokingham Year5_CIN_Section47)</f>
        <v>471</v>
      </c>
      <c r="I30" s="392">
        <f t="shared" si="7"/>
        <v>0.86166007905138342</v>
      </c>
      <c r="J30" s="115"/>
      <c r="K30" s="116">
        <f>IF(ISNUMBER(D30),D30/Population!C29*10000,NA())</f>
        <v>72.375690607734811</v>
      </c>
      <c r="L30" s="116">
        <f>IF(ISNUMBER(E30),E30/Population!D29*10000,NA())</f>
        <v>68.563685636856377</v>
      </c>
      <c r="M30" s="116">
        <f>IF(ISNUMBER(F30),F30/Population!E29*10000,NA())</f>
        <v>92.761394101876675</v>
      </c>
      <c r="N30" s="116">
        <f>IF(ISNUMBER(G30),G30/Population!F29*10000,NA())</f>
        <v>69.175938346616164</v>
      </c>
      <c r="O30" s="117">
        <f>IF(ISNUMBER(H30),H30/Population!G29*10000,NA())</f>
        <v>121.69913699550412</v>
      </c>
      <c r="P30" s="397">
        <f t="shared" si="2"/>
        <v>3</v>
      </c>
      <c r="Q30" s="70"/>
      <c r="R30" s="387">
        <f>IDACI!C30</f>
        <v>6.8000000000000007</v>
      </c>
      <c r="S30" s="388">
        <f t="shared" si="3"/>
        <v>93.739413200000001</v>
      </c>
      <c r="T30" s="389">
        <f t="shared" si="4"/>
        <v>27.959723795504118</v>
      </c>
      <c r="U30" s="139"/>
      <c r="V30" s="154"/>
      <c r="W30" s="170"/>
      <c r="X30" s="72" t="str">
        <f t="shared" si="1"/>
        <v>Wokingham</v>
      </c>
      <c r="Y30" s="235">
        <v>22</v>
      </c>
      <c r="Z30" s="236">
        <f>IF(D30&gt;0,Population!C29,"")</f>
        <v>36200</v>
      </c>
      <c r="AA30" s="236">
        <f>IF(E30&gt;0,Population!D29,"")</f>
        <v>36900</v>
      </c>
      <c r="AB30" s="236">
        <f>IF(F30&gt;0,Population!E29,"")</f>
        <v>37300</v>
      </c>
      <c r="AC30" s="236">
        <f>IF(G30&gt;0,Population!F29,"")</f>
        <v>38019</v>
      </c>
      <c r="AD30" s="236">
        <f>IF(H30&gt;0,Population!G29,"")</f>
        <v>38702</v>
      </c>
      <c r="AE30" s="232"/>
      <c r="AF30" s="232"/>
      <c r="AG30" s="232"/>
      <c r="AH30" s="217"/>
      <c r="AI30" s="232"/>
      <c r="AJ30" s="178"/>
    </row>
    <row r="31" spans="1:36" s="101" customFormat="1" ht="13.5" customHeight="1" x14ac:dyDescent="0.2">
      <c r="A31" s="138"/>
      <c r="B31" s="146" t="s">
        <v>74</v>
      </c>
      <c r="C31" s="97"/>
      <c r="D31" s="147">
        <f>IF(Year1_SouthEast Year1_CIN_Section47="","",Year1_SouthEast Year1_CIN_Section47)</f>
        <v>23030</v>
      </c>
      <c r="E31" s="147">
        <f>IF(Year2_SouthEast Year2_CIN_Section47="","",Year2_SouthEast Year2_CIN_Section47)</f>
        <v>28600</v>
      </c>
      <c r="F31" s="147">
        <f>IF(Year3_SouthEast Year3_CIN_Section47="","",Year3_SouthEast Year3_CIN_Section47)</f>
        <v>30640</v>
      </c>
      <c r="G31" s="147">
        <f>IF(Year4_SouthEast Year4_CIN_Section47="","",Year4_SouthEast Year4_CIN_Section47)</f>
        <v>30820</v>
      </c>
      <c r="H31" s="148">
        <f>IF(Year5_SouthEast Year5_CIN_Section47="","",Year5_SouthEast Year5_CIN_Section47)</f>
        <v>32400</v>
      </c>
      <c r="I31" s="407">
        <f t="shared" si="7"/>
        <v>0.13286713286713286</v>
      </c>
      <c r="J31" s="115"/>
      <c r="K31" s="149">
        <f>IF(ISNUMBER(D31),D31/Z31*10000,NA())</f>
        <v>122.05851176595294</v>
      </c>
      <c r="L31" s="149">
        <f>IF(ISNUMBER(E31),E31/AA31*10000,NA())</f>
        <v>150.19430732065959</v>
      </c>
      <c r="M31" s="149">
        <f t="shared" ref="M31:O31" si="8">IF(ISNUMBER(F31),F31/AB31*10000,NA())</f>
        <v>159.74141077107555</v>
      </c>
      <c r="N31" s="149">
        <f t="shared" si="8"/>
        <v>159.42536518599022</v>
      </c>
      <c r="O31" s="150">
        <f t="shared" si="8"/>
        <v>166.67824154455172</v>
      </c>
      <c r="P31" s="383" t="str">
        <f t="shared" si="2"/>
        <v>--</v>
      </c>
      <c r="Q31" s="70"/>
      <c r="R31" s="385">
        <f>IDACI!C31</f>
        <v>14.45223640702325</v>
      </c>
      <c r="S31" s="149">
        <f t="shared" si="3"/>
        <v>140.7941550500106</v>
      </c>
      <c r="T31" s="390">
        <f t="shared" si="4"/>
        <v>25.884086494541123</v>
      </c>
      <c r="U31" s="139"/>
      <c r="V31" s="154"/>
      <c r="W31" s="170"/>
      <c r="X31" s="72" t="str">
        <f t="shared" si="1"/>
        <v>South East</v>
      </c>
      <c r="Y31" s="235">
        <v>23</v>
      </c>
      <c r="Z31" s="236">
        <f>IF(D31&gt;0,Population!C30,"")</f>
        <v>1886800</v>
      </c>
      <c r="AA31" s="236">
        <f>IF(E31&gt;0,Population!D30,"")</f>
        <v>1904200</v>
      </c>
      <c r="AB31" s="236">
        <f>IF(F31&gt;0,Population!E30,"")</f>
        <v>1918100</v>
      </c>
      <c r="AC31" s="236">
        <f>IF(G31&gt;0,Population!F30,"")</f>
        <v>1933193</v>
      </c>
      <c r="AD31" s="236">
        <f>SUM(AD9:AD21,AD23:AD24,AD27:AD30)</f>
        <v>1943865</v>
      </c>
      <c r="AE31" s="232"/>
      <c r="AF31" s="232"/>
      <c r="AG31" s="232"/>
      <c r="AH31" s="217"/>
      <c r="AI31" s="232"/>
      <c r="AJ31" s="178"/>
    </row>
    <row r="32" spans="1:36" s="101" customFormat="1" ht="13.5" customHeight="1" x14ac:dyDescent="0.2">
      <c r="A32" s="324"/>
      <c r="B32" s="370" t="s">
        <v>130</v>
      </c>
      <c r="C32" s="97"/>
      <c r="D32" s="371">
        <f>IF(Year1_England Year1_CIN_Section47="","",Year1_England Year1_CIN_Section47)</f>
        <v>142490</v>
      </c>
      <c r="E32" s="371">
        <f>IF(Year2_England Year2_CIN_Section47="","",Year2_England Year2_CIN_Section47)</f>
        <v>160150</v>
      </c>
      <c r="F32" s="371">
        <f>IF(Year3_England Year3_CIN_Section47="","",Year3_England Year3_CIN_Section47)</f>
        <v>172290</v>
      </c>
      <c r="G32" s="371">
        <f>IF(Year4_England Year4_CIN_Section47="","",Year4_England Year4_CIN_Section47)</f>
        <v>185450</v>
      </c>
      <c r="H32" s="372">
        <f>IF(Year5_England Year5_CIN_Section47="","",Year5_England Year5_CIN_Section47)</f>
        <v>198090</v>
      </c>
      <c r="I32" s="408">
        <f t="shared" si="7"/>
        <v>0.23690290352794255</v>
      </c>
      <c r="J32" s="115"/>
      <c r="K32" s="373">
        <f>IF(ISNUMBER(D32),D32/Population!C31*10000,NA())</f>
        <v>124.13210325031143</v>
      </c>
      <c r="L32" s="373">
        <f>IF(ISNUMBER(E32),E32/Population!D31*10000,NA())</f>
        <v>138.15920011732533</v>
      </c>
      <c r="M32" s="373">
        <f>IF(ISNUMBER(F32),F32/Population!E31*10000,NA())</f>
        <v>147.5350876441826</v>
      </c>
      <c r="N32" s="373">
        <f>IF(ISNUMBER(G32),G32/Population!F31*10000,NA())</f>
        <v>157.35735358617364</v>
      </c>
      <c r="O32" s="710">
        <f>IF(ISNUMBER(H32),H32/Population!G31*10000,NA())</f>
        <v>166.92569122817247</v>
      </c>
      <c r="P32" s="384" t="str">
        <f t="shared" si="2"/>
        <v>--</v>
      </c>
      <c r="Q32" s="70"/>
      <c r="R32" s="386">
        <f>IDACI!C32</f>
        <v>19.902611588091716</v>
      </c>
      <c r="S32" s="373">
        <f t="shared" si="3"/>
        <v>174.30932414430259</v>
      </c>
      <c r="T32" s="391">
        <f t="shared" si="4"/>
        <v>-7.3836329161301251</v>
      </c>
      <c r="U32" s="139"/>
      <c r="V32" s="154"/>
      <c r="W32" s="170"/>
      <c r="X32" s="72" t="str">
        <f t="shared" si="1"/>
        <v>England</v>
      </c>
      <c r="Y32" s="235">
        <v>24</v>
      </c>
      <c r="Z32" s="236">
        <f>IF(D32&gt;0,Population!C31,"")</f>
        <v>11478900</v>
      </c>
      <c r="AA32" s="236">
        <f>IF(E32&gt;0,Population!D31,"")</f>
        <v>11591700</v>
      </c>
      <c r="AB32" s="236">
        <f>IF(F32&gt;0,Population!E31,"")</f>
        <v>11677900</v>
      </c>
      <c r="AC32" s="236">
        <f>IF(G32&gt;0,Population!F31,"")</f>
        <v>11785277</v>
      </c>
      <c r="AD32" s="236">
        <f>IF(H32&gt;0,Population!G31,"")</f>
        <v>11866957</v>
      </c>
      <c r="AE32" s="232"/>
      <c r="AF32" s="232"/>
      <c r="AG32" s="232"/>
      <c r="AH32" s="217"/>
      <c r="AI32" s="232"/>
      <c r="AJ32" s="178"/>
    </row>
    <row r="33" spans="1:49" s="88" customFormat="1" ht="13.5" customHeight="1" x14ac:dyDescent="0.2">
      <c r="A33" s="135"/>
      <c r="B33" s="140" t="s">
        <v>90</v>
      </c>
      <c r="C33" s="64"/>
      <c r="D33" s="64"/>
      <c r="E33" s="64"/>
      <c r="F33" s="64"/>
      <c r="G33" s="64"/>
      <c r="H33" s="64"/>
      <c r="I33" s="64"/>
      <c r="J33" s="64"/>
      <c r="K33" s="64"/>
      <c r="L33" s="64"/>
      <c r="M33" s="64"/>
      <c r="N33" s="64"/>
      <c r="O33" s="64"/>
      <c r="P33" s="151" t="s">
        <v>111</v>
      </c>
      <c r="R33" s="64"/>
      <c r="S33" s="64"/>
      <c r="T33" s="64"/>
      <c r="U33" s="134"/>
      <c r="V33" s="152"/>
      <c r="W33" s="168"/>
      <c r="X33" s="87"/>
      <c r="Y33" s="210"/>
      <c r="Z33" s="210"/>
      <c r="AA33" s="210"/>
      <c r="AB33" s="210"/>
      <c r="AC33" s="210"/>
      <c r="AD33" s="210"/>
      <c r="AE33" s="210"/>
      <c r="AF33" s="210"/>
      <c r="AG33" s="210"/>
      <c r="AI33" s="210"/>
      <c r="AJ33" s="179"/>
    </row>
    <row r="34" spans="1:49" s="88" customFormat="1" ht="29.25" customHeight="1" x14ac:dyDescent="0.2">
      <c r="A34" s="135"/>
      <c r="B34" s="1024"/>
      <c r="C34" s="1025"/>
      <c r="D34" s="1025"/>
      <c r="E34" s="1025"/>
      <c r="F34" s="1025"/>
      <c r="G34" s="1025"/>
      <c r="H34" s="1025"/>
      <c r="I34" s="1025"/>
      <c r="J34" s="1025"/>
      <c r="K34" s="1025"/>
      <c r="L34" s="1025"/>
      <c r="M34" s="1025"/>
      <c r="N34" s="1025"/>
      <c r="O34" s="1025"/>
      <c r="P34" s="1025"/>
      <c r="Q34" s="1025"/>
      <c r="R34" s="1025"/>
      <c r="S34" s="1025"/>
      <c r="T34" s="1026"/>
      <c r="U34" s="134"/>
      <c r="V34" s="152"/>
      <c r="W34" s="168"/>
      <c r="X34" s="87"/>
      <c r="Y34" s="210"/>
      <c r="Z34" s="210"/>
      <c r="AA34" s="210"/>
      <c r="AB34" s="210"/>
      <c r="AC34" s="210"/>
      <c r="AD34" s="210"/>
      <c r="AE34" s="210"/>
      <c r="AF34" s="210"/>
      <c r="AG34" s="210"/>
      <c r="AI34" s="210"/>
      <c r="AJ34" s="175"/>
      <c r="AK34" s="80"/>
      <c r="AL34" s="80"/>
      <c r="AM34" s="80"/>
      <c r="AN34" s="80"/>
      <c r="AO34" s="80"/>
      <c r="AP34" s="80"/>
      <c r="AQ34" s="80"/>
    </row>
    <row r="35" spans="1:49" s="88" customFormat="1" ht="7.5" customHeight="1" x14ac:dyDescent="0.2">
      <c r="A35" s="135"/>
      <c r="B35" s="18"/>
      <c r="C35" s="18"/>
      <c r="D35" s="17"/>
      <c r="E35" s="17"/>
      <c r="F35" s="17"/>
      <c r="G35" s="17"/>
      <c r="H35" s="17"/>
      <c r="I35" s="17"/>
      <c r="J35" s="13"/>
      <c r="K35" s="19"/>
      <c r="L35" s="19"/>
      <c r="M35" s="19"/>
      <c r="N35" s="19"/>
      <c r="O35" s="19"/>
      <c r="P35" s="19"/>
      <c r="Q35" s="19"/>
      <c r="R35" s="19"/>
      <c r="S35" s="19"/>
      <c r="T35" s="20"/>
      <c r="U35" s="134"/>
      <c r="V35" s="152"/>
      <c r="W35" s="168"/>
      <c r="Y35" s="217"/>
      <c r="AI35" s="210"/>
      <c r="AJ35" s="175"/>
      <c r="AK35" s="80"/>
      <c r="AL35" s="80"/>
      <c r="AM35" s="80"/>
      <c r="AN35" s="80"/>
      <c r="AO35" s="80"/>
      <c r="AP35" s="80"/>
      <c r="AQ35" s="80"/>
    </row>
    <row r="36" spans="1:49" s="88" customFormat="1" ht="15" customHeight="1" x14ac:dyDescent="0.2">
      <c r="A36" s="1010"/>
      <c r="B36" s="1018"/>
      <c r="C36" s="1018"/>
      <c r="D36" s="1018"/>
      <c r="E36" s="1018"/>
      <c r="F36" s="1018"/>
      <c r="G36" s="1018"/>
      <c r="H36" s="1018"/>
      <c r="I36" s="1018"/>
      <c r="J36" s="1018"/>
      <c r="K36" s="1018"/>
      <c r="L36" s="1018"/>
      <c r="M36" s="1018"/>
      <c r="N36" s="1018"/>
      <c r="O36" s="1018"/>
      <c r="P36" s="1018"/>
      <c r="Q36" s="1018"/>
      <c r="R36" s="1018"/>
      <c r="S36" s="1018"/>
      <c r="T36" s="1018"/>
      <c r="U36" s="1019"/>
      <c r="V36" s="152"/>
      <c r="W36" s="168"/>
      <c r="Y36" s="217"/>
      <c r="AJ36" s="179"/>
      <c r="AL36" s="88">
        <v>10</v>
      </c>
      <c r="AM36" s="88">
        <v>11</v>
      </c>
      <c r="AN36" s="88">
        <v>12</v>
      </c>
      <c r="AO36" s="88">
        <v>13</v>
      </c>
      <c r="AP36" s="88">
        <v>14</v>
      </c>
    </row>
    <row r="37" spans="1:49" s="88" customFormat="1" ht="11.25" customHeight="1" x14ac:dyDescent="0.2">
      <c r="A37" s="1020" t="str">
        <f>Home!$A$35</f>
        <v>LA's provide quarterly data on the condition that it is used by the benchmarking group for internal reporting only. Please DO NOT share other LA's data with any external partners or the public</v>
      </c>
      <c r="B37" s="1021"/>
      <c r="C37" s="1021"/>
      <c r="D37" s="1021"/>
      <c r="E37" s="1021"/>
      <c r="F37" s="1021"/>
      <c r="G37" s="1021"/>
      <c r="H37" s="1021"/>
      <c r="I37" s="1022"/>
      <c r="J37" s="1021"/>
      <c r="K37" s="1021"/>
      <c r="L37" s="1021"/>
      <c r="M37" s="1021"/>
      <c r="N37" s="1021"/>
      <c r="O37" s="1021"/>
      <c r="P37" s="1021"/>
      <c r="Q37" s="1021"/>
      <c r="R37" s="1021"/>
      <c r="S37" s="1022"/>
      <c r="T37" s="1021"/>
      <c r="U37" s="1023"/>
      <c r="V37" s="152"/>
      <c r="W37" s="168"/>
      <c r="Y37" s="217"/>
      <c r="AI37" s="210"/>
      <c r="AJ37" s="178"/>
      <c r="AK37" s="101"/>
      <c r="AL37" s="419" t="s">
        <v>89</v>
      </c>
      <c r="AM37" s="420"/>
      <c r="AN37" s="420"/>
      <c r="AO37" s="420"/>
      <c r="AP37" s="420"/>
      <c r="AQ37" s="419" t="s">
        <v>95</v>
      </c>
    </row>
    <row r="38" spans="1:49" s="88" customFormat="1" ht="11.25" customHeight="1" x14ac:dyDescent="0.2">
      <c r="A38" s="129"/>
      <c r="B38" s="130"/>
      <c r="C38" s="130"/>
      <c r="D38" s="130"/>
      <c r="E38" s="130"/>
      <c r="F38" s="130"/>
      <c r="G38" s="130"/>
      <c r="H38" s="130"/>
      <c r="I38" s="130"/>
      <c r="J38" s="131"/>
      <c r="K38" s="130"/>
      <c r="L38" s="130"/>
      <c r="M38" s="130"/>
      <c r="N38" s="130"/>
      <c r="O38" s="130"/>
      <c r="P38" s="130"/>
      <c r="Q38" s="130"/>
      <c r="R38" s="130"/>
      <c r="S38" s="130"/>
      <c r="T38" s="130"/>
      <c r="U38" s="132"/>
      <c r="V38" s="152"/>
      <c r="W38" s="167" t="s">
        <v>102</v>
      </c>
      <c r="X38" s="224"/>
      <c r="Y38" s="224"/>
      <c r="Z38" s="224"/>
      <c r="AA38" s="224"/>
      <c r="AB38" s="224"/>
      <c r="AI38" s="210"/>
      <c r="AJ38" s="178"/>
      <c r="AK38" s="101"/>
      <c r="AL38" s="419"/>
      <c r="AM38" s="419"/>
      <c r="AN38" s="419"/>
      <c r="AO38" s="419"/>
      <c r="AP38" s="419"/>
      <c r="AQ38" s="420"/>
    </row>
    <row r="39" spans="1:49" s="88" customFormat="1" ht="7.5" customHeight="1" x14ac:dyDescent="0.25">
      <c r="A39" s="133"/>
      <c r="B39" s="9"/>
      <c r="C39" s="9"/>
      <c r="D39" s="9"/>
      <c r="E39" s="9"/>
      <c r="F39" s="9"/>
      <c r="G39" s="9"/>
      <c r="H39" s="9"/>
      <c r="I39" s="9"/>
      <c r="J39" s="13"/>
      <c r="K39" s="9"/>
      <c r="L39" s="9"/>
      <c r="M39" s="9"/>
      <c r="N39" s="9"/>
      <c r="O39" s="9"/>
      <c r="P39" s="9"/>
      <c r="Q39" s="9"/>
      <c r="R39" s="9"/>
      <c r="S39" s="9"/>
      <c r="T39" s="9"/>
      <c r="U39" s="134"/>
      <c r="V39" s="152"/>
      <c r="W39" s="326"/>
      <c r="X39" s="646" t="s">
        <v>30</v>
      </c>
      <c r="Y39" s="259" t="s">
        <v>8</v>
      </c>
      <c r="Z39" s="259" t="s">
        <v>103</v>
      </c>
      <c r="AA39" s="1033" t="s">
        <v>76</v>
      </c>
      <c r="AB39" s="1033" t="s">
        <v>77</v>
      </c>
      <c r="AJ39" s="178"/>
      <c r="AK39" s="101"/>
      <c r="AL39" s="419">
        <f>D8</f>
        <v>2014</v>
      </c>
      <c r="AM39" s="419">
        <f>E8</f>
        <v>2015</v>
      </c>
      <c r="AN39" s="419">
        <f>F8</f>
        <v>2016</v>
      </c>
      <c r="AO39" s="419">
        <f>G8</f>
        <v>2017</v>
      </c>
      <c r="AP39" s="419">
        <f>H8</f>
        <v>2018</v>
      </c>
      <c r="AQ39" s="420"/>
    </row>
    <row r="40" spans="1:49" s="88" customFormat="1" ht="14.25" customHeight="1" x14ac:dyDescent="0.2">
      <c r="A40" s="135"/>
      <c r="B40" s="9"/>
      <c r="C40" s="9"/>
      <c r="D40" s="9"/>
      <c r="E40" s="9"/>
      <c r="F40" s="9"/>
      <c r="G40" s="9"/>
      <c r="H40" s="9"/>
      <c r="I40" s="9"/>
      <c r="J40" s="13"/>
      <c r="K40" s="9"/>
      <c r="L40" s="9"/>
      <c r="M40" s="9"/>
      <c r="N40" s="9"/>
      <c r="O40" s="9"/>
      <c r="P40" s="9"/>
      <c r="Q40" s="9"/>
      <c r="R40" s="9"/>
      <c r="S40" s="9"/>
      <c r="T40" s="9"/>
      <c r="U40" s="134"/>
      <c r="V40" s="152"/>
      <c r="W40" s="326"/>
      <c r="X40" s="647" t="e">
        <f ca="1">OFFSET(B8,$X$4,0)</f>
        <v>#N/A</v>
      </c>
      <c r="Y40" s="238" t="e">
        <f ca="1">OFFSET(R7,(VLOOKUP(X40,$Y$41:$Z$62,2,FALSE)),0)</f>
        <v>#N/A</v>
      </c>
      <c r="Z40" s="238" t="e">
        <f ca="1">(OFFSET(O7,(VLOOKUP(X40,$Y$41:$Z$62,2,FALSE)),0))</f>
        <v>#N/A</v>
      </c>
      <c r="AA40" s="1034"/>
      <c r="AB40" s="1034"/>
      <c r="AI40" s="642" t="b">
        <v>1</v>
      </c>
      <c r="AJ40" s="178" t="s">
        <v>0</v>
      </c>
      <c r="AK40" s="101" t="str">
        <f t="shared" ref="AK40:AK63" si="9">IF(AI40=TRUE,B9,"")</f>
        <v>Bracknell Forest</v>
      </c>
      <c r="AL40" s="164">
        <f t="shared" ref="AL40:AP62" si="10">VLOOKUP($AK40,$B$9:$O$32,AL$36,FALSE)</f>
        <v>125.46125461254613</v>
      </c>
      <c r="AM40" s="164">
        <f t="shared" si="10"/>
        <v>151.43884892086331</v>
      </c>
      <c r="AN40" s="164">
        <f t="shared" si="10"/>
        <v>139.71631205673759</v>
      </c>
      <c r="AO40" s="164">
        <f t="shared" si="10"/>
        <v>198.76481862710301</v>
      </c>
      <c r="AP40" s="164">
        <f t="shared" si="10"/>
        <v>225.14338641302413</v>
      </c>
      <c r="AQ40" s="165">
        <f>VLOOKUP(AK40,$B$9:$T$32,17,FALSE)</f>
        <v>11</v>
      </c>
    </row>
    <row r="41" spans="1:49" s="88" customFormat="1" ht="14.25" customHeight="1" x14ac:dyDescent="0.2">
      <c r="A41" s="135"/>
      <c r="B41" s="9"/>
      <c r="C41" s="9"/>
      <c r="D41" s="9"/>
      <c r="E41" s="9"/>
      <c r="F41" s="9"/>
      <c r="G41" s="9"/>
      <c r="H41" s="9"/>
      <c r="I41" s="9"/>
      <c r="J41" s="13"/>
      <c r="K41" s="9"/>
      <c r="L41" s="9"/>
      <c r="M41" s="9"/>
      <c r="N41" s="9"/>
      <c r="O41" s="9"/>
      <c r="P41" s="9"/>
      <c r="Q41" s="9"/>
      <c r="R41" s="9"/>
      <c r="S41" s="9"/>
      <c r="T41" s="9"/>
      <c r="U41" s="134"/>
      <c r="V41" s="152"/>
      <c r="W41" s="326"/>
      <c r="X41" s="647">
        <v>1</v>
      </c>
      <c r="Y41" s="50" t="str">
        <f t="shared" ref="Y41:Y64" si="11">B9</f>
        <v>Bracknell Forest</v>
      </c>
      <c r="Z41" s="45">
        <v>2</v>
      </c>
      <c r="AA41" s="46">
        <f>IF(H9&gt;0,IDACI!D9,0)</f>
        <v>23799</v>
      </c>
      <c r="AB41" s="46">
        <f>IF(H9&gt;0,IDACI!E9,0)</f>
        <v>2617.89</v>
      </c>
      <c r="AI41" s="642" t="b">
        <v>1</v>
      </c>
      <c r="AJ41" s="178" t="s">
        <v>32</v>
      </c>
      <c r="AK41" s="101" t="str">
        <f t="shared" si="9"/>
        <v>Brighton &amp; Hove</v>
      </c>
      <c r="AL41" s="164">
        <f t="shared" si="10"/>
        <v>167.92079207920793</v>
      </c>
      <c r="AM41" s="164">
        <f t="shared" si="10"/>
        <v>203.52941176470588</v>
      </c>
      <c r="AN41" s="164">
        <f t="shared" si="10"/>
        <v>223.2421875</v>
      </c>
      <c r="AO41" s="164">
        <f t="shared" si="10"/>
        <v>168.28844991322322</v>
      </c>
      <c r="AP41" s="164">
        <f t="shared" si="10"/>
        <v>172.41717502599008</v>
      </c>
      <c r="AQ41" s="165">
        <f t="shared" ref="AQ41:AQ63" si="12">VLOOKUP(AK41,$B$9:$T$31,17,FALSE)</f>
        <v>18.3</v>
      </c>
    </row>
    <row r="42" spans="1:49" ht="14.25" customHeight="1" x14ac:dyDescent="0.2">
      <c r="A42" s="135"/>
      <c r="B42" s="9"/>
      <c r="C42" s="9"/>
      <c r="D42" s="9"/>
      <c r="E42" s="9"/>
      <c r="F42" s="9"/>
      <c r="G42" s="9"/>
      <c r="H42" s="9"/>
      <c r="I42" s="9"/>
      <c r="J42" s="13"/>
      <c r="K42" s="9"/>
      <c r="L42" s="9"/>
      <c r="M42" s="9"/>
      <c r="N42" s="9"/>
      <c r="O42" s="9"/>
      <c r="P42" s="9"/>
      <c r="Q42" s="9"/>
      <c r="R42" s="9"/>
      <c r="S42" s="9"/>
      <c r="T42" s="9"/>
      <c r="U42" s="134"/>
      <c r="V42" s="152"/>
      <c r="W42" s="326"/>
      <c r="X42" s="647">
        <v>2</v>
      </c>
      <c r="Y42" s="50" t="str">
        <f t="shared" si="11"/>
        <v>Brighton &amp; Hove</v>
      </c>
      <c r="Z42" s="45">
        <v>3</v>
      </c>
      <c r="AA42" s="46">
        <f>IF(H10&gt;0,IDACI!D10,0)</f>
        <v>44814</v>
      </c>
      <c r="AB42" s="46">
        <f>IF(H10&gt;0,IDACI!E10,0)</f>
        <v>8200.9619999999995</v>
      </c>
      <c r="AI42" s="642" t="b">
        <v>1</v>
      </c>
      <c r="AJ42" s="178" t="s">
        <v>9</v>
      </c>
      <c r="AK42" s="101" t="str">
        <f t="shared" si="9"/>
        <v>Buckinghamshire</v>
      </c>
      <c r="AL42" s="164">
        <f t="shared" si="10"/>
        <v>75.425170068027214</v>
      </c>
      <c r="AM42" s="164">
        <f t="shared" si="10"/>
        <v>147.85534062237173</v>
      </c>
      <c r="AN42" s="164">
        <f t="shared" si="10"/>
        <v>159.53565505804312</v>
      </c>
      <c r="AO42" s="164">
        <f t="shared" si="10"/>
        <v>210.79333906141321</v>
      </c>
      <c r="AP42" s="164">
        <f t="shared" si="10"/>
        <v>200.85313833028638</v>
      </c>
      <c r="AQ42" s="165">
        <f t="shared" si="12"/>
        <v>9.8000000000000007</v>
      </c>
      <c r="AR42" s="88"/>
      <c r="AS42" s="88"/>
      <c r="AT42" s="88"/>
      <c r="AU42" s="88"/>
      <c r="AV42" s="88"/>
      <c r="AW42" s="88"/>
    </row>
    <row r="43" spans="1:49" ht="14.25" customHeight="1" x14ac:dyDescent="0.2">
      <c r="A43" s="135"/>
      <c r="B43" s="9"/>
      <c r="C43" s="9"/>
      <c r="D43" s="9"/>
      <c r="E43" s="9"/>
      <c r="F43" s="9"/>
      <c r="G43" s="9"/>
      <c r="H43" s="9"/>
      <c r="I43" s="9"/>
      <c r="J43" s="13"/>
      <c r="K43" s="14"/>
      <c r="L43" s="14"/>
      <c r="M43" s="14"/>
      <c r="N43" s="14"/>
      <c r="O43" s="15"/>
      <c r="P43" s="15"/>
      <c r="Q43" s="15"/>
      <c r="R43" s="15"/>
      <c r="S43" s="15"/>
      <c r="T43" s="15"/>
      <c r="U43" s="134"/>
      <c r="V43" s="152"/>
      <c r="W43" s="326"/>
      <c r="X43" s="647">
        <v>3</v>
      </c>
      <c r="Y43" s="50" t="str">
        <f t="shared" si="11"/>
        <v>Buckinghamshire</v>
      </c>
      <c r="Z43" s="45">
        <v>4</v>
      </c>
      <c r="AA43" s="46">
        <f>IF(H11&gt;0,IDACI!D11,0)</f>
        <v>103548</v>
      </c>
      <c r="AB43" s="46">
        <f>IF(H11&gt;0,IDACI!E11,0)</f>
        <v>10147.704</v>
      </c>
      <c r="AI43" s="642" t="b">
        <v>1</v>
      </c>
      <c r="AJ43" s="178" t="s">
        <v>4</v>
      </c>
      <c r="AK43" s="101" t="str">
        <f t="shared" si="9"/>
        <v>East Sussex</v>
      </c>
      <c r="AL43" s="164">
        <f t="shared" si="10"/>
        <v>130.15267175572518</v>
      </c>
      <c r="AM43" s="164">
        <f t="shared" si="10"/>
        <v>94.402277039848187</v>
      </c>
      <c r="AN43" s="164">
        <f t="shared" si="10"/>
        <v>81.964117091595838</v>
      </c>
      <c r="AO43" s="164">
        <f t="shared" si="10"/>
        <v>106.39804386205074</v>
      </c>
      <c r="AP43" s="164">
        <f t="shared" si="10"/>
        <v>125.79565278891036</v>
      </c>
      <c r="AQ43" s="165">
        <f t="shared" si="12"/>
        <v>17.399999999999999</v>
      </c>
      <c r="AR43" s="88"/>
      <c r="AS43" s="88"/>
      <c r="AT43" s="88"/>
      <c r="AU43" s="88"/>
      <c r="AV43" s="88"/>
      <c r="AW43" s="88"/>
    </row>
    <row r="44" spans="1:49" s="82" customFormat="1" ht="14.25" customHeight="1" x14ac:dyDescent="0.2">
      <c r="A44" s="136"/>
      <c r="B44" s="256"/>
      <c r="C44" s="256"/>
      <c r="D44" s="257"/>
      <c r="E44" s="257"/>
      <c r="F44" s="257"/>
      <c r="G44" s="257"/>
      <c r="H44" s="257"/>
      <c r="I44" s="257"/>
      <c r="J44" s="16"/>
      <c r="K44" s="9"/>
      <c r="L44" s="9"/>
      <c r="M44" s="9"/>
      <c r="N44" s="9"/>
      <c r="O44" s="9"/>
      <c r="P44" s="9"/>
      <c r="Q44" s="9"/>
      <c r="R44" s="9"/>
      <c r="S44" s="9"/>
      <c r="T44" s="9"/>
      <c r="U44" s="137"/>
      <c r="V44" s="153"/>
      <c r="W44" s="327"/>
      <c r="X44" s="647">
        <v>4</v>
      </c>
      <c r="Y44" s="50" t="str">
        <f t="shared" si="11"/>
        <v>East Sussex</v>
      </c>
      <c r="Z44" s="45">
        <v>5</v>
      </c>
      <c r="AA44" s="46">
        <f>IF(H12&gt;0,IDACI!D12,0)</f>
        <v>91918</v>
      </c>
      <c r="AB44" s="46">
        <f>IF(H12&gt;0,IDACI!E12,0)</f>
        <v>15993.731999999998</v>
      </c>
      <c r="AC44" s="88"/>
      <c r="AD44" s="88"/>
      <c r="AE44" s="88"/>
      <c r="AF44" s="88"/>
      <c r="AG44" s="88"/>
      <c r="AH44" s="88"/>
      <c r="AI44" s="642" t="b">
        <v>1</v>
      </c>
      <c r="AJ44" s="178" t="s">
        <v>6</v>
      </c>
      <c r="AK44" s="101" t="str">
        <f t="shared" si="9"/>
        <v>Hampshire</v>
      </c>
      <c r="AL44" s="164">
        <f t="shared" si="10"/>
        <v>97.729691379921945</v>
      </c>
      <c r="AM44" s="164">
        <f t="shared" si="10"/>
        <v>164.22735346358792</v>
      </c>
      <c r="AN44" s="164">
        <f t="shared" si="10"/>
        <v>148.35047889322453</v>
      </c>
      <c r="AO44" s="164">
        <f t="shared" si="10"/>
        <v>148.90855791025882</v>
      </c>
      <c r="AP44" s="164">
        <f t="shared" si="10"/>
        <v>135.67984638951833</v>
      </c>
      <c r="AQ44" s="165">
        <f t="shared" si="12"/>
        <v>11.799999999999999</v>
      </c>
      <c r="AR44" s="88"/>
      <c r="AS44" s="88"/>
      <c r="AT44" s="88"/>
      <c r="AU44" s="88"/>
      <c r="AV44" s="88"/>
    </row>
    <row r="45" spans="1:49" ht="14.25" customHeight="1" x14ac:dyDescent="0.2">
      <c r="A45" s="135"/>
      <c r="B45" s="257"/>
      <c r="C45" s="257"/>
      <c r="D45" s="257"/>
      <c r="E45" s="257"/>
      <c r="F45" s="257"/>
      <c r="G45" s="257"/>
      <c r="H45" s="257"/>
      <c r="I45" s="257"/>
      <c r="J45" s="13"/>
      <c r="K45" s="15"/>
      <c r="L45" s="15"/>
      <c r="M45" s="15"/>
      <c r="N45" s="15"/>
      <c r="O45" s="9"/>
      <c r="P45" s="9"/>
      <c r="Q45" s="9"/>
      <c r="R45" s="9"/>
      <c r="S45" s="9"/>
      <c r="T45" s="9"/>
      <c r="U45" s="134"/>
      <c r="V45" s="152"/>
      <c r="W45" s="326"/>
      <c r="X45" s="647">
        <v>5</v>
      </c>
      <c r="Y45" s="50" t="str">
        <f t="shared" si="11"/>
        <v>Hampshire</v>
      </c>
      <c r="Z45" s="45">
        <v>6</v>
      </c>
      <c r="AA45" s="46">
        <f>IF(H13&gt;0,IDACI!D13,0)</f>
        <v>247800</v>
      </c>
      <c r="AB45" s="46">
        <f>IF(H13&gt;0,IDACI!E13,0)</f>
        <v>29240.399999999998</v>
      </c>
      <c r="AI45" s="642" t="b">
        <v>1</v>
      </c>
      <c r="AJ45" s="178" t="s">
        <v>1</v>
      </c>
      <c r="AK45" s="101" t="str">
        <f t="shared" si="9"/>
        <v>Isle of Wight</v>
      </c>
      <c r="AL45" s="164">
        <f t="shared" si="10"/>
        <v>195.73643410852713</v>
      </c>
      <c r="AM45" s="164">
        <f t="shared" si="10"/>
        <v>286.2745098039216</v>
      </c>
      <c r="AN45" s="164">
        <f t="shared" si="10"/>
        <v>267.19367588932806</v>
      </c>
      <c r="AO45" s="164">
        <f t="shared" si="10"/>
        <v>217.85714285714286</v>
      </c>
      <c r="AP45" s="164">
        <f t="shared" si="10"/>
        <v>222.31091598483337</v>
      </c>
      <c r="AQ45" s="165">
        <f t="shared" si="12"/>
        <v>20.399999999999999</v>
      </c>
      <c r="AR45" s="88"/>
      <c r="AS45" s="88"/>
      <c r="AT45" s="88"/>
      <c r="AU45" s="88"/>
      <c r="AV45" s="88"/>
    </row>
    <row r="46" spans="1:49" ht="14.25" customHeight="1" x14ac:dyDescent="0.2">
      <c r="A46" s="135"/>
      <c r="B46" s="257"/>
      <c r="C46" s="257"/>
      <c r="D46" s="257"/>
      <c r="E46" s="257"/>
      <c r="F46" s="257"/>
      <c r="G46" s="257"/>
      <c r="H46" s="257"/>
      <c r="I46" s="257"/>
      <c r="J46" s="13"/>
      <c r="K46" s="15"/>
      <c r="L46" s="15"/>
      <c r="M46" s="15"/>
      <c r="N46" s="15"/>
      <c r="O46" s="9"/>
      <c r="P46" s="9"/>
      <c r="Q46" s="9"/>
      <c r="R46" s="9"/>
      <c r="S46" s="9"/>
      <c r="T46" s="9"/>
      <c r="U46" s="134"/>
      <c r="V46" s="152"/>
      <c r="W46" s="326"/>
      <c r="X46" s="647">
        <v>6</v>
      </c>
      <c r="Y46" s="50" t="str">
        <f t="shared" si="11"/>
        <v>Isle of Wight</v>
      </c>
      <c r="Z46" s="45">
        <v>7</v>
      </c>
      <c r="AA46" s="46">
        <f>IF(H14&gt;0,IDACI!D14,0)</f>
        <v>22502</v>
      </c>
      <c r="AB46" s="46">
        <f>IF(H14&gt;0,IDACI!E14,0)</f>
        <v>4590.4079999999994</v>
      </c>
      <c r="AC46" s="239"/>
      <c r="AI46" s="642" t="b">
        <v>1</v>
      </c>
      <c r="AJ46" s="178" t="s">
        <v>10</v>
      </c>
      <c r="AK46" s="101" t="str">
        <f t="shared" si="9"/>
        <v>Kent</v>
      </c>
      <c r="AL46" s="164">
        <f t="shared" si="10"/>
        <v>123.55651105651107</v>
      </c>
      <c r="AM46" s="164">
        <f t="shared" si="10"/>
        <v>133.01858056655499</v>
      </c>
      <c r="AN46" s="164">
        <f t="shared" si="10"/>
        <v>144.06779661016949</v>
      </c>
      <c r="AO46" s="164">
        <f t="shared" si="10"/>
        <v>146.91708327703464</v>
      </c>
      <c r="AP46" s="164">
        <f t="shared" si="10"/>
        <v>186.22987890148474</v>
      </c>
      <c r="AQ46" s="165">
        <f t="shared" si="12"/>
        <v>17.8</v>
      </c>
      <c r="AR46" s="88"/>
      <c r="AS46" s="88"/>
      <c r="AT46" s="88"/>
      <c r="AU46" s="88"/>
      <c r="AV46" s="88"/>
    </row>
    <row r="47" spans="1:49" ht="14.25" customHeight="1" x14ac:dyDescent="0.2">
      <c r="A47" s="135"/>
      <c r="B47" s="58"/>
      <c r="C47" s="58"/>
      <c r="D47" s="58"/>
      <c r="E47" s="58"/>
      <c r="F47" s="58"/>
      <c r="G47" s="58"/>
      <c r="H47" s="58"/>
      <c r="I47" s="58"/>
      <c r="J47" s="13"/>
      <c r="K47" s="15"/>
      <c r="L47" s="15"/>
      <c r="M47" s="15"/>
      <c r="N47" s="15"/>
      <c r="O47" s="9"/>
      <c r="P47" s="9"/>
      <c r="Q47" s="9"/>
      <c r="R47" s="9"/>
      <c r="S47" s="9"/>
      <c r="T47" s="9"/>
      <c r="U47" s="134"/>
      <c r="V47" s="152"/>
      <c r="W47" s="326"/>
      <c r="X47" s="647">
        <v>7</v>
      </c>
      <c r="Y47" s="50" t="str">
        <f t="shared" si="11"/>
        <v>Kent</v>
      </c>
      <c r="Z47" s="45">
        <v>8</v>
      </c>
      <c r="AA47" s="46">
        <f>IF(H15&gt;0,IDACI!D15,0)</f>
        <v>286168</v>
      </c>
      <c r="AB47" s="46">
        <f>IF(H15&gt;0,IDACI!E15,0)</f>
        <v>50937.904000000002</v>
      </c>
      <c r="AC47" s="210"/>
      <c r="AI47" s="642" t="b">
        <v>1</v>
      </c>
      <c r="AJ47" s="178" t="s">
        <v>2</v>
      </c>
      <c r="AK47" s="101" t="str">
        <f t="shared" si="9"/>
        <v>Medway</v>
      </c>
      <c r="AL47" s="164">
        <f t="shared" si="10"/>
        <v>141.07142857142856</v>
      </c>
      <c r="AM47" s="164">
        <f t="shared" si="10"/>
        <v>242.23999999999998</v>
      </c>
      <c r="AN47" s="164">
        <f t="shared" si="10"/>
        <v>258.06962025316454</v>
      </c>
      <c r="AO47" s="164">
        <f t="shared" si="10"/>
        <v>168.29678006813509</v>
      </c>
      <c r="AP47" s="164">
        <f t="shared" si="10"/>
        <v>184.69574464757676</v>
      </c>
      <c r="AQ47" s="165">
        <f t="shared" si="12"/>
        <v>22</v>
      </c>
      <c r="AR47" s="88"/>
      <c r="AS47" s="88"/>
      <c r="AT47" s="88"/>
      <c r="AU47" s="88"/>
      <c r="AV47" s="88"/>
    </row>
    <row r="48" spans="1:49" ht="14.25" customHeight="1" x14ac:dyDescent="0.2">
      <c r="A48" s="135"/>
      <c r="B48" s="58"/>
      <c r="C48" s="58"/>
      <c r="D48" s="69"/>
      <c r="E48" s="70"/>
      <c r="F48" s="69"/>
      <c r="G48" s="70"/>
      <c r="H48" s="70"/>
      <c r="I48" s="70"/>
      <c r="J48" s="13"/>
      <c r="K48" s="15"/>
      <c r="L48" s="15"/>
      <c r="M48" s="15"/>
      <c r="N48" s="15"/>
      <c r="O48" s="9"/>
      <c r="P48" s="9"/>
      <c r="Q48" s="9"/>
      <c r="R48" s="9"/>
      <c r="S48" s="9"/>
      <c r="T48" s="9"/>
      <c r="U48" s="134"/>
      <c r="V48" s="152"/>
      <c r="W48" s="326"/>
      <c r="X48" s="647">
        <v>8</v>
      </c>
      <c r="Y48" s="50" t="str">
        <f t="shared" si="11"/>
        <v>Medway</v>
      </c>
      <c r="Z48" s="45">
        <v>9</v>
      </c>
      <c r="AA48" s="46">
        <f>IF(H16&gt;0,IDACI!D16,0)</f>
        <v>54280</v>
      </c>
      <c r="AB48" s="46">
        <f>IF(H16&gt;0,IDACI!E16,0)</f>
        <v>11941.6</v>
      </c>
      <c r="AI48" s="642" t="b">
        <v>1</v>
      </c>
      <c r="AJ48" s="178" t="s">
        <v>11</v>
      </c>
      <c r="AK48" s="101" t="str">
        <f t="shared" si="9"/>
        <v>Milton Keynes</v>
      </c>
      <c r="AL48" s="164">
        <f t="shared" si="10"/>
        <v>83.125</v>
      </c>
      <c r="AM48" s="164">
        <f t="shared" si="10"/>
        <v>85.429447852760731</v>
      </c>
      <c r="AN48" s="164">
        <f t="shared" si="10"/>
        <v>86.081694402420567</v>
      </c>
      <c r="AO48" s="164">
        <f t="shared" si="10"/>
        <v>115.56905846960355</v>
      </c>
      <c r="AP48" s="164">
        <f t="shared" si="10"/>
        <v>82.487028249589784</v>
      </c>
      <c r="AQ48" s="165">
        <f t="shared" si="12"/>
        <v>19.7</v>
      </c>
      <c r="AR48" s="88"/>
      <c r="AS48" s="88"/>
      <c r="AT48" s="88"/>
      <c r="AU48" s="88"/>
      <c r="AV48" s="88"/>
    </row>
    <row r="49" spans="1:48" ht="14.25" customHeight="1" x14ac:dyDescent="0.2">
      <c r="A49" s="135"/>
      <c r="B49" s="58"/>
      <c r="C49" s="58"/>
      <c r="D49" s="62"/>
      <c r="E49" s="62"/>
      <c r="F49" s="62"/>
      <c r="G49" s="62"/>
      <c r="H49" s="62"/>
      <c r="I49" s="62"/>
      <c r="J49" s="13"/>
      <c r="K49" s="15"/>
      <c r="L49" s="15"/>
      <c r="M49" s="15"/>
      <c r="N49" s="15"/>
      <c r="O49" s="9"/>
      <c r="P49" s="9"/>
      <c r="Q49" s="9"/>
      <c r="R49" s="9"/>
      <c r="S49" s="9"/>
      <c r="T49" s="9"/>
      <c r="U49" s="134"/>
      <c r="V49" s="152"/>
      <c r="W49" s="326"/>
      <c r="X49" s="647">
        <v>9</v>
      </c>
      <c r="Y49" s="50" t="str">
        <f t="shared" si="11"/>
        <v>Milton Keynes</v>
      </c>
      <c r="Z49" s="45">
        <v>10</v>
      </c>
      <c r="AA49" s="46">
        <f>IF(H17&gt;0,IDACI!D17,0)</f>
        <v>56637</v>
      </c>
      <c r="AB49" s="46">
        <f>IF(H17&gt;0,IDACI!E17,0)</f>
        <v>11157.489</v>
      </c>
      <c r="AI49" s="642" t="b">
        <v>1</v>
      </c>
      <c r="AJ49" s="178" t="s">
        <v>12</v>
      </c>
      <c r="AK49" s="101" t="str">
        <f t="shared" si="9"/>
        <v>Oxfordshire</v>
      </c>
      <c r="AL49" s="164">
        <f t="shared" si="10"/>
        <v>112.7583749109052</v>
      </c>
      <c r="AM49" s="164">
        <f t="shared" si="10"/>
        <v>111.68555240793202</v>
      </c>
      <c r="AN49" s="164">
        <f t="shared" si="10"/>
        <v>131.45275035260931</v>
      </c>
      <c r="AO49" s="164">
        <f t="shared" si="10"/>
        <v>134.78239571159648</v>
      </c>
      <c r="AP49" s="164">
        <f t="shared" si="10"/>
        <v>125.83307771673962</v>
      </c>
      <c r="AQ49" s="165">
        <f t="shared" si="12"/>
        <v>11.799999999999999</v>
      </c>
      <c r="AR49" s="88"/>
      <c r="AS49" s="88"/>
      <c r="AT49" s="88"/>
      <c r="AU49" s="88"/>
      <c r="AV49" s="88"/>
    </row>
    <row r="50" spans="1:48" ht="14.25" customHeight="1" x14ac:dyDescent="0.2">
      <c r="A50" s="135"/>
      <c r="B50" s="415"/>
      <c r="C50" s="415"/>
      <c r="D50" s="58"/>
      <c r="E50" s="58"/>
      <c r="F50" s="58"/>
      <c r="G50" s="58"/>
      <c r="H50" s="58"/>
      <c r="I50" s="58"/>
      <c r="J50" s="13"/>
      <c r="K50" s="15"/>
      <c r="L50" s="15"/>
      <c r="M50" s="15"/>
      <c r="N50" s="15"/>
      <c r="O50" s="9"/>
      <c r="P50" s="9"/>
      <c r="Q50" s="9"/>
      <c r="R50" s="9"/>
      <c r="S50" s="9"/>
      <c r="T50" s="9"/>
      <c r="U50" s="134"/>
      <c r="V50" s="152"/>
      <c r="W50" s="326"/>
      <c r="X50" s="647">
        <v>10</v>
      </c>
      <c r="Y50" s="50" t="str">
        <f t="shared" si="11"/>
        <v>Oxfordshire</v>
      </c>
      <c r="Z50" s="45">
        <v>11</v>
      </c>
      <c r="AA50" s="46">
        <f>IF(H18&gt;0,IDACI!D18,0)</f>
        <v>123975</v>
      </c>
      <c r="AB50" s="46">
        <f>IF(H18&gt;0,IDACI!E18,0)</f>
        <v>14629.05</v>
      </c>
      <c r="AI50" s="642" t="b">
        <v>1</v>
      </c>
      <c r="AJ50" s="178" t="s">
        <v>13</v>
      </c>
      <c r="AK50" s="101" t="str">
        <f t="shared" si="9"/>
        <v>Portsmouth</v>
      </c>
      <c r="AL50" s="164">
        <f t="shared" si="10"/>
        <v>229.34272300469485</v>
      </c>
      <c r="AM50" s="164">
        <f t="shared" si="10"/>
        <v>248.61751152073734</v>
      </c>
      <c r="AN50" s="164">
        <f t="shared" si="10"/>
        <v>262.10045662100458</v>
      </c>
      <c r="AO50" s="164">
        <f t="shared" si="10"/>
        <v>281.81818181818181</v>
      </c>
      <c r="AP50" s="164">
        <f t="shared" si="10"/>
        <v>231.94243301955106</v>
      </c>
      <c r="AQ50" s="165">
        <f t="shared" si="12"/>
        <v>23.799999999999997</v>
      </c>
      <c r="AR50" s="88"/>
      <c r="AS50" s="88"/>
      <c r="AT50" s="88"/>
      <c r="AU50" s="88"/>
      <c r="AV50" s="88"/>
    </row>
    <row r="51" spans="1:48" ht="14.25" customHeight="1" x14ac:dyDescent="0.2">
      <c r="A51" s="135"/>
      <c r="B51" s="415"/>
      <c r="C51" s="415"/>
      <c r="D51" s="58"/>
      <c r="E51" s="58"/>
      <c r="F51" s="58"/>
      <c r="G51" s="58"/>
      <c r="H51" s="58"/>
      <c r="I51" s="58"/>
      <c r="J51" s="13"/>
      <c r="K51" s="15"/>
      <c r="L51" s="15"/>
      <c r="M51" s="15"/>
      <c r="N51" s="15"/>
      <c r="O51" s="9"/>
      <c r="P51" s="9"/>
      <c r="Q51" s="9"/>
      <c r="R51" s="9"/>
      <c r="S51" s="9"/>
      <c r="T51" s="9"/>
      <c r="U51" s="134"/>
      <c r="V51" s="152"/>
      <c r="W51" s="326"/>
      <c r="X51" s="647">
        <v>11</v>
      </c>
      <c r="Y51" s="50" t="str">
        <f t="shared" si="11"/>
        <v>Portsmouth</v>
      </c>
      <c r="Z51" s="45">
        <v>12</v>
      </c>
      <c r="AA51" s="46">
        <f>IF(H19&gt;0,IDACI!D19,0)</f>
        <v>37912</v>
      </c>
      <c r="AB51" s="46">
        <f>IF(H19&gt;0,IDACI!E19,0)</f>
        <v>9023.0559999999987</v>
      </c>
      <c r="AI51" s="642" t="b">
        <v>1</v>
      </c>
      <c r="AJ51" s="178" t="s">
        <v>3</v>
      </c>
      <c r="AK51" s="101" t="str">
        <f t="shared" si="9"/>
        <v>Reading</v>
      </c>
      <c r="AL51" s="164">
        <f t="shared" si="10"/>
        <v>160.51873198847264</v>
      </c>
      <c r="AM51" s="164">
        <f t="shared" si="10"/>
        <v>161.28133704735376</v>
      </c>
      <c r="AN51" s="164">
        <f t="shared" si="10"/>
        <v>267.30769230769232</v>
      </c>
      <c r="AO51" s="164">
        <f t="shared" si="10"/>
        <v>297.48096394749052</v>
      </c>
      <c r="AP51" s="164">
        <f t="shared" si="10"/>
        <v>226.45782223060954</v>
      </c>
      <c r="AQ51" s="165">
        <f t="shared" si="12"/>
        <v>19.8</v>
      </c>
      <c r="AR51" s="88"/>
      <c r="AS51" s="88"/>
      <c r="AT51" s="88"/>
      <c r="AU51" s="88"/>
      <c r="AV51" s="88"/>
    </row>
    <row r="52" spans="1:48" ht="14.25" customHeight="1" x14ac:dyDescent="0.2">
      <c r="A52" s="135"/>
      <c r="B52" s="415"/>
      <c r="C52" s="415"/>
      <c r="D52" s="58"/>
      <c r="E52" s="58"/>
      <c r="F52" s="58"/>
      <c r="G52" s="58"/>
      <c r="H52" s="58"/>
      <c r="I52" s="58"/>
      <c r="J52" s="13"/>
      <c r="K52" s="15"/>
      <c r="L52" s="15"/>
      <c r="M52" s="15"/>
      <c r="N52" s="15"/>
      <c r="O52" s="9"/>
      <c r="P52" s="9"/>
      <c r="Q52" s="9"/>
      <c r="R52" s="9"/>
      <c r="S52" s="9"/>
      <c r="T52" s="9"/>
      <c r="U52" s="134"/>
      <c r="V52" s="152"/>
      <c r="W52" s="326"/>
      <c r="X52" s="647">
        <v>12</v>
      </c>
      <c r="Y52" s="50" t="str">
        <f t="shared" si="11"/>
        <v>Reading</v>
      </c>
      <c r="Z52" s="45">
        <v>13</v>
      </c>
      <c r="AA52" s="46">
        <f>IF(H20&gt;0,IDACI!D20,0)</f>
        <v>30916</v>
      </c>
      <c r="AB52" s="46">
        <f>IF(H20&gt;0,IDACI!E20,0)</f>
        <v>6121.3680000000004</v>
      </c>
      <c r="AI52" s="642" t="b">
        <v>1</v>
      </c>
      <c r="AJ52" s="178" t="s">
        <v>14</v>
      </c>
      <c r="AK52" s="101" t="str">
        <f t="shared" si="9"/>
        <v>Slough</v>
      </c>
      <c r="AL52" s="164">
        <f t="shared" si="10"/>
        <v>233.41902313624681</v>
      </c>
      <c r="AM52" s="164">
        <f t="shared" si="10"/>
        <v>235.33834586466165</v>
      </c>
      <c r="AN52" s="164">
        <f t="shared" si="10"/>
        <v>221.67487684729065</v>
      </c>
      <c r="AO52" s="164">
        <f t="shared" si="10"/>
        <v>211.56354151572236</v>
      </c>
      <c r="AP52" s="164">
        <f t="shared" si="10"/>
        <v>167.85206258890469</v>
      </c>
      <c r="AQ52" s="165">
        <f t="shared" si="12"/>
        <v>19.5</v>
      </c>
      <c r="AR52" s="88"/>
      <c r="AS52" s="88"/>
      <c r="AT52" s="88"/>
      <c r="AU52" s="88"/>
      <c r="AV52" s="88"/>
    </row>
    <row r="53" spans="1:48" ht="14.25" customHeight="1" x14ac:dyDescent="0.2">
      <c r="A53" s="135"/>
      <c r="B53" s="415"/>
      <c r="C53" s="415"/>
      <c r="D53" s="58"/>
      <c r="E53" s="58"/>
      <c r="F53" s="58"/>
      <c r="G53" s="58"/>
      <c r="H53" s="58"/>
      <c r="I53" s="58"/>
      <c r="J53" s="13"/>
      <c r="K53" s="15"/>
      <c r="L53" s="15"/>
      <c r="M53" s="15"/>
      <c r="N53" s="15"/>
      <c r="O53" s="9"/>
      <c r="P53" s="9"/>
      <c r="Q53" s="9"/>
      <c r="R53" s="9"/>
      <c r="S53" s="9"/>
      <c r="T53" s="9"/>
      <c r="U53" s="134"/>
      <c r="V53" s="152"/>
      <c r="W53" s="326"/>
      <c r="X53" s="647">
        <v>13</v>
      </c>
      <c r="Y53" s="50" t="str">
        <f t="shared" si="11"/>
        <v>Slough</v>
      </c>
      <c r="Z53" s="45">
        <v>14</v>
      </c>
      <c r="AA53" s="46">
        <f>IF(H21&gt;0,IDACI!D21,0)</f>
        <v>34703</v>
      </c>
      <c r="AB53" s="46">
        <f>IF(H21&gt;0,IDACI!E21,0)</f>
        <v>6767.085</v>
      </c>
      <c r="AI53" s="642" t="b">
        <v>1</v>
      </c>
      <c r="AJ53" s="178" t="s">
        <v>93</v>
      </c>
      <c r="AK53" s="101" t="str">
        <f t="shared" si="9"/>
        <v>Somerset</v>
      </c>
      <c r="AL53" s="164">
        <f t="shared" si="10"/>
        <v>148.89705882352939</v>
      </c>
      <c r="AM53" s="164">
        <f t="shared" si="10"/>
        <v>187.41965105601469</v>
      </c>
      <c r="AN53" s="164">
        <f t="shared" si="10"/>
        <v>118.77289377289378</v>
      </c>
      <c r="AO53" s="164">
        <f t="shared" si="10"/>
        <v>143.81206854099599</v>
      </c>
      <c r="AP53" s="164">
        <f t="shared" si="10"/>
        <v>138.89393554013299</v>
      </c>
      <c r="AQ53" s="165">
        <f t="shared" si="12"/>
        <v>14.8</v>
      </c>
      <c r="AR53" s="88"/>
      <c r="AS53" s="88"/>
      <c r="AT53" s="88"/>
      <c r="AU53" s="88"/>
      <c r="AV53" s="88"/>
    </row>
    <row r="54" spans="1:48" ht="14.25" customHeight="1" x14ac:dyDescent="0.2">
      <c r="A54" s="135"/>
      <c r="B54" s="415"/>
      <c r="C54" s="415"/>
      <c r="D54" s="58"/>
      <c r="E54" s="58"/>
      <c r="F54" s="58"/>
      <c r="G54" s="58"/>
      <c r="H54" s="58"/>
      <c r="I54" s="58"/>
      <c r="J54" s="13"/>
      <c r="K54" s="15"/>
      <c r="L54" s="15"/>
      <c r="M54" s="15"/>
      <c r="N54" s="15"/>
      <c r="O54" s="9"/>
      <c r="P54" s="9"/>
      <c r="Q54" s="9"/>
      <c r="R54" s="9"/>
      <c r="S54" s="9"/>
      <c r="T54" s="9"/>
      <c r="U54" s="134"/>
      <c r="V54" s="152"/>
      <c r="W54" s="326"/>
      <c r="X54" s="647">
        <v>14</v>
      </c>
      <c r="Y54" s="50" t="str">
        <f t="shared" si="11"/>
        <v>Somerset</v>
      </c>
      <c r="Z54" s="45">
        <v>15</v>
      </c>
      <c r="AA54" s="46">
        <f>IF(H22&gt;0,IDACI!D22,0)</f>
        <v>94797</v>
      </c>
      <c r="AB54" s="46">
        <f>IF(H22&gt;0,IDACI!E22,0)</f>
        <v>14029.956000000002</v>
      </c>
      <c r="AI54" s="642" t="b">
        <v>1</v>
      </c>
      <c r="AJ54" s="178" t="s">
        <v>15</v>
      </c>
      <c r="AK54" s="101" t="str">
        <f t="shared" si="9"/>
        <v>Southampton</v>
      </c>
      <c r="AL54" s="164">
        <f t="shared" si="10"/>
        <v>328.05907172995779</v>
      </c>
      <c r="AM54" s="164">
        <f t="shared" si="10"/>
        <v>436.21399176954736</v>
      </c>
      <c r="AN54" s="164">
        <f t="shared" si="10"/>
        <v>383.73983739837399</v>
      </c>
      <c r="AO54" s="164">
        <f t="shared" si="10"/>
        <v>270.93645417927496</v>
      </c>
      <c r="AP54" s="164">
        <f t="shared" si="10"/>
        <v>336.34827551933205</v>
      </c>
      <c r="AQ54" s="165">
        <f t="shared" si="12"/>
        <v>25</v>
      </c>
      <c r="AR54" s="88"/>
      <c r="AS54" s="88"/>
      <c r="AT54" s="88"/>
      <c r="AU54" s="88"/>
      <c r="AV54" s="88"/>
    </row>
    <row r="55" spans="1:48" ht="14.25" customHeight="1" x14ac:dyDescent="0.2">
      <c r="A55" s="135"/>
      <c r="B55" s="415"/>
      <c r="C55" s="415"/>
      <c r="D55" s="58"/>
      <c r="E55" s="58"/>
      <c r="F55" s="58"/>
      <c r="G55" s="58"/>
      <c r="H55" s="58"/>
      <c r="I55" s="58"/>
      <c r="J55" s="13"/>
      <c r="K55" s="15"/>
      <c r="L55" s="15"/>
      <c r="M55" s="15"/>
      <c r="N55" s="15"/>
      <c r="O55" s="9"/>
      <c r="P55" s="9"/>
      <c r="Q55" s="9"/>
      <c r="R55" s="9"/>
      <c r="S55" s="9"/>
      <c r="T55" s="9"/>
      <c r="U55" s="134"/>
      <c r="V55" s="152"/>
      <c r="W55" s="326"/>
      <c r="X55" s="647">
        <v>15</v>
      </c>
      <c r="Y55" s="50" t="str">
        <f t="shared" si="11"/>
        <v>Southampton</v>
      </c>
      <c r="Z55" s="45">
        <v>16</v>
      </c>
      <c r="AA55" s="46">
        <f>IF(H23&gt;0,IDACI!D23,0)</f>
        <v>42079</v>
      </c>
      <c r="AB55" s="46">
        <f>IF(H23&gt;0,IDACI!E23,0)</f>
        <v>10519.75</v>
      </c>
      <c r="AI55" s="642" t="b">
        <v>1</v>
      </c>
      <c r="AJ55" s="178" t="s">
        <v>7</v>
      </c>
      <c r="AK55" s="101" t="str">
        <f t="shared" si="9"/>
        <v>Surrey</v>
      </c>
      <c r="AL55" s="164">
        <f t="shared" si="10"/>
        <v>103.80952380952381</v>
      </c>
      <c r="AM55" s="164">
        <f t="shared" si="10"/>
        <v>127.57266300078554</v>
      </c>
      <c r="AN55" s="164">
        <f t="shared" si="10"/>
        <v>175.07800312012478</v>
      </c>
      <c r="AO55" s="164">
        <f t="shared" si="10"/>
        <v>164.7882810358341</v>
      </c>
      <c r="AP55" s="164">
        <f t="shared" si="10"/>
        <v>160.00460997675805</v>
      </c>
      <c r="AQ55" s="165">
        <f t="shared" si="12"/>
        <v>9.7000000000000011</v>
      </c>
      <c r="AR55" s="88"/>
      <c r="AS55" s="88"/>
      <c r="AT55" s="88"/>
      <c r="AU55" s="88"/>
      <c r="AV55" s="88"/>
    </row>
    <row r="56" spans="1:48" ht="14.25" customHeight="1" x14ac:dyDescent="0.2">
      <c r="A56" s="309"/>
      <c r="B56" s="415"/>
      <c r="C56" s="415"/>
      <c r="D56" s="58"/>
      <c r="E56" s="58"/>
      <c r="F56" s="58"/>
      <c r="G56" s="58"/>
      <c r="H56" s="58"/>
      <c r="I56" s="58"/>
      <c r="J56" s="13"/>
      <c r="K56" s="15"/>
      <c r="L56" s="15"/>
      <c r="M56" s="15"/>
      <c r="N56" s="15"/>
      <c r="O56" s="9"/>
      <c r="P56" s="9"/>
      <c r="Q56" s="9"/>
      <c r="R56" s="9"/>
      <c r="S56" s="9"/>
      <c r="T56" s="9"/>
      <c r="U56" s="134"/>
      <c r="V56" s="152"/>
      <c r="W56" s="326"/>
      <c r="X56" s="647">
        <v>16</v>
      </c>
      <c r="Y56" s="50" t="str">
        <f t="shared" si="11"/>
        <v>Surrey</v>
      </c>
      <c r="Z56" s="45">
        <v>17</v>
      </c>
      <c r="AA56" s="46">
        <f>IF(H24&gt;0,IDACI!D24,0)</f>
        <v>221989</v>
      </c>
      <c r="AB56" s="46">
        <f>IF(H24&gt;0,IDACI!E24,0)</f>
        <v>21532.933000000005</v>
      </c>
      <c r="AI56" s="642" t="b">
        <v>1</v>
      </c>
      <c r="AJ56" s="178" t="s">
        <v>116</v>
      </c>
      <c r="AK56" s="101" t="str">
        <f t="shared" si="9"/>
        <v>Swindon</v>
      </c>
      <c r="AL56" s="164">
        <f t="shared" si="10"/>
        <v>108.35073068893529</v>
      </c>
      <c r="AM56" s="164">
        <f t="shared" si="10"/>
        <v>119.54732510288066</v>
      </c>
      <c r="AN56" s="164">
        <f t="shared" si="10"/>
        <v>156.32653061224491</v>
      </c>
      <c r="AO56" s="164">
        <f t="shared" si="10"/>
        <v>185.59702397800331</v>
      </c>
      <c r="AP56" s="164">
        <f t="shared" si="10"/>
        <v>203.10872526239885</v>
      </c>
      <c r="AQ56" s="165">
        <f t="shared" si="12"/>
        <v>17.2</v>
      </c>
      <c r="AR56" s="88"/>
      <c r="AS56" s="88"/>
      <c r="AT56" s="88"/>
      <c r="AU56" s="88"/>
      <c r="AV56" s="88"/>
    </row>
    <row r="57" spans="1:48" ht="14.25" customHeight="1" x14ac:dyDescent="0.2">
      <c r="A57" s="309"/>
      <c r="B57" s="415"/>
      <c r="C57" s="415"/>
      <c r="D57" s="58"/>
      <c r="E57" s="58"/>
      <c r="F57" s="58"/>
      <c r="G57" s="58"/>
      <c r="H57" s="58"/>
      <c r="I57" s="58"/>
      <c r="J57" s="13"/>
      <c r="K57" s="15"/>
      <c r="L57" s="15"/>
      <c r="M57" s="15"/>
      <c r="N57" s="15"/>
      <c r="O57" s="9"/>
      <c r="P57" s="9"/>
      <c r="Q57" s="9"/>
      <c r="R57" s="9"/>
      <c r="S57" s="9"/>
      <c r="T57" s="9"/>
      <c r="U57" s="134"/>
      <c r="V57" s="152"/>
      <c r="W57" s="326"/>
      <c r="X57" s="647">
        <v>17</v>
      </c>
      <c r="Y57" s="50" t="str">
        <f t="shared" si="11"/>
        <v>Swindon</v>
      </c>
      <c r="Z57" s="45">
        <v>18</v>
      </c>
      <c r="AA57" s="46">
        <f>IF(H25&gt;0,IDACI!D25,0)</f>
        <v>42184</v>
      </c>
      <c r="AB57" s="46">
        <f>IF(H25&gt;0,IDACI!E25,0)</f>
        <v>7255.6479999999992</v>
      </c>
      <c r="AI57" s="642" t="b">
        <v>1</v>
      </c>
      <c r="AJ57" s="178" t="s">
        <v>117</v>
      </c>
      <c r="AK57" s="101" t="str">
        <f t="shared" si="9"/>
        <v>Torbay</v>
      </c>
      <c r="AL57" s="164">
        <f t="shared" si="10"/>
        <v>275.80645161290323</v>
      </c>
      <c r="AM57" s="164">
        <f t="shared" si="10"/>
        <v>274.50199203187248</v>
      </c>
      <c r="AN57" s="164">
        <f t="shared" si="10"/>
        <v>313.09523809523807</v>
      </c>
      <c r="AO57" s="164">
        <f t="shared" si="10"/>
        <v>299.53099751704565</v>
      </c>
      <c r="AP57" s="164">
        <f t="shared" si="10"/>
        <v>272.2587244757446</v>
      </c>
      <c r="AQ57" s="165">
        <f t="shared" si="12"/>
        <v>24.1</v>
      </c>
      <c r="AR57" s="88"/>
      <c r="AS57" s="88"/>
      <c r="AT57" s="88"/>
      <c r="AU57" s="88"/>
      <c r="AV57" s="88"/>
    </row>
    <row r="58" spans="1:48" ht="14.25" customHeight="1" x14ac:dyDescent="0.2">
      <c r="A58" s="135"/>
      <c r="B58" s="415"/>
      <c r="C58" s="415"/>
      <c r="D58" s="58"/>
      <c r="E58" s="58"/>
      <c r="F58" s="58"/>
      <c r="G58" s="58"/>
      <c r="H58" s="58"/>
      <c r="I58" s="58"/>
      <c r="J58" s="13"/>
      <c r="K58" s="15"/>
      <c r="L58" s="15"/>
      <c r="M58" s="15"/>
      <c r="N58" s="15"/>
      <c r="O58" s="9"/>
      <c r="P58" s="9"/>
      <c r="Q58" s="9"/>
      <c r="R58" s="9"/>
      <c r="S58" s="9"/>
      <c r="T58" s="9"/>
      <c r="U58" s="134"/>
      <c r="V58" s="152"/>
      <c r="W58" s="326"/>
      <c r="X58" s="647">
        <v>18</v>
      </c>
      <c r="Y58" s="50" t="str">
        <f t="shared" si="11"/>
        <v>Torbay</v>
      </c>
      <c r="Z58" s="45">
        <v>19</v>
      </c>
      <c r="AA58" s="46">
        <f>IF(H26&gt;0,IDACI!D26,0)</f>
        <v>21714</v>
      </c>
      <c r="AB58" s="46">
        <f>IF(H26&gt;0,IDACI!E26,0)</f>
        <v>5233.0740000000005</v>
      </c>
      <c r="AI58" s="642" t="b">
        <v>1</v>
      </c>
      <c r="AJ58" s="178" t="s">
        <v>16</v>
      </c>
      <c r="AK58" s="101" t="str">
        <f t="shared" si="9"/>
        <v>West Berkshire</v>
      </c>
      <c r="AL58" s="164">
        <f t="shared" si="10"/>
        <v>109.80392156862746</v>
      </c>
      <c r="AM58" s="164">
        <f t="shared" si="10"/>
        <v>139.32584269662922</v>
      </c>
      <c r="AN58" s="164">
        <f t="shared" si="10"/>
        <v>180.39215686274511</v>
      </c>
      <c r="AO58" s="164">
        <f t="shared" si="10"/>
        <v>153.90609779855833</v>
      </c>
      <c r="AP58" s="164">
        <f t="shared" si="10"/>
        <v>173.51215423302597</v>
      </c>
      <c r="AQ58" s="165">
        <f t="shared" si="12"/>
        <v>10.4</v>
      </c>
      <c r="AR58" s="88"/>
      <c r="AS58" s="88"/>
      <c r="AT58" s="88"/>
      <c r="AU58" s="88"/>
      <c r="AV58" s="88"/>
    </row>
    <row r="59" spans="1:48" ht="14.25" customHeight="1" x14ac:dyDescent="0.2">
      <c r="A59" s="135"/>
      <c r="B59" s="415"/>
      <c r="C59" s="415"/>
      <c r="D59" s="58"/>
      <c r="E59" s="58"/>
      <c r="F59" s="58"/>
      <c r="G59" s="58"/>
      <c r="H59" s="58"/>
      <c r="I59" s="58"/>
      <c r="J59" s="13"/>
      <c r="K59" s="15"/>
      <c r="L59" s="15"/>
      <c r="M59" s="15"/>
      <c r="N59" s="15"/>
      <c r="O59" s="9"/>
      <c r="P59" s="9"/>
      <c r="Q59" s="9"/>
      <c r="R59" s="9"/>
      <c r="S59" s="9"/>
      <c r="T59" s="9"/>
      <c r="U59" s="134"/>
      <c r="V59" s="152"/>
      <c r="W59" s="326"/>
      <c r="X59" s="647">
        <v>19</v>
      </c>
      <c r="Y59" s="50" t="str">
        <f t="shared" si="11"/>
        <v>West Berkshire</v>
      </c>
      <c r="Z59" s="45">
        <v>20</v>
      </c>
      <c r="AA59" s="46">
        <f>IF(H27&gt;0,IDACI!D27,0)</f>
        <v>31302</v>
      </c>
      <c r="AB59" s="46">
        <f>IF(H27&gt;0,IDACI!E27,0)</f>
        <v>3255.4080000000004</v>
      </c>
      <c r="AI59" s="642" t="b">
        <v>1</v>
      </c>
      <c r="AJ59" s="178" t="s">
        <v>5</v>
      </c>
      <c r="AK59" s="101" t="str">
        <f t="shared" si="9"/>
        <v>West Sussex</v>
      </c>
      <c r="AL59" s="164">
        <f t="shared" si="10"/>
        <v>100.11976047904191</v>
      </c>
      <c r="AM59" s="164">
        <f t="shared" si="10"/>
        <v>117.18009478672987</v>
      </c>
      <c r="AN59" s="164">
        <f t="shared" si="10"/>
        <v>105.92723004694835</v>
      </c>
      <c r="AO59" s="164">
        <f t="shared" si="10"/>
        <v>126.28012179714835</v>
      </c>
      <c r="AP59" s="164">
        <f t="shared" si="10"/>
        <v>173.30232397089119</v>
      </c>
      <c r="AQ59" s="165">
        <f t="shared" si="12"/>
        <v>12.9</v>
      </c>
      <c r="AR59" s="88"/>
      <c r="AS59" s="88"/>
      <c r="AT59" s="88"/>
      <c r="AU59" s="88"/>
      <c r="AV59" s="88"/>
    </row>
    <row r="60" spans="1:48" s="88" customFormat="1" ht="14.25" customHeight="1" x14ac:dyDescent="0.2">
      <c r="A60" s="135"/>
      <c r="B60" s="415"/>
      <c r="C60" s="415"/>
      <c r="D60" s="58"/>
      <c r="E60" s="58"/>
      <c r="F60" s="58"/>
      <c r="G60" s="58"/>
      <c r="H60" s="58"/>
      <c r="I60" s="58"/>
      <c r="J60" s="13"/>
      <c r="K60" s="15"/>
      <c r="L60" s="15"/>
      <c r="M60" s="15"/>
      <c r="N60" s="15"/>
      <c r="O60" s="9"/>
      <c r="P60" s="9"/>
      <c r="Q60" s="9"/>
      <c r="R60" s="9"/>
      <c r="S60" s="9"/>
      <c r="T60" s="9"/>
      <c r="U60" s="134"/>
      <c r="V60" s="152"/>
      <c r="W60" s="326"/>
      <c r="X60" s="647">
        <v>20</v>
      </c>
      <c r="Y60" s="50" t="str">
        <f t="shared" si="11"/>
        <v>West Sussex</v>
      </c>
      <c r="Z60" s="45">
        <v>21</v>
      </c>
      <c r="AA60" s="46">
        <f>IF(H28&gt;0,IDACI!D28,0)</f>
        <v>146958</v>
      </c>
      <c r="AB60" s="46">
        <f>IF(H28&gt;0,IDACI!E28,0)</f>
        <v>18957.582000000002</v>
      </c>
      <c r="AI60" s="642" t="b">
        <v>1</v>
      </c>
      <c r="AJ60" s="178" t="s">
        <v>31</v>
      </c>
      <c r="AK60" s="101" t="str">
        <f t="shared" si="9"/>
        <v>Windsor &amp; Maidenhead</v>
      </c>
      <c r="AL60" s="164">
        <f t="shared" si="10"/>
        <v>115.91591591591592</v>
      </c>
      <c r="AM60" s="164">
        <f t="shared" si="10"/>
        <v>97.305389221556894</v>
      </c>
      <c r="AN60" s="164">
        <f t="shared" si="10"/>
        <v>129.67359050445106</v>
      </c>
      <c r="AO60" s="164">
        <f t="shared" si="10"/>
        <v>133.71956928838952</v>
      </c>
      <c r="AP60" s="164">
        <f t="shared" si="10"/>
        <v>101.88635305076851</v>
      </c>
      <c r="AQ60" s="165">
        <f t="shared" si="12"/>
        <v>8.4</v>
      </c>
    </row>
    <row r="61" spans="1:48" s="88" customFormat="1" ht="14.25" customHeight="1" x14ac:dyDescent="0.2">
      <c r="A61" s="135"/>
      <c r="B61" s="415"/>
      <c r="C61" s="415"/>
      <c r="D61" s="58"/>
      <c r="E61" s="58"/>
      <c r="F61" s="58"/>
      <c r="G61" s="58"/>
      <c r="H61" s="58"/>
      <c r="I61" s="58"/>
      <c r="J61" s="13"/>
      <c r="K61" s="15"/>
      <c r="L61" s="15"/>
      <c r="M61" s="15"/>
      <c r="N61" s="15"/>
      <c r="O61" s="9"/>
      <c r="P61" s="9"/>
      <c r="Q61" s="9"/>
      <c r="R61" s="9"/>
      <c r="S61" s="9"/>
      <c r="T61" s="9"/>
      <c r="U61" s="134"/>
      <c r="V61" s="152"/>
      <c r="W61" s="326"/>
      <c r="X61" s="647">
        <v>21</v>
      </c>
      <c r="Y61" s="50" t="str">
        <f t="shared" si="11"/>
        <v>Windsor &amp; Maidenhead</v>
      </c>
      <c r="Z61" s="45">
        <v>22</v>
      </c>
      <c r="AA61" s="46">
        <f>IF(H29&gt;0,IDACI!D29,0)</f>
        <v>29154</v>
      </c>
      <c r="AB61" s="46">
        <f>IF(H29&gt;0,IDACI!E29,0)</f>
        <v>2448.9360000000001</v>
      </c>
      <c r="AI61" s="642" t="b">
        <v>1</v>
      </c>
      <c r="AJ61" s="178" t="s">
        <v>17</v>
      </c>
      <c r="AK61" s="101" t="str">
        <f t="shared" si="9"/>
        <v>Wokingham</v>
      </c>
      <c r="AL61" s="164">
        <f t="shared" si="10"/>
        <v>72.375690607734811</v>
      </c>
      <c r="AM61" s="164">
        <f t="shared" si="10"/>
        <v>68.563685636856377</v>
      </c>
      <c r="AN61" s="164">
        <f t="shared" si="10"/>
        <v>92.761394101876675</v>
      </c>
      <c r="AO61" s="164">
        <f t="shared" si="10"/>
        <v>69.175938346616164</v>
      </c>
      <c r="AP61" s="164">
        <f t="shared" si="10"/>
        <v>121.69913699550412</v>
      </c>
      <c r="AQ61" s="165">
        <f t="shared" si="12"/>
        <v>6.8000000000000007</v>
      </c>
    </row>
    <row r="62" spans="1:48" s="88" customFormat="1" ht="14.25" customHeight="1" x14ac:dyDescent="0.2">
      <c r="A62" s="135"/>
      <c r="B62" s="415"/>
      <c r="C62" s="415"/>
      <c r="D62" s="58"/>
      <c r="E62" s="58"/>
      <c r="F62" s="58"/>
      <c r="G62" s="58"/>
      <c r="H62" s="58"/>
      <c r="I62" s="58"/>
      <c r="J62" s="13"/>
      <c r="K62" s="15"/>
      <c r="L62" s="15"/>
      <c r="M62" s="15"/>
      <c r="N62" s="15"/>
      <c r="O62" s="9"/>
      <c r="P62" s="9"/>
      <c r="Q62" s="9"/>
      <c r="R62" s="9"/>
      <c r="S62" s="9"/>
      <c r="T62" s="9"/>
      <c r="U62" s="134"/>
      <c r="V62" s="152"/>
      <c r="W62" s="326"/>
      <c r="X62" s="647">
        <v>22</v>
      </c>
      <c r="Y62" s="50" t="str">
        <f t="shared" si="11"/>
        <v>Wokingham</v>
      </c>
      <c r="Z62" s="45">
        <v>23</v>
      </c>
      <c r="AA62" s="46">
        <f>IF(H30&gt;0,IDACI!D30,0)</f>
        <v>31967</v>
      </c>
      <c r="AB62" s="46">
        <f>IF(H30&gt;0,IDACI!E30,0)</f>
        <v>2173.7560000000003</v>
      </c>
      <c r="AI62" s="642" t="b">
        <v>1</v>
      </c>
      <c r="AJ62" s="178" t="s">
        <v>74</v>
      </c>
      <c r="AK62" s="101" t="str">
        <f t="shared" si="9"/>
        <v>South East</v>
      </c>
      <c r="AL62" s="164">
        <f t="shared" si="10"/>
        <v>122.05851176595294</v>
      </c>
      <c r="AM62" s="164">
        <f t="shared" si="10"/>
        <v>150.19430732065959</v>
      </c>
      <c r="AN62" s="164">
        <f t="shared" si="10"/>
        <v>159.74141077107555</v>
      </c>
      <c r="AO62" s="164">
        <f t="shared" si="10"/>
        <v>159.42536518599022</v>
      </c>
      <c r="AP62" s="164">
        <f t="shared" si="10"/>
        <v>166.67824154455172</v>
      </c>
      <c r="AQ62" s="165">
        <f t="shared" si="12"/>
        <v>14.45223640702325</v>
      </c>
    </row>
    <row r="63" spans="1:48" s="88" customFormat="1" ht="14.25" customHeight="1" x14ac:dyDescent="0.2">
      <c r="A63" s="135"/>
      <c r="B63" s="415"/>
      <c r="C63" s="415"/>
      <c r="D63" s="58"/>
      <c r="E63" s="58"/>
      <c r="F63" s="58"/>
      <c r="G63" s="58"/>
      <c r="H63" s="58"/>
      <c r="I63" s="58"/>
      <c r="J63" s="13"/>
      <c r="K63" s="9"/>
      <c r="L63" s="127"/>
      <c r="M63" s="1027" t="s">
        <v>72</v>
      </c>
      <c r="N63" s="1028"/>
      <c r="O63" s="1029"/>
      <c r="P63" s="416"/>
      <c r="Q63" s="1030" t="s">
        <v>101</v>
      </c>
      <c r="R63" s="1031"/>
      <c r="S63" s="1031"/>
      <c r="T63" s="1032"/>
      <c r="U63" s="134"/>
      <c r="V63" s="152"/>
      <c r="W63" s="326"/>
      <c r="X63" s="647">
        <v>23</v>
      </c>
      <c r="Y63" s="50" t="str">
        <f t="shared" si="11"/>
        <v>South East</v>
      </c>
      <c r="Z63" s="45">
        <v>24</v>
      </c>
      <c r="AA63" s="46">
        <f>SUM(AA55:AA56,AA41:AA53,AA59:AA62)</f>
        <v>1662421</v>
      </c>
      <c r="AB63" s="46">
        <f>SUM(AB55:AB56,AB41:AB53,AB59:AB62)</f>
        <v>240257.01299999995</v>
      </c>
      <c r="AI63" s="642" t="b">
        <v>1</v>
      </c>
      <c r="AJ63" s="178" t="s">
        <v>130</v>
      </c>
      <c r="AK63" s="101" t="str">
        <f t="shared" si="9"/>
        <v>England</v>
      </c>
      <c r="AL63" s="164">
        <f>VLOOKUP($AK63,$B$9:$O$32,AL$36,FALSE)</f>
        <v>124.13210325031143</v>
      </c>
      <c r="AM63" s="164">
        <f t="shared" ref="AM63:AO63" si="13">VLOOKUP($AK63,$B$9:$O$32,AM$36,FALSE)</f>
        <v>138.15920011732533</v>
      </c>
      <c r="AN63" s="164">
        <f t="shared" si="13"/>
        <v>147.5350876441826</v>
      </c>
      <c r="AO63" s="164">
        <f t="shared" si="13"/>
        <v>157.35735358617364</v>
      </c>
      <c r="AP63" s="164">
        <f>VLOOKUP($AK63,$B$9:$O$32,AP$36,FALSE)</f>
        <v>166.92569122817247</v>
      </c>
      <c r="AQ63" s="165" t="e">
        <f t="shared" si="12"/>
        <v>#N/A</v>
      </c>
    </row>
    <row r="64" spans="1:48" s="88" customFormat="1" ht="11.25" customHeight="1" x14ac:dyDescent="0.2">
      <c r="A64" s="135"/>
      <c r="B64" s="415"/>
      <c r="C64" s="415"/>
      <c r="D64" s="58"/>
      <c r="E64" s="58"/>
      <c r="F64" s="58"/>
      <c r="G64" s="58"/>
      <c r="H64" s="58"/>
      <c r="I64" s="58"/>
      <c r="J64" s="13"/>
      <c r="K64" s="9"/>
      <c r="L64" s="481"/>
      <c r="M64" s="1030" t="str">
        <f>Z4</f>
        <v>Selected LA- (none)</v>
      </c>
      <c r="N64" s="1031"/>
      <c r="O64" s="1031"/>
      <c r="P64" s="1032"/>
      <c r="Q64" s="1035"/>
      <c r="R64" s="1036"/>
      <c r="S64" s="1037" t="s">
        <v>205</v>
      </c>
      <c r="T64" s="1038"/>
      <c r="U64" s="134"/>
      <c r="V64" s="152"/>
      <c r="W64" s="168"/>
      <c r="X64" s="647">
        <v>24</v>
      </c>
      <c r="Y64" s="50" t="str">
        <f t="shared" si="11"/>
        <v>England</v>
      </c>
      <c r="Z64" s="45">
        <v>25</v>
      </c>
      <c r="AA64" s="46">
        <f>IF(H32&gt;0,IDACI!D32,0)</f>
        <v>10130158</v>
      </c>
      <c r="AB64" s="46">
        <f>IF(H32&gt;0,IDACI!E32,0)</f>
        <v>2016166</v>
      </c>
      <c r="AJ64" s="179"/>
      <c r="AK64" s="80" t="str">
        <f>Z4</f>
        <v>Selected LA- (none)</v>
      </c>
      <c r="AL64" s="166" t="e">
        <f>VLOOKUP($Y4,$B$9:$O$31,AL$36,FALSE)</f>
        <v>#N/A</v>
      </c>
      <c r="AM64" s="166" t="e">
        <f>VLOOKUP($Y4,$B$9:$O$31,AM$36,FALSE)</f>
        <v>#N/A</v>
      </c>
      <c r="AN64" s="166" t="e">
        <f>VLOOKUP($Y4,$B$9:$O$31,AN$36,FALSE)</f>
        <v>#N/A</v>
      </c>
      <c r="AO64" s="166" t="e">
        <f>VLOOKUP($Y4,$B$9:$O$31,AO$36,FALSE)</f>
        <v>#N/A</v>
      </c>
      <c r="AP64" s="166" t="e">
        <f>VLOOKUP($Y4,$B$9:$O$31,AP$36,FALSE)</f>
        <v>#N/A</v>
      </c>
      <c r="AQ64" s="165" t="e">
        <f>VLOOKUP(Y4,$B$9:$T$31,17,FALSE)</f>
        <v>#N/A</v>
      </c>
    </row>
    <row r="65" spans="1:48" s="88" customFormat="1" ht="42" customHeight="1" x14ac:dyDescent="0.2">
      <c r="A65" s="135"/>
      <c r="B65" s="415"/>
      <c r="C65" s="415"/>
      <c r="D65" s="58"/>
      <c r="E65" s="58"/>
      <c r="F65" s="58"/>
      <c r="G65" s="58"/>
      <c r="H65" s="58"/>
      <c r="I65" s="58"/>
      <c r="J65" s="13"/>
      <c r="K65" s="9"/>
      <c r="L65" s="9"/>
      <c r="M65" s="9"/>
      <c r="N65" s="9"/>
      <c r="O65" s="9"/>
      <c r="P65" s="9"/>
      <c r="Q65" s="9"/>
      <c r="R65" s="9"/>
      <c r="S65" s="9"/>
      <c r="T65" s="9"/>
      <c r="U65" s="134"/>
      <c r="V65" s="152"/>
      <c r="W65" s="168"/>
      <c r="X65" s="44" t="s">
        <v>72</v>
      </c>
      <c r="Y65" s="240" t="s">
        <v>70</v>
      </c>
      <c r="Z65" s="44" t="s">
        <v>71</v>
      </c>
      <c r="AA65" s="241">
        <v>5</v>
      </c>
      <c r="AB65" s="242">
        <f>(AA65*Y66)+Z66</f>
        <v>119.29049999999999</v>
      </c>
      <c r="AJ65" s="179"/>
    </row>
    <row r="66" spans="1:48" s="101" customFormat="1" ht="41.25" customHeight="1" x14ac:dyDescent="0.2">
      <c r="A66" s="138"/>
      <c r="B66" s="126"/>
      <c r="C66" s="126"/>
      <c r="D66" s="126"/>
      <c r="E66" s="126"/>
      <c r="F66" s="126"/>
      <c r="G66" s="126"/>
      <c r="H66" s="126"/>
      <c r="I66" s="126"/>
      <c r="J66" s="115"/>
      <c r="K66" s="97"/>
      <c r="L66" s="97"/>
      <c r="M66" s="97"/>
      <c r="N66" s="97"/>
      <c r="O66" s="97"/>
      <c r="P66" s="97"/>
      <c r="Q66" s="97"/>
      <c r="R66" s="97"/>
      <c r="S66" s="97"/>
      <c r="T66" s="97"/>
      <c r="U66" s="139"/>
      <c r="V66" s="154"/>
      <c r="W66" s="170"/>
      <c r="X66" s="243" t="str">
        <f>"Y= "&amp;Y66&amp;"x + "&amp;Z66</f>
        <v>Y= 5.4045x + 92.268</v>
      </c>
      <c r="Y66" s="839">
        <v>5.4044999999999996</v>
      </c>
      <c r="Z66" s="840">
        <v>92.268000000000001</v>
      </c>
      <c r="AA66" s="246">
        <v>35</v>
      </c>
      <c r="AB66" s="247">
        <f>(AA66*Y66)+Z66</f>
        <v>281.4255</v>
      </c>
      <c r="AC66" s="217"/>
      <c r="AD66" s="217"/>
      <c r="AE66" s="217"/>
      <c r="AF66" s="217"/>
      <c r="AG66" s="217"/>
      <c r="AH66" s="217"/>
      <c r="AI66" s="232"/>
      <c r="AJ66" s="178"/>
      <c r="AR66" s="88"/>
      <c r="AS66" s="88"/>
      <c r="AT66" s="88"/>
      <c r="AU66" s="88"/>
      <c r="AV66" s="88"/>
    </row>
    <row r="67" spans="1:48" s="101" customFormat="1" ht="42" customHeight="1" x14ac:dyDescent="0.2">
      <c r="A67" s="138"/>
      <c r="B67" s="126"/>
      <c r="C67" s="126"/>
      <c r="D67" s="126"/>
      <c r="E67" s="126"/>
      <c r="F67" s="126"/>
      <c r="G67" s="126"/>
      <c r="H67" s="126"/>
      <c r="I67" s="126"/>
      <c r="J67" s="115"/>
      <c r="K67" s="97"/>
      <c r="L67" s="97"/>
      <c r="M67" s="97"/>
      <c r="N67" s="97"/>
      <c r="O67" s="97"/>
      <c r="P67" s="97"/>
      <c r="Q67" s="97"/>
      <c r="R67" s="97"/>
      <c r="S67" s="97"/>
      <c r="T67" s="97"/>
      <c r="U67" s="139"/>
      <c r="V67" s="154"/>
      <c r="W67" s="170"/>
      <c r="X67" s="44" t="s">
        <v>216</v>
      </c>
      <c r="Y67" s="240" t="s">
        <v>70</v>
      </c>
      <c r="Z67" s="44" t="s">
        <v>71</v>
      </c>
      <c r="AA67" s="241">
        <v>5</v>
      </c>
      <c r="AB67" s="242">
        <f>(AA67*Y68)+Z68</f>
        <v>82.670945000000003</v>
      </c>
      <c r="AC67" s="843" t="s">
        <v>862</v>
      </c>
      <c r="AD67" s="217"/>
      <c r="AE67" s="217"/>
      <c r="AF67" s="217"/>
      <c r="AG67" s="217"/>
      <c r="AH67" s="217"/>
      <c r="AI67" s="232"/>
      <c r="AJ67" s="178"/>
    </row>
    <row r="68" spans="1:48" ht="7.5" customHeight="1" x14ac:dyDescent="0.2">
      <c r="A68" s="135"/>
      <c r="B68" s="18"/>
      <c r="C68" s="18"/>
      <c r="D68" s="17"/>
      <c r="E68" s="17"/>
      <c r="F68" s="17"/>
      <c r="G68" s="17"/>
      <c r="H68" s="17"/>
      <c r="I68" s="17"/>
      <c r="J68" s="13"/>
      <c r="K68" s="19"/>
      <c r="L68" s="19"/>
      <c r="M68" s="19"/>
      <c r="N68" s="19"/>
      <c r="O68" s="19"/>
      <c r="P68" s="19"/>
      <c r="Q68" s="19"/>
      <c r="R68" s="19"/>
      <c r="S68" s="19"/>
      <c r="T68" s="20"/>
      <c r="U68" s="134"/>
      <c r="V68" s="152"/>
      <c r="W68" s="168"/>
      <c r="X68" s="243" t="str">
        <f>"Y= "&amp;Y68&amp;"x + "&amp;Z68</f>
        <v>Y= 6.149149x + 51.9252</v>
      </c>
      <c r="Y68" s="839">
        <v>6.1491490000000004</v>
      </c>
      <c r="Z68" s="840">
        <v>51.925199999999997</v>
      </c>
      <c r="AA68" s="246">
        <v>35</v>
      </c>
      <c r="AB68" s="247">
        <f>(AA68*Y68)+Z68</f>
        <v>267.14541500000001</v>
      </c>
      <c r="AI68" s="210"/>
      <c r="AJ68" s="175"/>
    </row>
    <row r="69" spans="1:48" ht="15" customHeight="1" x14ac:dyDescent="0.2">
      <c r="A69" s="1010"/>
      <c r="B69" s="1018"/>
      <c r="C69" s="1018"/>
      <c r="D69" s="1018"/>
      <c r="E69" s="1018"/>
      <c r="F69" s="1018"/>
      <c r="G69" s="1018"/>
      <c r="H69" s="1018"/>
      <c r="I69" s="1018"/>
      <c r="J69" s="1018"/>
      <c r="K69" s="1018"/>
      <c r="L69" s="1018"/>
      <c r="M69" s="1018"/>
      <c r="N69" s="1018"/>
      <c r="O69" s="1018"/>
      <c r="P69" s="1018"/>
      <c r="Q69" s="1018"/>
      <c r="R69" s="1018"/>
      <c r="S69" s="1018"/>
      <c r="T69" s="1018"/>
      <c r="U69" s="1019"/>
      <c r="V69" s="152"/>
      <c r="W69" s="168"/>
      <c r="X69" s="43">
        <f>D8</f>
        <v>2014</v>
      </c>
      <c r="Y69" s="43">
        <f>E8</f>
        <v>2015</v>
      </c>
      <c r="Z69" s="43">
        <f>F8</f>
        <v>2016</v>
      </c>
      <c r="AA69" s="43">
        <f>G8</f>
        <v>2017</v>
      </c>
      <c r="AB69" s="43">
        <f>H8</f>
        <v>2018</v>
      </c>
      <c r="AI69" s="210"/>
      <c r="AJ69" s="175"/>
    </row>
    <row r="70" spans="1:48" ht="11.25" customHeight="1" x14ac:dyDescent="0.2">
      <c r="A70" s="1020" t="str">
        <f>Home!$A$35</f>
        <v>LA's provide quarterly data on the condition that it is used by the benchmarking group for internal reporting only. Please DO NOT share other LA's data with any external partners or the public</v>
      </c>
      <c r="B70" s="1021"/>
      <c r="C70" s="1021"/>
      <c r="D70" s="1021"/>
      <c r="E70" s="1021"/>
      <c r="F70" s="1021"/>
      <c r="G70" s="1021"/>
      <c r="H70" s="1021"/>
      <c r="I70" s="1022"/>
      <c r="J70" s="1021"/>
      <c r="K70" s="1021"/>
      <c r="L70" s="1021"/>
      <c r="M70" s="1021"/>
      <c r="N70" s="1021"/>
      <c r="O70" s="1021"/>
      <c r="P70" s="1021"/>
      <c r="Q70" s="1021"/>
      <c r="R70" s="1021"/>
      <c r="S70" s="1022"/>
      <c r="T70" s="1021"/>
      <c r="U70" s="1023"/>
      <c r="V70" s="152"/>
      <c r="W70" s="168"/>
      <c r="X70" s="47" t="e">
        <f ca="1">IF(OFFSET(K8,$X$4,0)=0,NA(),OFFSET(K8,$X$4,0))</f>
        <v>#N/A</v>
      </c>
      <c r="Y70" s="248" t="e">
        <f ca="1">IF(OFFSET(L8,$X$4,0)=0,NA(),OFFSET(L8,$X$4,0))</f>
        <v>#N/A</v>
      </c>
      <c r="Z70" s="47" t="e">
        <f ca="1">IF(OFFSET(M8,$X$4,0)=0,NA(),OFFSET(M8,$X$4,0))</f>
        <v>#N/A</v>
      </c>
      <c r="AA70" s="47" t="e">
        <f ca="1">IF(OFFSET(N8,$X$4,0)=0,NA(),OFFSET(N8,$X$4,0))</f>
        <v>#N/A</v>
      </c>
      <c r="AB70" s="47" t="e">
        <f ca="1">IF(OFFSET(O8,$X$4,0)=0,NA(),OFFSET(O8,$X$4,0))</f>
        <v>#N/A</v>
      </c>
      <c r="AI70" s="210"/>
      <c r="AJ70" s="175"/>
    </row>
    <row r="71" spans="1:48" ht="11.25" customHeight="1" x14ac:dyDescent="0.2">
      <c r="A71" s="129"/>
      <c r="B71" s="130"/>
      <c r="C71" s="130"/>
      <c r="D71" s="130"/>
      <c r="E71" s="130"/>
      <c r="F71" s="130"/>
      <c r="G71" s="130"/>
      <c r="H71" s="130"/>
      <c r="I71" s="130"/>
      <c r="J71" s="131"/>
      <c r="K71" s="130"/>
      <c r="L71" s="130"/>
      <c r="M71" s="130"/>
      <c r="N71" s="130"/>
      <c r="O71" s="130"/>
      <c r="P71" s="130"/>
      <c r="Q71" s="130"/>
      <c r="R71" s="130"/>
      <c r="S71" s="130"/>
      <c r="T71" s="130"/>
      <c r="U71" s="132"/>
      <c r="V71" s="152"/>
      <c r="W71" s="168"/>
      <c r="X71" s="215"/>
      <c r="Y71" s="215"/>
      <c r="Z71" s="215"/>
      <c r="AI71" s="210"/>
      <c r="AJ71" s="175"/>
    </row>
    <row r="72" spans="1:48" s="82" customFormat="1" ht="15" customHeight="1" x14ac:dyDescent="0.2">
      <c r="A72" s="136"/>
      <c r="B72" s="60"/>
      <c r="C72" s="414"/>
      <c r="D72" s="414"/>
      <c r="E72" s="414"/>
      <c r="F72" s="414"/>
      <c r="G72" s="414"/>
      <c r="H72" s="414"/>
      <c r="I72" s="414"/>
      <c r="J72" s="70"/>
      <c r="K72" s="70"/>
      <c r="L72" s="70"/>
      <c r="M72" s="70"/>
      <c r="N72" s="409"/>
      <c r="O72" s="70"/>
      <c r="P72" s="70"/>
      <c r="Q72" s="70"/>
      <c r="R72" s="70"/>
      <c r="S72" s="70"/>
      <c r="T72" s="70"/>
      <c r="U72" s="137"/>
      <c r="V72" s="153"/>
      <c r="W72" s="169"/>
      <c r="X72" s="215"/>
      <c r="Y72" s="215"/>
      <c r="Z72" s="215"/>
      <c r="AA72" s="215"/>
      <c r="AB72" s="215"/>
      <c r="AC72" s="215"/>
      <c r="AD72" s="215"/>
      <c r="AE72" s="215"/>
      <c r="AF72" s="215"/>
      <c r="AG72" s="215"/>
      <c r="AH72" s="215"/>
      <c r="AI72" s="215"/>
      <c r="AJ72" s="176"/>
    </row>
    <row r="73" spans="1:48" ht="13.5" customHeight="1" x14ac:dyDescent="0.2">
      <c r="A73" s="135"/>
      <c r="B73" s="414"/>
      <c r="C73" s="414"/>
      <c r="D73" s="414"/>
      <c r="E73" s="414"/>
      <c r="F73" s="414"/>
      <c r="G73" s="414"/>
      <c r="H73" s="414"/>
      <c r="I73" s="414"/>
      <c r="J73" s="70"/>
      <c r="K73" s="70"/>
      <c r="L73" s="70"/>
      <c r="M73" s="70"/>
      <c r="N73" s="409"/>
      <c r="O73" s="70"/>
      <c r="P73" s="70"/>
      <c r="Q73" s="10"/>
      <c r="R73" s="70"/>
      <c r="S73" s="70"/>
      <c r="T73" s="70"/>
      <c r="U73" s="134"/>
      <c r="V73" s="152"/>
      <c r="W73" s="168"/>
      <c r="X73" s="215"/>
      <c r="Y73" s="215"/>
      <c r="Z73" s="223"/>
      <c r="AA73" s="223"/>
      <c r="AB73" s="224"/>
      <c r="AC73" s="224"/>
      <c r="AI73" s="210"/>
      <c r="AJ73" s="175"/>
    </row>
    <row r="74" spans="1:48" s="101" customFormat="1" ht="12" customHeight="1" x14ac:dyDescent="0.2">
      <c r="A74" s="138"/>
      <c r="B74" s="414"/>
      <c r="C74" s="414"/>
      <c r="D74" s="414"/>
      <c r="E74" s="414"/>
      <c r="F74" s="414"/>
      <c r="G74" s="414"/>
      <c r="H74" s="414"/>
      <c r="I74" s="115"/>
      <c r="J74" s="115"/>
      <c r="K74" s="62"/>
      <c r="L74" s="62"/>
      <c r="M74" s="62"/>
      <c r="N74" s="62"/>
      <c r="O74" s="62"/>
      <c r="P74" s="417"/>
      <c r="Q74" s="417"/>
      <c r="R74" s="177"/>
      <c r="S74" s="177"/>
      <c r="T74" s="418"/>
      <c r="U74" s="139"/>
      <c r="V74" s="154"/>
      <c r="W74" s="170"/>
      <c r="X74" s="215"/>
      <c r="Y74" s="215"/>
      <c r="Z74" s="223"/>
      <c r="AA74" s="223"/>
      <c r="AB74" s="224"/>
      <c r="AC74" s="224"/>
      <c r="AD74" s="226"/>
      <c r="AE74" s="217"/>
      <c r="AF74" s="217"/>
      <c r="AG74" s="217"/>
      <c r="AH74" s="217"/>
      <c r="AI74" s="232"/>
      <c r="AJ74" s="178"/>
    </row>
    <row r="75" spans="1:48" s="101" customFormat="1" ht="24" customHeight="1" x14ac:dyDescent="0.2">
      <c r="A75" s="138"/>
      <c r="B75" s="414"/>
      <c r="C75" s="414"/>
      <c r="D75" s="414"/>
      <c r="E75" s="414"/>
      <c r="F75" s="414"/>
      <c r="G75" s="414"/>
      <c r="H75" s="414"/>
      <c r="I75" s="115"/>
      <c r="J75" s="115"/>
      <c r="K75" s="186"/>
      <c r="L75" s="186"/>
      <c r="M75" s="186"/>
      <c r="N75" s="186"/>
      <c r="O75" s="186"/>
      <c r="P75" s="186"/>
      <c r="Q75" s="187"/>
      <c r="R75" s="177"/>
      <c r="S75" s="177"/>
      <c r="T75" s="186"/>
      <c r="U75" s="139"/>
      <c r="V75" s="154"/>
      <c r="W75" s="170"/>
      <c r="Y75" s="403" t="s">
        <v>133</v>
      </c>
      <c r="Z75" s="404" t="s">
        <v>134</v>
      </c>
      <c r="AA75" s="223"/>
      <c r="AB75" s="224"/>
      <c r="AC75" s="224"/>
      <c r="AD75" s="226"/>
      <c r="AE75" s="217"/>
      <c r="AF75" s="217"/>
      <c r="AG75" s="217"/>
      <c r="AH75" s="217"/>
      <c r="AI75" s="232"/>
      <c r="AJ75" s="178"/>
    </row>
    <row r="76" spans="1:48" s="101" customFormat="1" ht="12.75" customHeight="1" x14ac:dyDescent="0.2">
      <c r="A76" s="138"/>
      <c r="B76" s="414"/>
      <c r="C76" s="414"/>
      <c r="D76" s="414"/>
      <c r="E76" s="414"/>
      <c r="F76" s="414"/>
      <c r="G76" s="414"/>
      <c r="H76" s="414"/>
      <c r="I76" s="115"/>
      <c r="J76" s="115"/>
      <c r="K76" s="186"/>
      <c r="L76" s="186"/>
      <c r="M76" s="186"/>
      <c r="N76" s="186"/>
      <c r="O76" s="186"/>
      <c r="P76" s="186"/>
      <c r="Q76" s="187"/>
      <c r="R76" s="177"/>
      <c r="S76" s="177"/>
      <c r="T76" s="186"/>
      <c r="U76" s="139"/>
      <c r="V76" s="154"/>
      <c r="W76" s="170"/>
      <c r="X76" s="405" t="str">
        <f>B9</f>
        <v>Bracknell Forest</v>
      </c>
      <c r="Y76" s="406" t="e">
        <f>IF(X76=$Y$4,I9,#N/A)</f>
        <v>#N/A</v>
      </c>
      <c r="Z76" s="406" t="e">
        <f>IF(X76=$Y$4,T9,#N/A)</f>
        <v>#N/A</v>
      </c>
      <c r="AA76" s="223"/>
      <c r="AB76" s="224"/>
      <c r="AC76" s="224"/>
      <c r="AD76" s="226"/>
      <c r="AE76" s="217"/>
      <c r="AF76" s="217"/>
      <c r="AG76" s="217"/>
      <c r="AH76" s="217"/>
      <c r="AI76" s="232"/>
      <c r="AJ76" s="178"/>
    </row>
    <row r="77" spans="1:48" s="101" customFormat="1" ht="12.75" customHeight="1" x14ac:dyDescent="0.2">
      <c r="A77" s="138"/>
      <c r="B77" s="414"/>
      <c r="C77" s="414"/>
      <c r="D77" s="414"/>
      <c r="E77" s="414"/>
      <c r="F77" s="414"/>
      <c r="G77" s="414"/>
      <c r="H77" s="414"/>
      <c r="I77" s="115"/>
      <c r="J77" s="115"/>
      <c r="K77" s="186"/>
      <c r="L77" s="186"/>
      <c r="M77" s="186"/>
      <c r="N77" s="186"/>
      <c r="O77" s="186"/>
      <c r="P77" s="186"/>
      <c r="Q77" s="187"/>
      <c r="R77" s="177"/>
      <c r="S77" s="177"/>
      <c r="T77" s="186"/>
      <c r="U77" s="139"/>
      <c r="V77" s="154"/>
      <c r="W77" s="170"/>
      <c r="X77" s="405" t="str">
        <f t="shared" ref="X77:X97" si="14">B10</f>
        <v>Brighton &amp; Hove</v>
      </c>
      <c r="Y77" s="406" t="e">
        <f t="shared" ref="Y77:Y99" si="15">IF(X77=$Y$4,I10,#N/A)</f>
        <v>#N/A</v>
      </c>
      <c r="Z77" s="406" t="e">
        <f t="shared" ref="Z77:Z99" si="16">IF(X77=$Y$4,T10,#N/A)</f>
        <v>#N/A</v>
      </c>
      <c r="AA77" s="223"/>
      <c r="AB77" s="224"/>
      <c r="AC77" s="224"/>
      <c r="AD77" s="226"/>
      <c r="AE77" s="217"/>
      <c r="AF77" s="217"/>
      <c r="AG77" s="217"/>
      <c r="AH77" s="217"/>
      <c r="AI77" s="232"/>
      <c r="AJ77" s="178"/>
    </row>
    <row r="78" spans="1:48" s="101" customFormat="1" ht="12.75" customHeight="1" x14ac:dyDescent="0.2">
      <c r="A78" s="138"/>
      <c r="B78" s="414"/>
      <c r="C78" s="414"/>
      <c r="D78" s="414"/>
      <c r="E78" s="414"/>
      <c r="F78" s="414"/>
      <c r="G78" s="414"/>
      <c r="H78" s="414"/>
      <c r="I78" s="115"/>
      <c r="J78" s="115"/>
      <c r="K78" s="186"/>
      <c r="L78" s="186"/>
      <c r="M78" s="186"/>
      <c r="N78" s="186"/>
      <c r="O78" s="186"/>
      <c r="P78" s="186"/>
      <c r="Q78" s="187"/>
      <c r="R78" s="177"/>
      <c r="S78" s="177"/>
      <c r="T78" s="186"/>
      <c r="U78" s="139"/>
      <c r="V78" s="154"/>
      <c r="W78" s="170"/>
      <c r="X78" s="405" t="str">
        <f t="shared" si="14"/>
        <v>Buckinghamshire</v>
      </c>
      <c r="Y78" s="406" t="e">
        <f t="shared" si="15"/>
        <v>#N/A</v>
      </c>
      <c r="Z78" s="406" t="e">
        <f t="shared" si="16"/>
        <v>#N/A</v>
      </c>
      <c r="AA78" s="223"/>
      <c r="AB78" s="224"/>
      <c r="AC78" s="224"/>
      <c r="AD78" s="226"/>
      <c r="AE78" s="217"/>
      <c r="AF78" s="217"/>
      <c r="AG78" s="217"/>
      <c r="AH78" s="217"/>
      <c r="AI78" s="232"/>
      <c r="AJ78" s="178"/>
    </row>
    <row r="79" spans="1:48" s="101" customFormat="1" ht="12.75" customHeight="1" x14ac:dyDescent="0.2">
      <c r="A79" s="138"/>
      <c r="B79" s="414"/>
      <c r="C79" s="414"/>
      <c r="D79" s="414"/>
      <c r="E79" s="414"/>
      <c r="F79" s="414"/>
      <c r="G79" s="414"/>
      <c r="H79" s="414"/>
      <c r="I79" s="115"/>
      <c r="J79" s="115"/>
      <c r="K79" s="186"/>
      <c r="L79" s="186"/>
      <c r="M79" s="186"/>
      <c r="N79" s="186"/>
      <c r="O79" s="186"/>
      <c r="P79" s="186"/>
      <c r="Q79" s="187"/>
      <c r="R79" s="177"/>
      <c r="S79" s="177"/>
      <c r="T79" s="186"/>
      <c r="U79" s="139"/>
      <c r="V79" s="154"/>
      <c r="W79" s="170"/>
      <c r="X79" s="405" t="str">
        <f t="shared" si="14"/>
        <v>East Sussex</v>
      </c>
      <c r="Y79" s="406" t="e">
        <f t="shared" si="15"/>
        <v>#N/A</v>
      </c>
      <c r="Z79" s="406" t="e">
        <f t="shared" si="16"/>
        <v>#N/A</v>
      </c>
      <c r="AA79" s="223"/>
      <c r="AB79" s="224"/>
      <c r="AC79" s="224"/>
      <c r="AD79" s="226"/>
      <c r="AE79" s="217"/>
      <c r="AF79" s="217"/>
      <c r="AG79" s="217"/>
      <c r="AH79" s="217"/>
      <c r="AI79" s="232"/>
      <c r="AJ79" s="178"/>
    </row>
    <row r="80" spans="1:48" s="101" customFormat="1" ht="12.75" customHeight="1" x14ac:dyDescent="0.2">
      <c r="A80" s="138"/>
      <c r="B80" s="414"/>
      <c r="C80" s="414"/>
      <c r="D80" s="414"/>
      <c r="E80" s="414"/>
      <c r="F80" s="414"/>
      <c r="G80" s="414"/>
      <c r="H80" s="414"/>
      <c r="I80" s="115"/>
      <c r="J80" s="115"/>
      <c r="K80" s="186"/>
      <c r="L80" s="186"/>
      <c r="M80" s="186"/>
      <c r="N80" s="186"/>
      <c r="O80" s="186"/>
      <c r="P80" s="186"/>
      <c r="Q80" s="187"/>
      <c r="R80" s="177"/>
      <c r="S80" s="177"/>
      <c r="T80" s="186"/>
      <c r="U80" s="139"/>
      <c r="V80" s="154"/>
      <c r="W80" s="170"/>
      <c r="X80" s="405" t="str">
        <f t="shared" si="14"/>
        <v>Hampshire</v>
      </c>
      <c r="Y80" s="406" t="e">
        <f t="shared" si="15"/>
        <v>#N/A</v>
      </c>
      <c r="Z80" s="406" t="e">
        <f t="shared" si="16"/>
        <v>#N/A</v>
      </c>
      <c r="AA80" s="223"/>
      <c r="AB80" s="224"/>
      <c r="AC80" s="224"/>
      <c r="AD80" s="226"/>
      <c r="AE80" s="217"/>
      <c r="AF80" s="217"/>
      <c r="AG80" s="217"/>
      <c r="AH80" s="217"/>
      <c r="AI80" s="232"/>
      <c r="AJ80" s="178"/>
      <c r="AR80" s="101" t="s">
        <v>104</v>
      </c>
    </row>
    <row r="81" spans="1:36" s="101" customFormat="1" ht="12.75" customHeight="1" x14ac:dyDescent="0.2">
      <c r="A81" s="138"/>
      <c r="B81" s="414"/>
      <c r="C81" s="414"/>
      <c r="D81" s="414"/>
      <c r="E81" s="414"/>
      <c r="F81" s="414"/>
      <c r="G81" s="414"/>
      <c r="H81" s="414"/>
      <c r="I81" s="115"/>
      <c r="J81" s="115"/>
      <c r="K81" s="186"/>
      <c r="L81" s="186"/>
      <c r="M81" s="186"/>
      <c r="N81" s="186"/>
      <c r="O81" s="186"/>
      <c r="P81" s="186"/>
      <c r="Q81" s="187"/>
      <c r="R81" s="177"/>
      <c r="S81" s="177"/>
      <c r="T81" s="186"/>
      <c r="U81" s="139"/>
      <c r="V81" s="154"/>
      <c r="W81" s="170"/>
      <c r="X81" s="405" t="str">
        <f t="shared" si="14"/>
        <v>Isle of Wight</v>
      </c>
      <c r="Y81" s="406" t="e">
        <f t="shared" si="15"/>
        <v>#N/A</v>
      </c>
      <c r="Z81" s="406" t="e">
        <f t="shared" si="16"/>
        <v>#N/A</v>
      </c>
      <c r="AA81" s="223"/>
      <c r="AB81" s="224"/>
      <c r="AC81" s="224"/>
      <c r="AD81" s="226"/>
      <c r="AE81" s="217"/>
      <c r="AF81" s="217"/>
      <c r="AG81" s="217"/>
      <c r="AH81" s="217"/>
      <c r="AI81" s="232"/>
      <c r="AJ81" s="178"/>
    </row>
    <row r="82" spans="1:36" s="101" customFormat="1" ht="12.75" customHeight="1" x14ac:dyDescent="0.2">
      <c r="A82" s="138"/>
      <c r="B82" s="414"/>
      <c r="C82" s="414"/>
      <c r="D82" s="414"/>
      <c r="E82" s="414"/>
      <c r="F82" s="414"/>
      <c r="G82" s="414"/>
      <c r="H82" s="414"/>
      <c r="I82" s="115"/>
      <c r="J82" s="115"/>
      <c r="K82" s="186"/>
      <c r="L82" s="186"/>
      <c r="M82" s="186"/>
      <c r="N82" s="186"/>
      <c r="O82" s="186"/>
      <c r="P82" s="186"/>
      <c r="Q82" s="187"/>
      <c r="R82" s="177"/>
      <c r="S82" s="177"/>
      <c r="T82" s="186"/>
      <c r="U82" s="139"/>
      <c r="V82" s="154"/>
      <c r="W82" s="170"/>
      <c r="X82" s="405" t="str">
        <f t="shared" si="14"/>
        <v>Kent</v>
      </c>
      <c r="Y82" s="406" t="e">
        <f t="shared" si="15"/>
        <v>#N/A</v>
      </c>
      <c r="Z82" s="406" t="e">
        <f t="shared" si="16"/>
        <v>#N/A</v>
      </c>
      <c r="AA82" s="223"/>
      <c r="AB82" s="224"/>
      <c r="AC82" s="224"/>
      <c r="AD82" s="226"/>
      <c r="AE82" s="217"/>
      <c r="AF82" s="217"/>
      <c r="AG82" s="217"/>
      <c r="AH82" s="217"/>
      <c r="AI82" s="232"/>
      <c r="AJ82" s="178"/>
    </row>
    <row r="83" spans="1:36" s="101" customFormat="1" ht="12.75" customHeight="1" x14ac:dyDescent="0.2">
      <c r="A83" s="138"/>
      <c r="B83" s="414"/>
      <c r="C83" s="414"/>
      <c r="D83" s="414"/>
      <c r="E83" s="414"/>
      <c r="F83" s="414"/>
      <c r="G83" s="414"/>
      <c r="H83" s="414"/>
      <c r="I83" s="115"/>
      <c r="J83" s="115"/>
      <c r="K83" s="186"/>
      <c r="L83" s="186"/>
      <c r="M83" s="186"/>
      <c r="N83" s="186"/>
      <c r="O83" s="186"/>
      <c r="P83" s="186"/>
      <c r="Q83" s="187"/>
      <c r="R83" s="177"/>
      <c r="S83" s="177"/>
      <c r="T83" s="186"/>
      <c r="U83" s="139"/>
      <c r="V83" s="154"/>
      <c r="W83" s="170"/>
      <c r="X83" s="405" t="str">
        <f t="shared" si="14"/>
        <v>Medway</v>
      </c>
      <c r="Y83" s="406" t="e">
        <f t="shared" si="15"/>
        <v>#N/A</v>
      </c>
      <c r="Z83" s="406" t="e">
        <f t="shared" si="16"/>
        <v>#N/A</v>
      </c>
      <c r="AA83" s="223"/>
      <c r="AB83" s="224"/>
      <c r="AC83" s="224"/>
      <c r="AD83" s="226"/>
      <c r="AE83" s="217"/>
      <c r="AF83" s="217"/>
      <c r="AG83" s="217"/>
      <c r="AH83" s="217"/>
      <c r="AI83" s="232"/>
      <c r="AJ83" s="178"/>
    </row>
    <row r="84" spans="1:36" s="101" customFormat="1" ht="12.75" customHeight="1" x14ac:dyDescent="0.2">
      <c r="A84" s="138"/>
      <c r="B84" s="414"/>
      <c r="C84" s="414"/>
      <c r="D84" s="414"/>
      <c r="E84" s="414"/>
      <c r="F84" s="414"/>
      <c r="G84" s="414"/>
      <c r="H84" s="414"/>
      <c r="I84" s="115"/>
      <c r="J84" s="115"/>
      <c r="K84" s="186"/>
      <c r="L84" s="186"/>
      <c r="M84" s="186"/>
      <c r="N84" s="186"/>
      <c r="O84" s="186"/>
      <c r="P84" s="186"/>
      <c r="Q84" s="187"/>
      <c r="R84" s="177"/>
      <c r="S84" s="177"/>
      <c r="T84" s="186"/>
      <c r="U84" s="139"/>
      <c r="V84" s="154"/>
      <c r="W84" s="170"/>
      <c r="X84" s="405" t="str">
        <f t="shared" si="14"/>
        <v>Milton Keynes</v>
      </c>
      <c r="Y84" s="406" t="e">
        <f t="shared" si="15"/>
        <v>#N/A</v>
      </c>
      <c r="Z84" s="406" t="e">
        <f t="shared" si="16"/>
        <v>#N/A</v>
      </c>
      <c r="AA84" s="223"/>
      <c r="AB84" s="224"/>
      <c r="AC84" s="224"/>
      <c r="AD84" s="226"/>
      <c r="AE84" s="217"/>
      <c r="AF84" s="217"/>
      <c r="AG84" s="217"/>
      <c r="AH84" s="217"/>
      <c r="AI84" s="232"/>
      <c r="AJ84" s="178"/>
    </row>
    <row r="85" spans="1:36" s="101" customFormat="1" ht="12.75" customHeight="1" x14ac:dyDescent="0.2">
      <c r="A85" s="138"/>
      <c r="B85" s="414"/>
      <c r="C85" s="414"/>
      <c r="D85" s="414"/>
      <c r="E85" s="414"/>
      <c r="F85" s="414"/>
      <c r="G85" s="414"/>
      <c r="H85" s="414"/>
      <c r="I85" s="115"/>
      <c r="J85" s="115"/>
      <c r="K85" s="186"/>
      <c r="L85" s="186"/>
      <c r="M85" s="186"/>
      <c r="N85" s="186"/>
      <c r="O85" s="186"/>
      <c r="P85" s="186"/>
      <c r="Q85" s="187"/>
      <c r="R85" s="177"/>
      <c r="S85" s="177"/>
      <c r="T85" s="186"/>
      <c r="U85" s="139"/>
      <c r="V85" s="154"/>
      <c r="W85" s="170"/>
      <c r="X85" s="405" t="str">
        <f t="shared" si="14"/>
        <v>Oxfordshire</v>
      </c>
      <c r="Y85" s="406" t="e">
        <f t="shared" si="15"/>
        <v>#N/A</v>
      </c>
      <c r="Z85" s="406" t="e">
        <f t="shared" si="16"/>
        <v>#N/A</v>
      </c>
      <c r="AA85" s="223"/>
      <c r="AB85" s="224"/>
      <c r="AC85" s="224"/>
      <c r="AD85" s="226"/>
      <c r="AE85" s="217"/>
      <c r="AF85" s="217"/>
      <c r="AG85" s="217"/>
      <c r="AH85" s="217"/>
      <c r="AI85" s="232"/>
      <c r="AJ85" s="178"/>
    </row>
    <row r="86" spans="1:36" s="101" customFormat="1" ht="12.75" customHeight="1" x14ac:dyDescent="0.2">
      <c r="A86" s="138"/>
      <c r="B86" s="414"/>
      <c r="C86" s="414"/>
      <c r="D86" s="414"/>
      <c r="E86" s="414"/>
      <c r="F86" s="414"/>
      <c r="G86" s="414"/>
      <c r="H86" s="414"/>
      <c r="I86" s="115"/>
      <c r="J86" s="115"/>
      <c r="K86" s="186"/>
      <c r="L86" s="186"/>
      <c r="M86" s="186"/>
      <c r="N86" s="186"/>
      <c r="O86" s="186"/>
      <c r="P86" s="186"/>
      <c r="Q86" s="187"/>
      <c r="R86" s="177"/>
      <c r="S86" s="177"/>
      <c r="T86" s="186"/>
      <c r="U86" s="139"/>
      <c r="V86" s="154"/>
      <c r="W86" s="170"/>
      <c r="X86" s="405" t="str">
        <f t="shared" si="14"/>
        <v>Portsmouth</v>
      </c>
      <c r="Y86" s="406" t="e">
        <f t="shared" si="15"/>
        <v>#N/A</v>
      </c>
      <c r="Z86" s="406" t="e">
        <f t="shared" si="16"/>
        <v>#N/A</v>
      </c>
      <c r="AA86" s="223"/>
      <c r="AB86" s="224"/>
      <c r="AC86" s="224"/>
      <c r="AD86" s="226"/>
      <c r="AE86" s="217"/>
      <c r="AF86" s="217"/>
      <c r="AG86" s="217"/>
      <c r="AH86" s="217"/>
      <c r="AI86" s="232"/>
      <c r="AJ86" s="178"/>
    </row>
    <row r="87" spans="1:36" s="101" customFormat="1" ht="12.75" customHeight="1" x14ac:dyDescent="0.2">
      <c r="A87" s="138"/>
      <c r="B87" s="414"/>
      <c r="C87" s="414"/>
      <c r="D87" s="414"/>
      <c r="E87" s="414"/>
      <c r="F87" s="414"/>
      <c r="G87" s="414"/>
      <c r="H87" s="414"/>
      <c r="I87" s="115"/>
      <c r="J87" s="115"/>
      <c r="K87" s="186"/>
      <c r="L87" s="186"/>
      <c r="M87" s="186"/>
      <c r="N87" s="186"/>
      <c r="O87" s="186"/>
      <c r="P87" s="186"/>
      <c r="Q87" s="187"/>
      <c r="R87" s="177"/>
      <c r="S87" s="177"/>
      <c r="T87" s="186"/>
      <c r="U87" s="139"/>
      <c r="V87" s="154"/>
      <c r="W87" s="170"/>
      <c r="X87" s="405" t="str">
        <f t="shared" si="14"/>
        <v>Reading</v>
      </c>
      <c r="Y87" s="406" t="e">
        <f t="shared" si="15"/>
        <v>#N/A</v>
      </c>
      <c r="Z87" s="406" t="e">
        <f t="shared" si="16"/>
        <v>#N/A</v>
      </c>
      <c r="AA87" s="223"/>
      <c r="AB87" s="224"/>
      <c r="AC87" s="224"/>
      <c r="AD87" s="226"/>
      <c r="AE87" s="217"/>
      <c r="AF87" s="217"/>
      <c r="AG87" s="217"/>
      <c r="AH87" s="217"/>
      <c r="AI87" s="232"/>
      <c r="AJ87" s="178"/>
    </row>
    <row r="88" spans="1:36" s="101" customFormat="1" ht="12.75" customHeight="1" x14ac:dyDescent="0.2">
      <c r="A88" s="138"/>
      <c r="B88" s="414"/>
      <c r="C88" s="414"/>
      <c r="D88" s="414"/>
      <c r="E88" s="414"/>
      <c r="F88" s="414"/>
      <c r="G88" s="414"/>
      <c r="H88" s="414"/>
      <c r="I88" s="115"/>
      <c r="J88" s="115"/>
      <c r="K88" s="186"/>
      <c r="L88" s="186"/>
      <c r="M88" s="186"/>
      <c r="N88" s="186"/>
      <c r="O88" s="186"/>
      <c r="P88" s="186"/>
      <c r="Q88" s="187"/>
      <c r="R88" s="177"/>
      <c r="S88" s="177"/>
      <c r="T88" s="186"/>
      <c r="U88" s="139"/>
      <c r="V88" s="154"/>
      <c r="W88" s="170"/>
      <c r="X88" s="405" t="str">
        <f t="shared" si="14"/>
        <v>Slough</v>
      </c>
      <c r="Y88" s="406" t="e">
        <f t="shared" si="15"/>
        <v>#N/A</v>
      </c>
      <c r="Z88" s="406" t="e">
        <f t="shared" si="16"/>
        <v>#N/A</v>
      </c>
      <c r="AA88" s="223"/>
      <c r="AB88" s="224"/>
      <c r="AC88" s="224"/>
      <c r="AD88" s="226"/>
      <c r="AE88" s="217"/>
      <c r="AF88" s="217"/>
      <c r="AG88" s="217"/>
      <c r="AH88" s="217"/>
      <c r="AI88" s="232"/>
      <c r="AJ88" s="178"/>
    </row>
    <row r="89" spans="1:36" s="101" customFormat="1" ht="12.75" customHeight="1" x14ac:dyDescent="0.2">
      <c r="A89" s="138"/>
      <c r="B89" s="414"/>
      <c r="C89" s="414"/>
      <c r="D89" s="414"/>
      <c r="E89" s="414"/>
      <c r="F89" s="414"/>
      <c r="G89" s="414"/>
      <c r="H89" s="414"/>
      <c r="I89" s="115"/>
      <c r="J89" s="115"/>
      <c r="K89" s="186"/>
      <c r="L89" s="186"/>
      <c r="M89" s="186"/>
      <c r="N89" s="186"/>
      <c r="O89" s="186"/>
      <c r="P89" s="186"/>
      <c r="Q89" s="187"/>
      <c r="R89" s="177"/>
      <c r="S89" s="177"/>
      <c r="T89" s="186"/>
      <c r="U89" s="139"/>
      <c r="V89" s="154"/>
      <c r="W89" s="170"/>
      <c r="X89" s="405" t="str">
        <f t="shared" si="14"/>
        <v>Somerset</v>
      </c>
      <c r="Y89" s="406" t="e">
        <f t="shared" si="15"/>
        <v>#N/A</v>
      </c>
      <c r="Z89" s="406" t="e">
        <f t="shared" si="16"/>
        <v>#N/A</v>
      </c>
      <c r="AA89" s="223"/>
      <c r="AB89" s="224"/>
      <c r="AC89" s="224"/>
      <c r="AD89" s="226"/>
      <c r="AE89" s="217"/>
      <c r="AF89" s="217"/>
      <c r="AG89" s="217"/>
      <c r="AH89" s="217"/>
      <c r="AI89" s="232"/>
      <c r="AJ89" s="178"/>
    </row>
    <row r="90" spans="1:36" s="101" customFormat="1" ht="12.75" customHeight="1" x14ac:dyDescent="0.2">
      <c r="A90" s="138"/>
      <c r="B90" s="414"/>
      <c r="C90" s="414"/>
      <c r="D90" s="414"/>
      <c r="E90" s="414"/>
      <c r="F90" s="414"/>
      <c r="G90" s="414"/>
      <c r="H90" s="414"/>
      <c r="I90" s="115"/>
      <c r="J90" s="115"/>
      <c r="K90" s="186"/>
      <c r="L90" s="186"/>
      <c r="M90" s="186"/>
      <c r="N90" s="186"/>
      <c r="O90" s="186"/>
      <c r="P90" s="186"/>
      <c r="Q90" s="187"/>
      <c r="R90" s="177"/>
      <c r="S90" s="177"/>
      <c r="T90" s="186"/>
      <c r="U90" s="139"/>
      <c r="V90" s="154"/>
      <c r="W90" s="170"/>
      <c r="X90" s="405" t="str">
        <f t="shared" si="14"/>
        <v>Southampton</v>
      </c>
      <c r="Y90" s="406" t="e">
        <f t="shared" si="15"/>
        <v>#N/A</v>
      </c>
      <c r="Z90" s="406" t="e">
        <f t="shared" si="16"/>
        <v>#N/A</v>
      </c>
      <c r="AA90" s="223"/>
      <c r="AB90" s="224"/>
      <c r="AC90" s="224"/>
      <c r="AD90" s="226"/>
      <c r="AE90" s="217"/>
      <c r="AF90" s="217"/>
      <c r="AG90" s="217"/>
      <c r="AH90" s="217"/>
      <c r="AI90" s="232"/>
      <c r="AJ90" s="178"/>
    </row>
    <row r="91" spans="1:36" s="101" customFormat="1" ht="12.75" customHeight="1" x14ac:dyDescent="0.2">
      <c r="A91" s="324"/>
      <c r="B91" s="414"/>
      <c r="C91" s="414"/>
      <c r="D91" s="414"/>
      <c r="E91" s="414"/>
      <c r="F91" s="414"/>
      <c r="G91" s="414"/>
      <c r="H91" s="414"/>
      <c r="I91" s="115"/>
      <c r="J91" s="115"/>
      <c r="K91" s="186"/>
      <c r="L91" s="186"/>
      <c r="M91" s="186"/>
      <c r="N91" s="186"/>
      <c r="O91" s="186"/>
      <c r="P91" s="186"/>
      <c r="Q91" s="187"/>
      <c r="R91" s="177"/>
      <c r="S91" s="177"/>
      <c r="T91" s="186"/>
      <c r="U91" s="139"/>
      <c r="V91" s="154"/>
      <c r="W91" s="170"/>
      <c r="X91" s="405" t="str">
        <f t="shared" si="14"/>
        <v>Surrey</v>
      </c>
      <c r="Y91" s="406" t="e">
        <f t="shared" si="15"/>
        <v>#N/A</v>
      </c>
      <c r="Z91" s="406" t="e">
        <f t="shared" si="16"/>
        <v>#N/A</v>
      </c>
      <c r="AA91" s="223"/>
      <c r="AB91" s="224"/>
      <c r="AC91" s="224"/>
      <c r="AD91" s="226"/>
      <c r="AE91" s="217"/>
      <c r="AF91" s="217"/>
      <c r="AG91" s="217"/>
      <c r="AH91" s="217"/>
      <c r="AI91" s="232"/>
      <c r="AJ91" s="178"/>
    </row>
    <row r="92" spans="1:36" s="101" customFormat="1" ht="12.75" customHeight="1" x14ac:dyDescent="0.2">
      <c r="A92" s="324"/>
      <c r="B92" s="414"/>
      <c r="C92" s="414"/>
      <c r="D92" s="414"/>
      <c r="E92" s="414"/>
      <c r="F92" s="414"/>
      <c r="G92" s="414"/>
      <c r="H92" s="414"/>
      <c r="I92" s="115"/>
      <c r="J92" s="115"/>
      <c r="K92" s="186"/>
      <c r="L92" s="186"/>
      <c r="M92" s="186"/>
      <c r="N92" s="186"/>
      <c r="O92" s="186"/>
      <c r="P92" s="186"/>
      <c r="Q92" s="187"/>
      <c r="R92" s="177"/>
      <c r="S92" s="177"/>
      <c r="T92" s="186"/>
      <c r="U92" s="139"/>
      <c r="V92" s="154"/>
      <c r="W92" s="170"/>
      <c r="X92" s="405" t="str">
        <f t="shared" si="14"/>
        <v>Swindon</v>
      </c>
      <c r="Y92" s="406" t="e">
        <f t="shared" si="15"/>
        <v>#N/A</v>
      </c>
      <c r="Z92" s="406" t="e">
        <f t="shared" si="16"/>
        <v>#N/A</v>
      </c>
      <c r="AA92" s="223"/>
      <c r="AB92" s="224"/>
      <c r="AC92" s="224"/>
      <c r="AD92" s="226"/>
      <c r="AE92" s="217"/>
      <c r="AF92" s="217"/>
      <c r="AG92" s="217"/>
      <c r="AH92" s="217"/>
      <c r="AI92" s="232"/>
      <c r="AJ92" s="178"/>
    </row>
    <row r="93" spans="1:36" s="101" customFormat="1" ht="12.75" customHeight="1" x14ac:dyDescent="0.2">
      <c r="A93" s="138"/>
      <c r="B93" s="414"/>
      <c r="C93" s="414"/>
      <c r="D93" s="414"/>
      <c r="E93" s="414"/>
      <c r="F93" s="414"/>
      <c r="G93" s="414"/>
      <c r="H93" s="414"/>
      <c r="I93" s="115"/>
      <c r="J93" s="115"/>
      <c r="K93" s="186"/>
      <c r="L93" s="186"/>
      <c r="M93" s="186"/>
      <c r="N93" s="186"/>
      <c r="O93" s="186"/>
      <c r="P93" s="186"/>
      <c r="Q93" s="187"/>
      <c r="R93" s="177"/>
      <c r="S93" s="177"/>
      <c r="T93" s="186"/>
      <c r="U93" s="139"/>
      <c r="V93" s="154"/>
      <c r="W93" s="170"/>
      <c r="X93" s="405" t="str">
        <f t="shared" si="14"/>
        <v>Torbay</v>
      </c>
      <c r="Y93" s="406" t="e">
        <f t="shared" si="15"/>
        <v>#N/A</v>
      </c>
      <c r="Z93" s="406" t="e">
        <f t="shared" si="16"/>
        <v>#N/A</v>
      </c>
      <c r="AA93" s="223"/>
      <c r="AB93" s="224"/>
      <c r="AC93" s="224"/>
      <c r="AD93" s="226"/>
      <c r="AE93" s="232"/>
      <c r="AF93" s="217"/>
      <c r="AG93" s="217"/>
      <c r="AH93" s="217"/>
      <c r="AI93" s="232"/>
      <c r="AJ93" s="178"/>
    </row>
    <row r="94" spans="1:36" s="101" customFormat="1" ht="12.75" customHeight="1" x14ac:dyDescent="0.2">
      <c r="A94" s="138"/>
      <c r="B94" s="414"/>
      <c r="C94" s="414"/>
      <c r="D94" s="414"/>
      <c r="E94" s="414"/>
      <c r="F94" s="414"/>
      <c r="G94" s="414"/>
      <c r="H94" s="414"/>
      <c r="I94" s="115"/>
      <c r="J94" s="115"/>
      <c r="K94" s="186"/>
      <c r="L94" s="186"/>
      <c r="M94" s="186"/>
      <c r="N94" s="186"/>
      <c r="O94" s="186"/>
      <c r="P94" s="186"/>
      <c r="Q94" s="187"/>
      <c r="R94" s="177"/>
      <c r="S94" s="177"/>
      <c r="T94" s="186"/>
      <c r="U94" s="139"/>
      <c r="V94" s="154"/>
      <c r="W94" s="170"/>
      <c r="X94" s="405" t="str">
        <f t="shared" si="14"/>
        <v>West Berkshire</v>
      </c>
      <c r="Y94" s="406" t="e">
        <f>IF(X94=$Y$4,I27,#N/A)</f>
        <v>#N/A</v>
      </c>
      <c r="Z94" s="406" t="e">
        <f t="shared" si="16"/>
        <v>#N/A</v>
      </c>
      <c r="AA94" s="223"/>
      <c r="AB94" s="224"/>
      <c r="AC94" s="224"/>
      <c r="AD94" s="226"/>
      <c r="AE94" s="232"/>
      <c r="AF94" s="217"/>
      <c r="AG94" s="217"/>
      <c r="AH94" s="217"/>
      <c r="AI94" s="232"/>
      <c r="AJ94" s="178"/>
    </row>
    <row r="95" spans="1:36" s="101" customFormat="1" ht="12.75" customHeight="1" x14ac:dyDescent="0.2">
      <c r="A95" s="138"/>
      <c r="B95" s="414"/>
      <c r="C95" s="414"/>
      <c r="D95" s="414"/>
      <c r="E95" s="414"/>
      <c r="F95" s="414"/>
      <c r="G95" s="414"/>
      <c r="H95" s="414"/>
      <c r="I95" s="115"/>
      <c r="J95" s="115"/>
      <c r="K95" s="186"/>
      <c r="L95" s="186"/>
      <c r="M95" s="186"/>
      <c r="N95" s="186"/>
      <c r="O95" s="186"/>
      <c r="P95" s="186"/>
      <c r="Q95" s="187"/>
      <c r="R95" s="177"/>
      <c r="S95" s="177"/>
      <c r="T95" s="186"/>
      <c r="U95" s="139"/>
      <c r="V95" s="154"/>
      <c r="W95" s="170"/>
      <c r="X95" s="405" t="str">
        <f t="shared" si="14"/>
        <v>West Sussex</v>
      </c>
      <c r="Y95" s="406" t="e">
        <f t="shared" si="15"/>
        <v>#N/A</v>
      </c>
      <c r="Z95" s="406" t="e">
        <f t="shared" si="16"/>
        <v>#N/A</v>
      </c>
      <c r="AA95" s="223"/>
      <c r="AB95" s="224"/>
      <c r="AC95" s="224"/>
      <c r="AD95" s="226"/>
      <c r="AE95" s="232"/>
      <c r="AF95" s="232"/>
      <c r="AG95" s="232"/>
      <c r="AH95" s="217"/>
      <c r="AI95" s="232"/>
      <c r="AJ95" s="178"/>
    </row>
    <row r="96" spans="1:36" s="101" customFormat="1" ht="12.75" customHeight="1" x14ac:dyDescent="0.2">
      <c r="A96" s="138"/>
      <c r="B96" s="414"/>
      <c r="C96" s="414"/>
      <c r="D96" s="414"/>
      <c r="E96" s="414"/>
      <c r="F96" s="414"/>
      <c r="G96" s="414"/>
      <c r="H96" s="414"/>
      <c r="I96" s="115"/>
      <c r="J96" s="115"/>
      <c r="K96" s="186"/>
      <c r="L96" s="186"/>
      <c r="M96" s="186"/>
      <c r="N96" s="186"/>
      <c r="O96" s="186"/>
      <c r="P96" s="186"/>
      <c r="Q96" s="187"/>
      <c r="R96" s="177"/>
      <c r="S96" s="177"/>
      <c r="T96" s="186"/>
      <c r="U96" s="139"/>
      <c r="V96" s="154"/>
      <c r="W96" s="170"/>
      <c r="X96" s="405" t="str">
        <f t="shared" si="14"/>
        <v>Windsor &amp; Maidenhead</v>
      </c>
      <c r="Y96" s="406" t="e">
        <f t="shared" si="15"/>
        <v>#N/A</v>
      </c>
      <c r="Z96" s="406" t="e">
        <f t="shared" si="16"/>
        <v>#N/A</v>
      </c>
      <c r="AA96" s="223"/>
      <c r="AB96" s="224"/>
      <c r="AC96" s="224"/>
      <c r="AD96" s="226"/>
      <c r="AE96" s="232"/>
      <c r="AF96" s="232"/>
      <c r="AG96" s="232"/>
      <c r="AH96" s="217"/>
      <c r="AI96" s="232"/>
      <c r="AJ96" s="178"/>
    </row>
    <row r="97" spans="1:45" s="101" customFormat="1" ht="12.75" customHeight="1" x14ac:dyDescent="0.2">
      <c r="A97" s="138"/>
      <c r="B97" s="414"/>
      <c r="C97" s="414"/>
      <c r="D97" s="414"/>
      <c r="E97" s="414"/>
      <c r="F97" s="414"/>
      <c r="G97" s="414"/>
      <c r="H97" s="414"/>
      <c r="I97" s="115"/>
      <c r="J97" s="115"/>
      <c r="K97" s="188"/>
      <c r="L97" s="188"/>
      <c r="M97" s="188"/>
      <c r="N97" s="188"/>
      <c r="O97" s="188"/>
      <c r="P97" s="188"/>
      <c r="Q97" s="189"/>
      <c r="R97" s="177"/>
      <c r="S97" s="177"/>
      <c r="T97" s="190"/>
      <c r="U97" s="139"/>
      <c r="V97" s="154"/>
      <c r="W97" s="170"/>
      <c r="X97" s="405" t="str">
        <f t="shared" si="14"/>
        <v>Wokingham</v>
      </c>
      <c r="Y97" s="406" t="e">
        <f t="shared" si="15"/>
        <v>#N/A</v>
      </c>
      <c r="Z97" s="406" t="e">
        <f t="shared" si="16"/>
        <v>#N/A</v>
      </c>
      <c r="AA97" s="223"/>
      <c r="AB97" s="224"/>
      <c r="AC97" s="224"/>
      <c r="AD97" s="226"/>
      <c r="AE97" s="232"/>
      <c r="AF97" s="232"/>
      <c r="AG97" s="232"/>
      <c r="AH97" s="217"/>
      <c r="AI97" s="232"/>
      <c r="AJ97" s="178"/>
    </row>
    <row r="98" spans="1:45" s="101" customFormat="1" ht="12.75" customHeight="1" x14ac:dyDescent="0.2">
      <c r="A98" s="138"/>
      <c r="B98" s="414"/>
      <c r="C98" s="414"/>
      <c r="D98" s="414"/>
      <c r="E98" s="414"/>
      <c r="F98" s="414"/>
      <c r="G98" s="414"/>
      <c r="H98" s="414"/>
      <c r="I98" s="115"/>
      <c r="J98" s="115"/>
      <c r="K98" s="188"/>
      <c r="L98" s="188"/>
      <c r="M98" s="188"/>
      <c r="N98" s="188"/>
      <c r="O98" s="188"/>
      <c r="P98" s="188"/>
      <c r="Q98" s="189"/>
      <c r="R98" s="177"/>
      <c r="S98" s="177"/>
      <c r="T98" s="190"/>
      <c r="U98" s="139"/>
      <c r="V98" s="154"/>
      <c r="W98" s="170"/>
      <c r="X98" s="405" t="str">
        <f>B31</f>
        <v>South East</v>
      </c>
      <c r="Y98" s="406" t="e">
        <f t="shared" si="15"/>
        <v>#N/A</v>
      </c>
      <c r="Z98" s="406" t="e">
        <f t="shared" si="16"/>
        <v>#N/A</v>
      </c>
      <c r="AA98" s="223"/>
      <c r="AB98" s="224"/>
      <c r="AC98" s="224"/>
      <c r="AD98" s="226"/>
      <c r="AE98" s="232"/>
      <c r="AF98" s="232"/>
      <c r="AG98" s="232"/>
      <c r="AH98" s="217"/>
      <c r="AI98" s="232"/>
      <c r="AJ98" s="178"/>
    </row>
    <row r="99" spans="1:45" s="101" customFormat="1" ht="11.25" customHeight="1" x14ac:dyDescent="0.2">
      <c r="A99" s="324"/>
      <c r="B99" s="414"/>
      <c r="C99" s="414"/>
      <c r="D99" s="414"/>
      <c r="E99" s="414"/>
      <c r="F99" s="414"/>
      <c r="G99" s="414"/>
      <c r="H99" s="414"/>
      <c r="I99" s="115"/>
      <c r="J99" s="115"/>
      <c r="K99" s="188"/>
      <c r="L99" s="188"/>
      <c r="M99" s="188"/>
      <c r="N99" s="188"/>
      <c r="O99" s="188"/>
      <c r="P99" s="188"/>
      <c r="Q99" s="189"/>
      <c r="R99" s="177"/>
      <c r="S99" s="177"/>
      <c r="T99" s="190"/>
      <c r="U99" s="139"/>
      <c r="V99" s="154"/>
      <c r="W99" s="170"/>
      <c r="X99" s="405" t="str">
        <f>B32</f>
        <v>England</v>
      </c>
      <c r="Y99" s="406" t="e">
        <f t="shared" si="15"/>
        <v>#N/A</v>
      </c>
      <c r="Z99" s="406" t="e">
        <f t="shared" si="16"/>
        <v>#N/A</v>
      </c>
      <c r="AA99" s="223"/>
      <c r="AB99" s="224"/>
      <c r="AC99" s="224"/>
      <c r="AD99" s="226"/>
      <c r="AE99" s="232"/>
      <c r="AF99" s="232"/>
      <c r="AG99" s="232"/>
      <c r="AH99" s="217"/>
      <c r="AI99" s="232"/>
      <c r="AJ99" s="178"/>
    </row>
    <row r="100" spans="1:45" s="88" customFormat="1" ht="42" customHeight="1" x14ac:dyDescent="0.2">
      <c r="A100" s="249"/>
      <c r="B100" s="414"/>
      <c r="C100" s="414"/>
      <c r="D100" s="414"/>
      <c r="E100" s="414"/>
      <c r="F100" s="414"/>
      <c r="G100" s="414"/>
      <c r="H100" s="414"/>
      <c r="I100" s="421"/>
      <c r="J100" s="192"/>
      <c r="K100" s="192"/>
      <c r="L100" s="192"/>
      <c r="M100" s="192"/>
      <c r="N100" s="192"/>
      <c r="O100" s="192"/>
      <c r="P100" s="192"/>
      <c r="Q100" s="151"/>
      <c r="R100" s="192"/>
      <c r="S100" s="192"/>
      <c r="T100" s="192"/>
      <c r="U100" s="134"/>
      <c r="V100" s="152"/>
      <c r="W100" s="168"/>
      <c r="AC100" s="224"/>
      <c r="AD100" s="226"/>
      <c r="AE100" s="210"/>
      <c r="AF100" s="210"/>
      <c r="AG100" s="210"/>
      <c r="AI100" s="210"/>
      <c r="AJ100" s="179"/>
    </row>
    <row r="101" spans="1:45" s="88" customFormat="1" ht="42" customHeight="1" x14ac:dyDescent="0.2">
      <c r="A101" s="249"/>
      <c r="B101" s="414"/>
      <c r="C101" s="414"/>
      <c r="D101" s="414"/>
      <c r="E101" s="414"/>
      <c r="F101" s="414"/>
      <c r="G101" s="414"/>
      <c r="H101" s="414"/>
      <c r="I101" s="421"/>
      <c r="J101" s="192"/>
      <c r="K101" s="192"/>
      <c r="L101" s="192"/>
      <c r="M101" s="192"/>
      <c r="N101" s="192"/>
      <c r="O101" s="192"/>
      <c r="P101" s="192"/>
      <c r="Q101" s="151"/>
      <c r="R101" s="192"/>
      <c r="S101" s="192"/>
      <c r="T101" s="192"/>
      <c r="U101" s="134"/>
      <c r="V101" s="152"/>
      <c r="W101" s="168"/>
      <c r="Y101" s="217"/>
      <c r="AD101" s="226"/>
      <c r="AE101" s="210"/>
      <c r="AF101" s="210"/>
      <c r="AG101" s="210"/>
      <c r="AI101" s="210"/>
      <c r="AJ101" s="179"/>
    </row>
    <row r="102" spans="1:45" s="88" customFormat="1" ht="33" customHeight="1" x14ac:dyDescent="0.2">
      <c r="A102" s="249"/>
      <c r="B102" s="421"/>
      <c r="C102" s="421"/>
      <c r="D102" s="421"/>
      <c r="E102" s="421"/>
      <c r="F102" s="421"/>
      <c r="G102" s="421"/>
      <c r="H102" s="421"/>
      <c r="I102" s="421"/>
      <c r="J102" s="192"/>
      <c r="K102" s="192"/>
      <c r="L102" s="192"/>
      <c r="M102" s="192"/>
      <c r="N102" s="192"/>
      <c r="O102" s="192"/>
      <c r="P102" s="192"/>
      <c r="Q102" s="151"/>
      <c r="R102" s="192"/>
      <c r="S102" s="192"/>
      <c r="T102" s="192"/>
      <c r="U102" s="134"/>
      <c r="V102" s="152"/>
      <c r="W102" s="168"/>
      <c r="Y102" s="217"/>
      <c r="AD102" s="226"/>
      <c r="AE102" s="210"/>
      <c r="AF102" s="210"/>
      <c r="AG102" s="210"/>
      <c r="AI102" s="210"/>
      <c r="AJ102" s="179"/>
    </row>
    <row r="103" spans="1:45" s="88" customFormat="1" ht="7.5" customHeight="1" x14ac:dyDescent="0.2">
      <c r="A103" s="135"/>
      <c r="B103" s="18"/>
      <c r="C103" s="18"/>
      <c r="D103" s="17"/>
      <c r="E103" s="17"/>
      <c r="F103" s="17"/>
      <c r="G103" s="17"/>
      <c r="H103" s="17"/>
      <c r="I103" s="17"/>
      <c r="J103" s="13"/>
      <c r="K103" s="19"/>
      <c r="L103" s="19"/>
      <c r="M103" s="19"/>
      <c r="N103" s="19"/>
      <c r="O103" s="19"/>
      <c r="P103" s="19"/>
      <c r="Q103" s="19"/>
      <c r="R103" s="19"/>
      <c r="S103" s="19"/>
      <c r="T103" s="20"/>
      <c r="U103" s="134"/>
      <c r="V103" s="152"/>
      <c r="W103" s="168"/>
      <c r="Y103" s="217"/>
      <c r="AI103" s="210"/>
      <c r="AJ103" s="175"/>
      <c r="AK103" s="80"/>
      <c r="AL103" s="80"/>
      <c r="AM103" s="80"/>
      <c r="AN103" s="80"/>
      <c r="AO103" s="80"/>
      <c r="AP103" s="80"/>
      <c r="AQ103" s="80"/>
    </row>
    <row r="104" spans="1:45" s="88" customFormat="1" ht="15" customHeight="1" x14ac:dyDescent="0.2">
      <c r="A104" s="1010"/>
      <c r="B104" s="1018"/>
      <c r="C104" s="1018"/>
      <c r="D104" s="1018"/>
      <c r="E104" s="1018"/>
      <c r="F104" s="1018"/>
      <c r="G104" s="1018"/>
      <c r="H104" s="1018"/>
      <c r="I104" s="1018"/>
      <c r="J104" s="1018"/>
      <c r="K104" s="1018"/>
      <c r="L104" s="1018"/>
      <c r="M104" s="1018"/>
      <c r="N104" s="1018"/>
      <c r="O104" s="1018"/>
      <c r="P104" s="1018"/>
      <c r="Q104" s="1018"/>
      <c r="R104" s="1018"/>
      <c r="S104" s="1018"/>
      <c r="T104" s="1018"/>
      <c r="U104" s="1019"/>
      <c r="V104" s="152"/>
      <c r="W104" s="168"/>
      <c r="X104" s="215"/>
      <c r="Y104" s="215"/>
      <c r="AJ104" s="179"/>
      <c r="AS104" s="80"/>
    </row>
    <row r="105" spans="1:45" s="88" customFormat="1" ht="11.25" customHeight="1" x14ac:dyDescent="0.2">
      <c r="A105" s="1020" t="str">
        <f>Home!$A$35</f>
        <v>LA's provide quarterly data on the condition that it is used by the benchmarking group for internal reporting only. Please DO NOT share other LA's data with any external partners or the public</v>
      </c>
      <c r="B105" s="1021"/>
      <c r="C105" s="1021"/>
      <c r="D105" s="1021"/>
      <c r="E105" s="1021"/>
      <c r="F105" s="1021"/>
      <c r="G105" s="1021"/>
      <c r="H105" s="1021"/>
      <c r="I105" s="1022"/>
      <c r="J105" s="1021"/>
      <c r="K105" s="1021"/>
      <c r="L105" s="1021"/>
      <c r="M105" s="1021"/>
      <c r="N105" s="1021"/>
      <c r="O105" s="1021"/>
      <c r="P105" s="1021"/>
      <c r="Q105" s="1021"/>
      <c r="R105" s="1021"/>
      <c r="S105" s="1022"/>
      <c r="T105" s="1021"/>
      <c r="U105" s="1023"/>
      <c r="V105" s="152"/>
      <c r="W105" s="168"/>
      <c r="X105" s="215"/>
      <c r="Y105" s="215"/>
      <c r="AI105" s="210"/>
      <c r="AJ105" s="178"/>
      <c r="AK105" s="101"/>
      <c r="AS105" s="80"/>
    </row>
    <row r="106" spans="1:45" ht="11.25" customHeight="1" x14ac:dyDescent="0.2">
      <c r="A106" s="157"/>
      <c r="B106" s="130"/>
      <c r="C106" s="130"/>
      <c r="D106" s="130"/>
      <c r="E106" s="130"/>
      <c r="F106" s="130"/>
      <c r="G106" s="130"/>
      <c r="H106" s="130"/>
      <c r="I106" s="130"/>
      <c r="J106" s="131"/>
      <c r="K106" s="130"/>
      <c r="L106" s="130"/>
      <c r="M106" s="130"/>
      <c r="N106" s="130"/>
      <c r="O106" s="130"/>
      <c r="P106" s="130"/>
      <c r="Q106" s="130"/>
      <c r="R106" s="130"/>
      <c r="S106" s="130"/>
      <c r="T106" s="130"/>
      <c r="U106" s="130"/>
      <c r="V106" s="152"/>
      <c r="W106" s="168"/>
      <c r="AE106" s="89"/>
      <c r="AH106" s="210"/>
      <c r="AI106" s="210"/>
      <c r="AJ106" s="175"/>
      <c r="AL106" s="88"/>
      <c r="AM106" s="88"/>
      <c r="AN106" s="88"/>
      <c r="AO106" s="88"/>
      <c r="AP106" s="88"/>
      <c r="AQ106" s="88"/>
    </row>
    <row r="107" spans="1:45" ht="11.25" customHeight="1" x14ac:dyDescent="0.2">
      <c r="A107" s="158"/>
      <c r="B107" s="9"/>
      <c r="C107" s="9"/>
      <c r="D107" s="9"/>
      <c r="E107" s="9"/>
      <c r="F107" s="9"/>
      <c r="G107" s="9"/>
      <c r="H107" s="9"/>
      <c r="I107" s="9"/>
      <c r="J107" s="13"/>
      <c r="K107" s="9"/>
      <c r="L107" s="9"/>
      <c r="M107" s="9"/>
      <c r="N107" s="9"/>
      <c r="O107" s="9"/>
      <c r="P107" s="9"/>
      <c r="Q107" s="9"/>
      <c r="R107" s="9"/>
      <c r="S107" s="9"/>
      <c r="T107" s="9"/>
      <c r="U107" s="9"/>
      <c r="V107" s="152"/>
      <c r="W107" s="168"/>
      <c r="AE107" s="89"/>
      <c r="AH107" s="210"/>
      <c r="AI107" s="210"/>
      <c r="AJ107" s="175"/>
      <c r="AL107" s="88"/>
      <c r="AM107" s="88"/>
      <c r="AN107" s="88"/>
      <c r="AO107" s="88"/>
      <c r="AP107" s="88"/>
      <c r="AQ107" s="88"/>
    </row>
    <row r="108" spans="1:45" ht="11.25" customHeight="1" x14ac:dyDescent="0.2">
      <c r="A108" s="158"/>
      <c r="B108" s="1006" t="s">
        <v>82</v>
      </c>
      <c r="C108" s="411"/>
      <c r="D108" s="15"/>
      <c r="E108" s="15"/>
      <c r="F108" s="9"/>
      <c r="G108" s="9"/>
      <c r="H108" s="9"/>
      <c r="I108" s="9"/>
      <c r="J108" s="13"/>
      <c r="K108" s="9"/>
      <c r="L108" s="9"/>
      <c r="M108" s="9"/>
      <c r="N108" s="9"/>
      <c r="O108" s="9"/>
      <c r="P108" s="9"/>
      <c r="Q108" s="9"/>
      <c r="R108" s="9"/>
      <c r="S108" s="9"/>
      <c r="T108" s="9"/>
      <c r="U108" s="9"/>
      <c r="V108" s="152"/>
      <c r="W108" s="168"/>
      <c r="AE108" s="89"/>
      <c r="AH108" s="210"/>
      <c r="AI108" s="210"/>
      <c r="AJ108" s="175"/>
      <c r="AL108" s="88"/>
      <c r="AM108" s="88"/>
      <c r="AN108" s="88"/>
      <c r="AO108" s="88"/>
      <c r="AP108" s="88"/>
      <c r="AQ108" s="88"/>
    </row>
    <row r="109" spans="1:45" ht="11.25" customHeight="1" x14ac:dyDescent="0.2">
      <c r="A109" s="158"/>
      <c r="B109" s="1007"/>
      <c r="C109" s="410"/>
      <c r="D109" s="9"/>
      <c r="E109" s="9"/>
      <c r="F109" s="9"/>
      <c r="G109" s="9"/>
      <c r="H109" s="9"/>
      <c r="I109" s="9"/>
      <c r="J109" s="13"/>
      <c r="K109" s="9"/>
      <c r="L109" s="9"/>
      <c r="M109" s="9"/>
      <c r="N109" s="9"/>
      <c r="O109" s="9"/>
      <c r="P109" s="9"/>
      <c r="Q109" s="9"/>
      <c r="R109" s="9"/>
      <c r="S109" s="9"/>
      <c r="T109" s="9"/>
      <c r="U109" s="9"/>
      <c r="V109" s="152"/>
      <c r="W109" s="168"/>
      <c r="AE109" s="89"/>
      <c r="AH109" s="210"/>
      <c r="AI109" s="210"/>
      <c r="AJ109" s="175"/>
    </row>
    <row r="110" spans="1:45" ht="11.25" customHeight="1" x14ac:dyDescent="0.2">
      <c r="A110" s="158"/>
      <c r="B110" s="973" t="s">
        <v>81</v>
      </c>
      <c r="C110" s="974"/>
      <c r="D110" s="974"/>
      <c r="E110" s="974"/>
      <c r="F110" s="974"/>
      <c r="G110" s="974"/>
      <c r="H110" s="9"/>
      <c r="I110" s="9"/>
      <c r="J110" s="13"/>
      <c r="K110" s="9"/>
      <c r="L110" s="9"/>
      <c r="M110" s="9"/>
      <c r="N110" s="9"/>
      <c r="O110" s="9"/>
      <c r="P110" s="9"/>
      <c r="Q110" s="9"/>
      <c r="R110" s="9"/>
      <c r="S110" s="9"/>
      <c r="T110" s="9"/>
      <c r="U110" s="9"/>
      <c r="V110" s="152"/>
      <c r="W110" s="168"/>
      <c r="AE110" s="89"/>
      <c r="AH110" s="210"/>
      <c r="AI110" s="210"/>
      <c r="AJ110" s="175"/>
    </row>
    <row r="111" spans="1:45" ht="11.25" customHeight="1" x14ac:dyDescent="0.2">
      <c r="A111" s="158"/>
      <c r="B111" s="973"/>
      <c r="C111" s="974"/>
      <c r="D111" s="974"/>
      <c r="E111" s="974"/>
      <c r="F111" s="974"/>
      <c r="G111" s="974"/>
      <c r="H111" s="9"/>
      <c r="I111" s="9"/>
      <c r="J111" s="13"/>
      <c r="K111" s="9"/>
      <c r="L111" s="9"/>
      <c r="M111" s="9"/>
      <c r="N111" s="9"/>
      <c r="O111" s="9"/>
      <c r="P111" s="9"/>
      <c r="Q111" s="9"/>
      <c r="R111" s="9"/>
      <c r="S111" s="9"/>
      <c r="T111" s="9"/>
      <c r="U111" s="9"/>
      <c r="V111" s="152"/>
      <c r="W111" s="168"/>
      <c r="AE111" s="89"/>
      <c r="AH111" s="215"/>
      <c r="AI111" s="215"/>
      <c r="AJ111" s="176"/>
    </row>
    <row r="112" spans="1:45" s="82" customFormat="1" ht="11.25" customHeight="1" x14ac:dyDescent="0.2">
      <c r="A112" s="158"/>
      <c r="B112" s="973" t="s">
        <v>78</v>
      </c>
      <c r="C112" s="975"/>
      <c r="D112" s="975"/>
      <c r="E112" s="975"/>
      <c r="F112" s="975"/>
      <c r="G112" s="975"/>
      <c r="H112" s="15"/>
      <c r="I112" s="15"/>
      <c r="J112" s="15"/>
      <c r="K112" s="15"/>
      <c r="L112" s="15"/>
      <c r="M112" s="15"/>
      <c r="N112" s="15"/>
      <c r="O112" s="15"/>
      <c r="P112" s="15"/>
      <c r="Q112" s="15"/>
      <c r="R112" s="15"/>
      <c r="S112" s="15"/>
      <c r="T112" s="15"/>
      <c r="U112" s="15"/>
      <c r="V112" s="155"/>
      <c r="W112" s="172"/>
      <c r="X112" s="88"/>
      <c r="Y112" s="88"/>
      <c r="Z112" s="88"/>
      <c r="AA112" s="88"/>
      <c r="AB112" s="88"/>
      <c r="AC112" s="88"/>
      <c r="AD112" s="88"/>
      <c r="AE112" s="89"/>
      <c r="AF112" s="88"/>
      <c r="AG112" s="88"/>
      <c r="AH112" s="210"/>
      <c r="AI112" s="210"/>
      <c r="AJ112" s="175"/>
    </row>
    <row r="113" spans="1:37" ht="11.25" customHeight="1" x14ac:dyDescent="0.2">
      <c r="A113" s="158"/>
      <c r="B113" s="973"/>
      <c r="C113" s="975"/>
      <c r="D113" s="975"/>
      <c r="E113" s="975"/>
      <c r="F113" s="975"/>
      <c r="G113" s="975"/>
      <c r="H113" s="9"/>
      <c r="I113" s="9"/>
      <c r="J113" s="13"/>
      <c r="K113" s="9"/>
      <c r="L113" s="9"/>
      <c r="M113" s="9"/>
      <c r="N113" s="9"/>
      <c r="O113" s="9"/>
      <c r="P113" s="9"/>
      <c r="Q113" s="9"/>
      <c r="R113" s="9"/>
      <c r="S113" s="9"/>
      <c r="T113" s="9"/>
      <c r="U113" s="9"/>
      <c r="V113" s="152"/>
      <c r="W113" s="168"/>
      <c r="AE113" s="89"/>
      <c r="AH113" s="210"/>
      <c r="AI113" s="210"/>
      <c r="AJ113" s="175"/>
    </row>
    <row r="114" spans="1:37" ht="11.25" customHeight="1" x14ac:dyDescent="0.2">
      <c r="A114" s="158"/>
      <c r="B114" s="976" t="s">
        <v>18</v>
      </c>
      <c r="C114" s="977"/>
      <c r="D114" s="977"/>
      <c r="E114" s="977"/>
      <c r="F114" s="977"/>
      <c r="G114" s="977"/>
      <c r="H114" s="9"/>
      <c r="I114" s="9"/>
      <c r="J114" s="13"/>
      <c r="K114" s="9"/>
      <c r="L114" s="9"/>
      <c r="M114" s="9"/>
      <c r="N114" s="9"/>
      <c r="O114" s="9"/>
      <c r="P114" s="9"/>
      <c r="Q114" s="9"/>
      <c r="R114" s="9"/>
      <c r="S114" s="9"/>
      <c r="T114" s="9"/>
      <c r="U114" s="9"/>
      <c r="V114" s="152"/>
      <c r="W114" s="168"/>
      <c r="AE114" s="89"/>
      <c r="AH114" s="210"/>
      <c r="AI114" s="210"/>
      <c r="AJ114" s="175"/>
    </row>
    <row r="115" spans="1:37" ht="11.25" customHeight="1" x14ac:dyDescent="0.2">
      <c r="A115" s="158"/>
      <c r="B115" s="976"/>
      <c r="C115" s="977"/>
      <c r="D115" s="977"/>
      <c r="E115" s="977"/>
      <c r="F115" s="977"/>
      <c r="G115" s="977"/>
      <c r="H115" s="9"/>
      <c r="I115" s="9"/>
      <c r="J115" s="13"/>
      <c r="K115" s="9"/>
      <c r="L115" s="9"/>
      <c r="M115" s="9"/>
      <c r="N115" s="9"/>
      <c r="O115" s="9"/>
      <c r="P115" s="9"/>
      <c r="Q115" s="9"/>
      <c r="R115" s="9"/>
      <c r="S115" s="9"/>
      <c r="T115" s="9"/>
      <c r="U115" s="9"/>
      <c r="V115" s="152"/>
      <c r="W115" s="168"/>
      <c r="AE115" s="89"/>
      <c r="AH115" s="210"/>
      <c r="AI115" s="210"/>
      <c r="AJ115" s="175"/>
    </row>
    <row r="116" spans="1:37" ht="11.25" customHeight="1" x14ac:dyDescent="0.2">
      <c r="A116" s="158"/>
      <c r="B116" s="976" t="s">
        <v>210</v>
      </c>
      <c r="C116" s="976"/>
      <c r="D116" s="978"/>
      <c r="E116" s="978"/>
      <c r="F116" s="978"/>
      <c r="G116" s="924"/>
      <c r="H116" s="9"/>
      <c r="I116" s="9"/>
      <c r="J116" s="13"/>
      <c r="K116" s="9"/>
      <c r="L116" s="9"/>
      <c r="M116" s="9"/>
      <c r="N116" s="9"/>
      <c r="O116" s="9"/>
      <c r="P116" s="9"/>
      <c r="Q116" s="9"/>
      <c r="R116" s="9"/>
      <c r="S116" s="9"/>
      <c r="T116" s="9"/>
      <c r="U116" s="11"/>
      <c r="V116" s="281"/>
      <c r="W116" s="168"/>
      <c r="Z116" s="80"/>
      <c r="AA116" s="80"/>
      <c r="AE116" s="89"/>
      <c r="AH116" s="210"/>
      <c r="AI116" s="210"/>
      <c r="AJ116" s="175"/>
      <c r="AK116" s="175"/>
    </row>
    <row r="117" spans="1:37" ht="11.25" customHeight="1" x14ac:dyDescent="0.2">
      <c r="A117" s="158"/>
      <c r="B117" s="976"/>
      <c r="C117" s="976"/>
      <c r="D117" s="978"/>
      <c r="E117" s="978"/>
      <c r="F117" s="978"/>
      <c r="G117" s="924"/>
      <c r="H117" s="9"/>
      <c r="I117" s="9"/>
      <c r="J117" s="13"/>
      <c r="K117" s="9"/>
      <c r="L117" s="9"/>
      <c r="M117" s="9"/>
      <c r="N117" s="9"/>
      <c r="O117" s="9"/>
      <c r="P117" s="9"/>
      <c r="Q117" s="9"/>
      <c r="R117" s="9"/>
      <c r="S117" s="9"/>
      <c r="T117" s="9"/>
      <c r="U117" s="11"/>
      <c r="V117" s="281"/>
      <c r="W117" s="168"/>
      <c r="Z117" s="80"/>
      <c r="AA117" s="80"/>
      <c r="AE117" s="89"/>
      <c r="AH117" s="210"/>
      <c r="AI117" s="210"/>
      <c r="AJ117" s="175"/>
      <c r="AK117" s="175"/>
    </row>
    <row r="118" spans="1:37" ht="11.25" customHeight="1" x14ac:dyDescent="0.2">
      <c r="A118" s="158"/>
      <c r="B118" s="976" t="s">
        <v>211</v>
      </c>
      <c r="C118" s="976"/>
      <c r="D118" s="978"/>
      <c r="E118" s="978"/>
      <c r="F118" s="978"/>
      <c r="G118" s="924"/>
      <c r="H118" s="9"/>
      <c r="I118" s="9"/>
      <c r="J118" s="13"/>
      <c r="K118" s="9"/>
      <c r="L118" s="9"/>
      <c r="M118" s="9"/>
      <c r="N118" s="9"/>
      <c r="O118" s="9"/>
      <c r="P118" s="9"/>
      <c r="Q118" s="9"/>
      <c r="R118" s="9"/>
      <c r="S118" s="9"/>
      <c r="T118" s="9"/>
      <c r="U118" s="11"/>
      <c r="V118" s="281"/>
      <c r="W118" s="168"/>
      <c r="Z118" s="80"/>
      <c r="AA118" s="80"/>
      <c r="AE118" s="89"/>
      <c r="AH118" s="210"/>
      <c r="AI118" s="210"/>
      <c r="AJ118" s="175"/>
      <c r="AK118" s="175"/>
    </row>
    <row r="119" spans="1:37" ht="11.25" customHeight="1" x14ac:dyDescent="0.2">
      <c r="A119" s="158"/>
      <c r="B119" s="976"/>
      <c r="C119" s="976"/>
      <c r="D119" s="978"/>
      <c r="E119" s="978"/>
      <c r="F119" s="978"/>
      <c r="G119" s="924"/>
      <c r="H119" s="9"/>
      <c r="I119" s="9"/>
      <c r="J119" s="13"/>
      <c r="K119" s="9"/>
      <c r="L119" s="9"/>
      <c r="M119" s="9"/>
      <c r="N119" s="9"/>
      <c r="O119" s="9"/>
      <c r="P119" s="9"/>
      <c r="Q119" s="9"/>
      <c r="R119" s="9"/>
      <c r="S119" s="9"/>
      <c r="T119" s="9"/>
      <c r="U119" s="11"/>
      <c r="V119" s="281"/>
      <c r="W119" s="168"/>
      <c r="Z119" s="80"/>
      <c r="AA119" s="80"/>
      <c r="AE119" s="89"/>
      <c r="AH119" s="210"/>
      <c r="AI119" s="210"/>
      <c r="AJ119" s="175"/>
      <c r="AK119" s="175"/>
    </row>
    <row r="120" spans="1:37" ht="11.25" customHeight="1" x14ac:dyDescent="0.2">
      <c r="A120" s="158"/>
      <c r="B120" s="976" t="s">
        <v>212</v>
      </c>
      <c r="C120" s="976"/>
      <c r="D120" s="978"/>
      <c r="E120" s="978"/>
      <c r="F120" s="978"/>
      <c r="G120" s="924"/>
      <c r="H120" s="9"/>
      <c r="I120" s="9"/>
      <c r="J120" s="13"/>
      <c r="K120" s="9"/>
      <c r="L120" s="9"/>
      <c r="M120" s="9"/>
      <c r="N120" s="9"/>
      <c r="O120" s="9"/>
      <c r="P120" s="9"/>
      <c r="Q120" s="9"/>
      <c r="R120" s="9"/>
      <c r="S120" s="9"/>
      <c r="T120" s="9"/>
      <c r="U120" s="11"/>
      <c r="V120" s="281"/>
      <c r="W120" s="168"/>
      <c r="Z120" s="80"/>
      <c r="AA120" s="80"/>
      <c r="AE120" s="89"/>
      <c r="AH120" s="210"/>
      <c r="AI120" s="210"/>
      <c r="AJ120" s="175"/>
      <c r="AK120" s="175"/>
    </row>
    <row r="121" spans="1:37" ht="11.25" customHeight="1" x14ac:dyDescent="0.2">
      <c r="A121" s="158"/>
      <c r="B121" s="976"/>
      <c r="C121" s="976"/>
      <c r="D121" s="978"/>
      <c r="E121" s="978"/>
      <c r="F121" s="978"/>
      <c r="G121" s="924"/>
      <c r="H121" s="9"/>
      <c r="I121" s="9"/>
      <c r="J121" s="13"/>
      <c r="K121" s="9"/>
      <c r="L121" s="9"/>
      <c r="M121" s="9"/>
      <c r="N121" s="9"/>
      <c r="O121" s="9"/>
      <c r="P121" s="9"/>
      <c r="Q121" s="9"/>
      <c r="R121" s="9"/>
      <c r="S121" s="9"/>
      <c r="T121" s="9"/>
      <c r="U121" s="11"/>
      <c r="V121" s="281"/>
      <c r="W121" s="168"/>
      <c r="Z121" s="80"/>
      <c r="AA121" s="80"/>
      <c r="AE121" s="89"/>
      <c r="AH121" s="210"/>
      <c r="AI121" s="210"/>
      <c r="AJ121" s="175"/>
      <c r="AK121" s="175"/>
    </row>
    <row r="122" spans="1:37" ht="11.25" customHeight="1" x14ac:dyDescent="0.2">
      <c r="A122" s="158"/>
      <c r="B122" s="973" t="s">
        <v>80</v>
      </c>
      <c r="C122" s="974"/>
      <c r="D122" s="974"/>
      <c r="E122" s="974"/>
      <c r="F122" s="974"/>
      <c r="G122" s="974"/>
      <c r="H122" s="9"/>
      <c r="I122" s="9"/>
      <c r="J122" s="13"/>
      <c r="K122" s="9"/>
      <c r="L122" s="9"/>
      <c r="M122" s="9"/>
      <c r="N122" s="9"/>
      <c r="O122" s="9"/>
      <c r="P122" s="9"/>
      <c r="Q122" s="9"/>
      <c r="R122" s="9"/>
      <c r="S122" s="9"/>
      <c r="T122" s="9"/>
      <c r="U122" s="9"/>
      <c r="V122" s="152"/>
      <c r="W122" s="168"/>
      <c r="AE122" s="89"/>
      <c r="AH122" s="210"/>
      <c r="AI122" s="210"/>
      <c r="AJ122" s="175"/>
    </row>
    <row r="123" spans="1:37" ht="11.25" customHeight="1" x14ac:dyDescent="0.2">
      <c r="A123" s="158"/>
      <c r="B123" s="973"/>
      <c r="C123" s="974"/>
      <c r="D123" s="974"/>
      <c r="E123" s="974"/>
      <c r="F123" s="974"/>
      <c r="G123" s="974"/>
      <c r="H123" s="9"/>
      <c r="I123" s="9"/>
      <c r="J123" s="13"/>
      <c r="K123" s="9"/>
      <c r="L123" s="9"/>
      <c r="M123" s="9"/>
      <c r="N123" s="9"/>
      <c r="O123" s="9"/>
      <c r="P123" s="9"/>
      <c r="Q123" s="9"/>
      <c r="R123" s="9"/>
      <c r="S123" s="9"/>
      <c r="T123" s="9"/>
      <c r="U123" s="9"/>
      <c r="V123" s="152"/>
      <c r="W123" s="168"/>
      <c r="AE123" s="89"/>
      <c r="AH123" s="210"/>
      <c r="AI123" s="210"/>
      <c r="AJ123" s="175"/>
    </row>
    <row r="124" spans="1:37" ht="11.25" customHeight="1" x14ac:dyDescent="0.2">
      <c r="A124" s="158"/>
      <c r="B124" s="973" t="s">
        <v>69</v>
      </c>
      <c r="C124" s="974"/>
      <c r="D124" s="974"/>
      <c r="E124" s="974"/>
      <c r="F124" s="974"/>
      <c r="G124" s="974"/>
      <c r="H124" s="9"/>
      <c r="I124" s="9"/>
      <c r="J124" s="13"/>
      <c r="K124" s="9"/>
      <c r="L124" s="9"/>
      <c r="M124" s="9"/>
      <c r="N124" s="9"/>
      <c r="O124" s="9"/>
      <c r="P124" s="9"/>
      <c r="Q124" s="9"/>
      <c r="R124" s="9"/>
      <c r="S124" s="9"/>
      <c r="T124" s="9"/>
      <c r="U124" s="9"/>
      <c r="V124" s="152"/>
      <c r="W124" s="168"/>
      <c r="AE124" s="89"/>
      <c r="AH124" s="210"/>
      <c r="AI124" s="210"/>
      <c r="AJ124" s="175"/>
    </row>
    <row r="125" spans="1:37" ht="11.25" customHeight="1" x14ac:dyDescent="0.2">
      <c r="A125" s="158"/>
      <c r="B125" s="973"/>
      <c r="C125" s="974"/>
      <c r="D125" s="974"/>
      <c r="E125" s="974"/>
      <c r="F125" s="974"/>
      <c r="G125" s="974"/>
      <c r="H125" s="9"/>
      <c r="I125" s="9"/>
      <c r="J125" s="13"/>
      <c r="K125" s="9"/>
      <c r="L125" s="9"/>
      <c r="M125" s="9"/>
      <c r="N125" s="9"/>
      <c r="O125" s="9"/>
      <c r="P125" s="9"/>
      <c r="Q125" s="9"/>
      <c r="R125" s="9"/>
      <c r="S125" s="9"/>
      <c r="T125" s="9"/>
      <c r="U125" s="9"/>
      <c r="V125" s="152"/>
      <c r="W125" s="168"/>
      <c r="AE125" s="89"/>
      <c r="AH125" s="210"/>
      <c r="AI125" s="210"/>
      <c r="AJ125" s="175"/>
    </row>
    <row r="126" spans="1:37" ht="11.25" customHeight="1" x14ac:dyDescent="0.2">
      <c r="A126" s="158"/>
      <c r="B126" s="973" t="s">
        <v>25</v>
      </c>
      <c r="C126" s="974"/>
      <c r="D126" s="974"/>
      <c r="E126" s="974"/>
      <c r="F126" s="974"/>
      <c r="G126" s="974"/>
      <c r="H126" s="9"/>
      <c r="I126" s="9"/>
      <c r="J126" s="13"/>
      <c r="K126" s="9"/>
      <c r="L126" s="9"/>
      <c r="M126" s="9"/>
      <c r="N126" s="9"/>
      <c r="O126" s="9"/>
      <c r="P126" s="9"/>
      <c r="Q126" s="9"/>
      <c r="R126" s="9"/>
      <c r="S126" s="9"/>
      <c r="T126" s="9"/>
      <c r="U126" s="9"/>
      <c r="V126" s="152"/>
      <c r="W126" s="168"/>
      <c r="AE126" s="89"/>
      <c r="AH126" s="210"/>
      <c r="AI126" s="210"/>
      <c r="AJ126" s="175"/>
    </row>
    <row r="127" spans="1:37" ht="11.25" customHeight="1" x14ac:dyDescent="0.2">
      <c r="A127" s="158"/>
      <c r="B127" s="973"/>
      <c r="C127" s="974"/>
      <c r="D127" s="974"/>
      <c r="E127" s="974"/>
      <c r="F127" s="974"/>
      <c r="G127" s="974"/>
      <c r="H127" s="9"/>
      <c r="I127" s="9"/>
      <c r="J127" s="13"/>
      <c r="K127" s="9"/>
      <c r="L127" s="9"/>
      <c r="M127" s="9"/>
      <c r="N127" s="9"/>
      <c r="O127" s="9"/>
      <c r="P127" s="9"/>
      <c r="Q127" s="9"/>
      <c r="R127" s="9"/>
      <c r="S127" s="9"/>
      <c r="T127" s="9"/>
      <c r="U127" s="9"/>
      <c r="V127" s="152"/>
      <c r="W127" s="168"/>
      <c r="AE127" s="89"/>
      <c r="AH127" s="210"/>
      <c r="AI127" s="210"/>
      <c r="AJ127" s="175"/>
    </row>
    <row r="128" spans="1:37" ht="11.25" customHeight="1" x14ac:dyDescent="0.2">
      <c r="A128" s="158"/>
      <c r="B128" s="973" t="s">
        <v>23</v>
      </c>
      <c r="C128" s="974"/>
      <c r="D128" s="974"/>
      <c r="E128" s="974"/>
      <c r="F128" s="974"/>
      <c r="G128" s="974"/>
      <c r="H128" s="9"/>
      <c r="I128" s="9"/>
      <c r="J128" s="13"/>
      <c r="K128" s="9"/>
      <c r="L128" s="9"/>
      <c r="M128" s="9"/>
      <c r="N128" s="9"/>
      <c r="O128" s="9"/>
      <c r="P128" s="9"/>
      <c r="Q128" s="9"/>
      <c r="R128" s="9"/>
      <c r="S128" s="9"/>
      <c r="T128" s="9"/>
      <c r="U128" s="9"/>
      <c r="V128" s="152"/>
      <c r="W128" s="168"/>
      <c r="AE128" s="89"/>
      <c r="AH128" s="210"/>
      <c r="AI128" s="210"/>
      <c r="AJ128" s="175"/>
    </row>
    <row r="129" spans="1:36" ht="11.25" customHeight="1" x14ac:dyDescent="0.2">
      <c r="A129" s="158"/>
      <c r="B129" s="973"/>
      <c r="C129" s="974"/>
      <c r="D129" s="974"/>
      <c r="E129" s="974"/>
      <c r="F129" s="974"/>
      <c r="G129" s="974"/>
      <c r="H129" s="9"/>
      <c r="I129" s="9"/>
      <c r="J129" s="13"/>
      <c r="K129" s="9"/>
      <c r="L129" s="9"/>
      <c r="M129" s="9"/>
      <c r="N129" s="9"/>
      <c r="O129" s="9"/>
      <c r="P129" s="9"/>
      <c r="Q129" s="9"/>
      <c r="R129" s="9"/>
      <c r="S129" s="9"/>
      <c r="T129" s="9"/>
      <c r="U129" s="9"/>
      <c r="V129" s="152"/>
      <c r="W129" s="168"/>
      <c r="AE129" s="89"/>
      <c r="AH129" s="210"/>
      <c r="AI129" s="210"/>
      <c r="AJ129" s="175"/>
    </row>
    <row r="130" spans="1:36" ht="11.25" customHeight="1" x14ac:dyDescent="0.2">
      <c r="A130" s="158"/>
      <c r="B130" s="973" t="s">
        <v>26</v>
      </c>
      <c r="C130" s="974"/>
      <c r="D130" s="974"/>
      <c r="E130" s="974"/>
      <c r="F130" s="974"/>
      <c r="G130" s="974"/>
      <c r="H130" s="9"/>
      <c r="I130" s="9"/>
      <c r="J130" s="13"/>
      <c r="K130" s="9"/>
      <c r="L130" s="9"/>
      <c r="M130" s="9"/>
      <c r="N130" s="9"/>
      <c r="O130" s="9"/>
      <c r="P130" s="9"/>
      <c r="Q130" s="9"/>
      <c r="R130" s="9"/>
      <c r="S130" s="9"/>
      <c r="T130" s="9"/>
      <c r="U130" s="9"/>
      <c r="V130" s="152"/>
      <c r="W130" s="168"/>
      <c r="AE130" s="89"/>
      <c r="AH130" s="210"/>
      <c r="AI130" s="210"/>
      <c r="AJ130" s="175"/>
    </row>
    <row r="131" spans="1:36" ht="11.25" customHeight="1" x14ac:dyDescent="0.2">
      <c r="A131" s="158"/>
      <c r="B131" s="973"/>
      <c r="C131" s="974"/>
      <c r="D131" s="974"/>
      <c r="E131" s="974"/>
      <c r="F131" s="974"/>
      <c r="G131" s="974"/>
      <c r="H131" s="9"/>
      <c r="I131" s="9"/>
      <c r="J131" s="13"/>
      <c r="K131" s="9"/>
      <c r="L131" s="9"/>
      <c r="M131" s="9"/>
      <c r="N131" s="9"/>
      <c r="O131" s="9"/>
      <c r="P131" s="9"/>
      <c r="Q131" s="9"/>
      <c r="R131" s="9"/>
      <c r="S131" s="9"/>
      <c r="T131" s="9"/>
      <c r="U131" s="9"/>
      <c r="V131" s="152"/>
      <c r="W131" s="168"/>
      <c r="AE131" s="89"/>
      <c r="AH131" s="210"/>
      <c r="AI131" s="210"/>
      <c r="AJ131" s="175"/>
    </row>
    <row r="132" spans="1:36" ht="11.25" customHeight="1" x14ac:dyDescent="0.2">
      <c r="A132" s="158"/>
      <c r="B132" s="973" t="s">
        <v>19</v>
      </c>
      <c r="C132" s="974"/>
      <c r="D132" s="974"/>
      <c r="E132" s="974"/>
      <c r="F132" s="974"/>
      <c r="G132" s="974"/>
      <c r="H132" s="9"/>
      <c r="I132" s="9"/>
      <c r="J132" s="13"/>
      <c r="K132" s="9"/>
      <c r="L132" s="9"/>
      <c r="M132" s="9"/>
      <c r="N132" s="9"/>
      <c r="O132" s="9"/>
      <c r="P132" s="9"/>
      <c r="Q132" s="9"/>
      <c r="R132" s="9"/>
      <c r="S132" s="9"/>
      <c r="T132" s="9"/>
      <c r="U132" s="9"/>
      <c r="V132" s="152"/>
      <c r="W132" s="168"/>
      <c r="AE132" s="89"/>
      <c r="AH132" s="210"/>
      <c r="AI132" s="210"/>
      <c r="AJ132" s="175"/>
    </row>
    <row r="133" spans="1:36" ht="11.25" customHeight="1" x14ac:dyDescent="0.2">
      <c r="A133" s="158"/>
      <c r="B133" s="973"/>
      <c r="C133" s="974"/>
      <c r="D133" s="974"/>
      <c r="E133" s="974"/>
      <c r="F133" s="974"/>
      <c r="G133" s="974"/>
      <c r="H133" s="9"/>
      <c r="I133" s="9"/>
      <c r="J133" s="13"/>
      <c r="K133" s="9"/>
      <c r="L133" s="9"/>
      <c r="M133" s="9"/>
      <c r="N133" s="9"/>
      <c r="O133" s="9"/>
      <c r="P133" s="9"/>
      <c r="Q133" s="9"/>
      <c r="R133" s="9"/>
      <c r="S133" s="9"/>
      <c r="T133" s="9"/>
      <c r="U133" s="9"/>
      <c r="V133" s="152"/>
      <c r="W133" s="168"/>
      <c r="AE133" s="89"/>
      <c r="AH133" s="210"/>
      <c r="AI133" s="210"/>
      <c r="AJ133" s="175"/>
    </row>
    <row r="134" spans="1:36" ht="11.25" customHeight="1" x14ac:dyDescent="0.2">
      <c r="A134" s="158"/>
      <c r="B134" s="973" t="s">
        <v>20</v>
      </c>
      <c r="C134" s="930"/>
      <c r="D134" s="930"/>
      <c r="E134" s="930"/>
      <c r="F134" s="930"/>
      <c r="G134" s="930"/>
      <c r="H134" s="930"/>
      <c r="I134" s="9"/>
      <c r="J134" s="13"/>
      <c r="K134" s="9"/>
      <c r="L134" s="9"/>
      <c r="M134" s="9"/>
      <c r="N134" s="9"/>
      <c r="O134" s="9"/>
      <c r="P134" s="9"/>
      <c r="Q134" s="9"/>
      <c r="R134" s="9"/>
      <c r="S134" s="9"/>
      <c r="T134" s="9"/>
      <c r="U134" s="9"/>
      <c r="V134" s="152"/>
      <c r="W134" s="168"/>
      <c r="AE134" s="89"/>
      <c r="AH134" s="210"/>
      <c r="AI134" s="210"/>
      <c r="AJ134" s="175"/>
    </row>
    <row r="135" spans="1:36" ht="11.25" customHeight="1" x14ac:dyDescent="0.2">
      <c r="A135" s="158"/>
      <c r="B135" s="930"/>
      <c r="C135" s="930"/>
      <c r="D135" s="930"/>
      <c r="E135" s="930"/>
      <c r="F135" s="930"/>
      <c r="G135" s="930"/>
      <c r="H135" s="930"/>
      <c r="I135" s="9"/>
      <c r="J135" s="13"/>
      <c r="K135" s="9"/>
      <c r="L135" s="9"/>
      <c r="M135" s="9"/>
      <c r="N135" s="9"/>
      <c r="O135" s="9"/>
      <c r="P135" s="9"/>
      <c r="Q135" s="9"/>
      <c r="R135" s="9"/>
      <c r="S135" s="9"/>
      <c r="T135" s="9"/>
      <c r="U135" s="9"/>
      <c r="V135" s="152"/>
      <c r="W135" s="168"/>
      <c r="AE135" s="89"/>
      <c r="AH135" s="210"/>
      <c r="AI135" s="210"/>
      <c r="AJ135" s="175"/>
    </row>
    <row r="136" spans="1:36" ht="11.25" customHeight="1" x14ac:dyDescent="0.2">
      <c r="A136" s="158"/>
      <c r="B136" s="973" t="s">
        <v>21</v>
      </c>
      <c r="C136" s="974"/>
      <c r="D136" s="974"/>
      <c r="E136" s="974"/>
      <c r="F136" s="974"/>
      <c r="G136" s="974"/>
      <c r="H136" s="9"/>
      <c r="I136" s="9"/>
      <c r="J136" s="13"/>
      <c r="K136" s="9"/>
      <c r="L136" s="9"/>
      <c r="M136" s="9"/>
      <c r="N136" s="9"/>
      <c r="O136" s="9"/>
      <c r="P136" s="9"/>
      <c r="Q136" s="9"/>
      <c r="R136" s="9"/>
      <c r="S136" s="9"/>
      <c r="T136" s="9"/>
      <c r="U136" s="9"/>
      <c r="V136" s="152"/>
      <c r="W136" s="168"/>
      <c r="AE136" s="89"/>
      <c r="AH136" s="210"/>
      <c r="AI136" s="210"/>
      <c r="AJ136" s="175"/>
    </row>
    <row r="137" spans="1:36" ht="11.25" customHeight="1" x14ac:dyDescent="0.2">
      <c r="A137" s="158"/>
      <c r="B137" s="973"/>
      <c r="C137" s="974"/>
      <c r="D137" s="974"/>
      <c r="E137" s="974"/>
      <c r="F137" s="974"/>
      <c r="G137" s="974"/>
      <c r="H137" s="9"/>
      <c r="I137" s="9"/>
      <c r="J137" s="13"/>
      <c r="K137" s="9"/>
      <c r="L137" s="9"/>
      <c r="M137" s="9"/>
      <c r="N137" s="9"/>
      <c r="O137" s="9"/>
      <c r="P137" s="9"/>
      <c r="Q137" s="9"/>
      <c r="R137" s="9"/>
      <c r="S137" s="9"/>
      <c r="T137" s="9"/>
      <c r="U137" s="9"/>
      <c r="V137" s="152"/>
      <c r="W137" s="168"/>
      <c r="AE137" s="89"/>
      <c r="AH137" s="210"/>
      <c r="AI137" s="210"/>
      <c r="AJ137" s="175"/>
    </row>
    <row r="138" spans="1:36" ht="11.25" customHeight="1" x14ac:dyDescent="0.2">
      <c r="A138" s="158"/>
      <c r="B138" s="973" t="s">
        <v>27</v>
      </c>
      <c r="C138" s="974"/>
      <c r="D138" s="974"/>
      <c r="E138" s="974"/>
      <c r="F138" s="974"/>
      <c r="G138" s="974"/>
      <c r="H138" s="9"/>
      <c r="I138" s="9"/>
      <c r="J138" s="13"/>
      <c r="K138" s="9"/>
      <c r="L138" s="9"/>
      <c r="M138" s="9"/>
      <c r="N138" s="9"/>
      <c r="O138" s="9"/>
      <c r="P138" s="9"/>
      <c r="Q138" s="9"/>
      <c r="R138" s="9"/>
      <c r="S138" s="9"/>
      <c r="T138" s="9"/>
      <c r="U138" s="9"/>
      <c r="V138" s="152"/>
      <c r="W138" s="168"/>
      <c r="AE138" s="89"/>
      <c r="AH138" s="210"/>
      <c r="AI138" s="210"/>
      <c r="AJ138" s="175"/>
    </row>
    <row r="139" spans="1:36" ht="11.25" customHeight="1" x14ac:dyDescent="0.2">
      <c r="A139" s="158"/>
      <c r="B139" s="973"/>
      <c r="C139" s="974"/>
      <c r="D139" s="974"/>
      <c r="E139" s="974"/>
      <c r="F139" s="974"/>
      <c r="G139" s="974"/>
      <c r="H139" s="9"/>
      <c r="I139" s="9"/>
      <c r="J139" s="13"/>
      <c r="K139" s="9"/>
      <c r="L139" s="9"/>
      <c r="M139" s="9"/>
      <c r="N139" s="9"/>
      <c r="O139" s="9"/>
      <c r="P139" s="9"/>
      <c r="Q139" s="9"/>
      <c r="R139" s="9"/>
      <c r="S139" s="9"/>
      <c r="T139" s="9"/>
      <c r="U139" s="9"/>
      <c r="V139" s="152"/>
      <c r="W139" s="168"/>
      <c r="AE139" s="89"/>
      <c r="AH139" s="210"/>
      <c r="AI139" s="210"/>
      <c r="AJ139" s="175"/>
    </row>
    <row r="140" spans="1:36" ht="11.25" customHeight="1" x14ac:dyDescent="0.2">
      <c r="A140" s="158"/>
      <c r="B140" s="973" t="s">
        <v>22</v>
      </c>
      <c r="C140" s="974"/>
      <c r="D140" s="974"/>
      <c r="E140" s="974"/>
      <c r="F140" s="974"/>
      <c r="G140" s="974"/>
      <c r="H140" s="9"/>
      <c r="I140" s="9"/>
      <c r="J140" s="13"/>
      <c r="K140" s="9"/>
      <c r="L140" s="9"/>
      <c r="M140" s="9"/>
      <c r="N140" s="9"/>
      <c r="O140" s="9"/>
      <c r="P140" s="9"/>
      <c r="Q140" s="9"/>
      <c r="R140" s="9"/>
      <c r="S140" s="9"/>
      <c r="T140" s="9"/>
      <c r="U140" s="9"/>
      <c r="V140" s="152"/>
      <c r="W140" s="168"/>
      <c r="AE140" s="89"/>
      <c r="AH140" s="210"/>
      <c r="AI140" s="210"/>
      <c r="AJ140" s="175"/>
    </row>
    <row r="141" spans="1:36" ht="11.25" customHeight="1" x14ac:dyDescent="0.2">
      <c r="A141" s="158"/>
      <c r="B141" s="973"/>
      <c r="C141" s="974"/>
      <c r="D141" s="974"/>
      <c r="E141" s="974"/>
      <c r="F141" s="974"/>
      <c r="G141" s="974"/>
      <c r="H141" s="9"/>
      <c r="I141" s="9"/>
      <c r="J141" s="13"/>
      <c r="K141" s="9"/>
      <c r="L141" s="9"/>
      <c r="M141" s="9"/>
      <c r="N141" s="9"/>
      <c r="O141" s="9"/>
      <c r="P141" s="9"/>
      <c r="Q141" s="9"/>
      <c r="R141" s="9"/>
      <c r="S141" s="9"/>
      <c r="T141" s="9"/>
      <c r="U141" s="9"/>
      <c r="V141" s="152"/>
      <c r="W141" s="168"/>
      <c r="AE141" s="89"/>
      <c r="AH141" s="210"/>
      <c r="AI141" s="210"/>
      <c r="AJ141" s="175"/>
    </row>
    <row r="142" spans="1:36" ht="11.25" customHeight="1" x14ac:dyDescent="0.2">
      <c r="A142" s="158"/>
      <c r="B142" s="973" t="s">
        <v>874</v>
      </c>
      <c r="C142" s="975"/>
      <c r="D142" s="975"/>
      <c r="E142" s="975"/>
      <c r="F142" s="975"/>
      <c r="G142" s="975"/>
      <c r="H142" s="9"/>
      <c r="I142" s="9"/>
      <c r="J142" s="13"/>
      <c r="K142" s="9"/>
      <c r="L142" s="9"/>
      <c r="M142" s="9"/>
      <c r="N142" s="9"/>
      <c r="O142" s="9"/>
      <c r="P142" s="9"/>
      <c r="Q142" s="9"/>
      <c r="R142" s="9"/>
      <c r="S142" s="9"/>
      <c r="T142" s="9"/>
      <c r="U142" s="9"/>
      <c r="V142" s="152"/>
      <c r="W142" s="168"/>
      <c r="AE142" s="89"/>
      <c r="AH142" s="210"/>
      <c r="AI142" s="210"/>
      <c r="AJ142" s="175"/>
    </row>
    <row r="143" spans="1:36" ht="11.25" customHeight="1" x14ac:dyDescent="0.2">
      <c r="A143" s="158"/>
      <c r="B143" s="973"/>
      <c r="C143" s="975"/>
      <c r="D143" s="975"/>
      <c r="E143" s="975"/>
      <c r="F143" s="975"/>
      <c r="G143" s="975"/>
      <c r="H143" s="9"/>
      <c r="I143" s="9"/>
      <c r="J143" s="13"/>
      <c r="K143" s="9"/>
      <c r="L143" s="9"/>
      <c r="M143" s="9"/>
      <c r="N143" s="9"/>
      <c r="O143" s="9"/>
      <c r="P143" s="9"/>
      <c r="Q143" s="9"/>
      <c r="R143" s="9"/>
      <c r="S143" s="9"/>
      <c r="T143" s="9"/>
      <c r="U143" s="9"/>
      <c r="V143" s="152"/>
      <c r="W143" s="168"/>
      <c r="AE143" s="89"/>
      <c r="AH143" s="210"/>
      <c r="AI143" s="210"/>
      <c r="AJ143" s="175"/>
    </row>
    <row r="144" spans="1:36" ht="11.25" customHeight="1" x14ac:dyDescent="0.2">
      <c r="A144" s="158"/>
      <c r="B144" s="973"/>
      <c r="C144" s="973"/>
      <c r="D144" s="973"/>
      <c r="E144" s="973"/>
      <c r="F144" s="975"/>
      <c r="G144" s="975"/>
      <c r="H144" s="975"/>
      <c r="I144" s="9"/>
      <c r="J144" s="13"/>
      <c r="K144" s="9"/>
      <c r="L144" s="9"/>
      <c r="M144" s="9"/>
      <c r="N144" s="9"/>
      <c r="O144" s="9"/>
      <c r="P144" s="9"/>
      <c r="Q144" s="9"/>
      <c r="R144" s="9"/>
      <c r="S144" s="9"/>
      <c r="T144" s="9"/>
      <c r="U144" s="9"/>
      <c r="V144" s="152"/>
      <c r="W144" s="168"/>
      <c r="X144" s="80"/>
      <c r="Y144" s="80"/>
      <c r="AE144" s="89"/>
      <c r="AH144" s="210"/>
      <c r="AI144" s="210"/>
      <c r="AJ144" s="175"/>
    </row>
    <row r="145" spans="1:45" ht="11.25" customHeight="1" x14ac:dyDescent="0.2">
      <c r="A145" s="158"/>
      <c r="B145" s="973"/>
      <c r="C145" s="973"/>
      <c r="D145" s="973"/>
      <c r="E145" s="973"/>
      <c r="F145" s="975"/>
      <c r="G145" s="975"/>
      <c r="H145" s="975"/>
      <c r="I145" s="9"/>
      <c r="J145" s="13"/>
      <c r="K145" s="9"/>
      <c r="L145" s="9"/>
      <c r="M145" s="9"/>
      <c r="N145" s="9"/>
      <c r="O145" s="9"/>
      <c r="P145" s="9"/>
      <c r="Q145" s="9"/>
      <c r="R145" s="9"/>
      <c r="S145" s="9"/>
      <c r="T145" s="9"/>
      <c r="U145" s="9"/>
      <c r="V145" s="152"/>
      <c r="W145" s="168"/>
      <c r="AE145" s="89"/>
      <c r="AH145" s="210"/>
      <c r="AI145" s="210"/>
      <c r="AJ145" s="175"/>
    </row>
    <row r="146" spans="1:45" ht="18.75" customHeight="1" x14ac:dyDescent="0.2">
      <c r="A146" s="159"/>
      <c r="B146" s="160"/>
      <c r="C146" s="160"/>
      <c r="D146" s="160"/>
      <c r="E146" s="160"/>
      <c r="F146" s="160"/>
      <c r="G146" s="160"/>
      <c r="H146" s="160"/>
      <c r="I146" s="160"/>
      <c r="J146" s="161"/>
      <c r="K146" s="160"/>
      <c r="L146" s="160"/>
      <c r="M146" s="160"/>
      <c r="N146" s="160"/>
      <c r="O146" s="160"/>
      <c r="P146" s="160"/>
      <c r="Q146" s="160"/>
      <c r="R146" s="160"/>
      <c r="S146" s="160"/>
      <c r="T146" s="160"/>
      <c r="U146" s="160"/>
      <c r="V146" s="156"/>
      <c r="W146" s="180"/>
      <c r="X146" s="227"/>
      <c r="Y146" s="227"/>
      <c r="Z146" s="227"/>
      <c r="AA146" s="227"/>
      <c r="AB146" s="227"/>
      <c r="AC146" s="227"/>
      <c r="AD146" s="227"/>
      <c r="AE146" s="227"/>
      <c r="AF146" s="227"/>
      <c r="AG146" s="227"/>
      <c r="AH146" s="227"/>
      <c r="AI146" s="648"/>
      <c r="AJ146" s="94"/>
    </row>
    <row r="147" spans="1:45" s="87" customFormat="1" ht="11.25" customHeight="1" x14ac:dyDescent="0.2">
      <c r="A147" s="80"/>
      <c r="B147" s="80"/>
      <c r="C147" s="80"/>
      <c r="D147" s="80"/>
      <c r="E147" s="80"/>
      <c r="F147" s="80"/>
      <c r="G147" s="80"/>
      <c r="H147" s="80"/>
      <c r="I147" s="80"/>
      <c r="J147" s="106"/>
      <c r="K147" s="80"/>
      <c r="L147" s="80"/>
      <c r="M147" s="80"/>
      <c r="N147" s="80"/>
      <c r="O147" s="80"/>
      <c r="P147" s="80"/>
      <c r="Q147" s="80"/>
      <c r="R147" s="80"/>
      <c r="S147" s="80"/>
      <c r="T147" s="80"/>
      <c r="U147" s="80"/>
      <c r="V147" s="181"/>
      <c r="X147" s="88"/>
      <c r="Y147" s="88"/>
      <c r="Z147" s="88"/>
      <c r="AA147" s="88"/>
      <c r="AB147" s="88"/>
      <c r="AC147" s="88"/>
      <c r="AD147" s="88"/>
      <c r="AE147" s="88"/>
      <c r="AF147" s="88"/>
      <c r="AG147" s="88"/>
      <c r="AH147" s="88"/>
      <c r="AI147" s="80"/>
      <c r="AJ147" s="80"/>
      <c r="AK147" s="80"/>
      <c r="AL147" s="80"/>
      <c r="AM147" s="80"/>
      <c r="AN147" s="80"/>
      <c r="AO147" s="80"/>
      <c r="AP147" s="80"/>
      <c r="AQ147" s="80"/>
      <c r="AR147" s="80"/>
      <c r="AS147" s="80"/>
    </row>
    <row r="273" spans="37:37" ht="11.25" customHeight="1" x14ac:dyDescent="0.2">
      <c r="AK273" s="80" t="b">
        <v>1</v>
      </c>
    </row>
  </sheetData>
  <mergeCells count="40">
    <mergeCell ref="B144:H145"/>
    <mergeCell ref="B134:H135"/>
    <mergeCell ref="B136:G137"/>
    <mergeCell ref="B138:G139"/>
    <mergeCell ref="B140:G141"/>
    <mergeCell ref="B142:G143"/>
    <mergeCell ref="B124:G125"/>
    <mergeCell ref="B126:G127"/>
    <mergeCell ref="B128:G129"/>
    <mergeCell ref="B130:G131"/>
    <mergeCell ref="B132:G133"/>
    <mergeCell ref="B5:P6"/>
    <mergeCell ref="M63:O63"/>
    <mergeCell ref="Q63:T63"/>
    <mergeCell ref="D7:H7"/>
    <mergeCell ref="I7:I8"/>
    <mergeCell ref="K7:O7"/>
    <mergeCell ref="P7:P8"/>
    <mergeCell ref="R7:T7"/>
    <mergeCell ref="B34:T34"/>
    <mergeCell ref="A36:U36"/>
    <mergeCell ref="A37:U37"/>
    <mergeCell ref="B7:B8"/>
    <mergeCell ref="AA39:AA40"/>
    <mergeCell ref="AB39:AB40"/>
    <mergeCell ref="A69:U69"/>
    <mergeCell ref="A70:U70"/>
    <mergeCell ref="A104:U104"/>
    <mergeCell ref="S64:T64"/>
    <mergeCell ref="Q64:R64"/>
    <mergeCell ref="M64:P64"/>
    <mergeCell ref="B116:F117"/>
    <mergeCell ref="B118:F119"/>
    <mergeCell ref="B120:F121"/>
    <mergeCell ref="B122:G123"/>
    <mergeCell ref="A105:U105"/>
    <mergeCell ref="B108:B109"/>
    <mergeCell ref="B110:G111"/>
    <mergeCell ref="B112:G113"/>
    <mergeCell ref="B114:G115"/>
  </mergeCells>
  <conditionalFormatting sqref="X69:AB69 Z8:AD8 R9:T32">
    <cfRule type="cellIs" dxfId="163" priority="21" stopIfTrue="1" operator="equal">
      <formula>0</formula>
    </cfRule>
  </conditionalFormatting>
  <conditionalFormatting sqref="B9:B30 K9:P30 B50:C65 D9:H30">
    <cfRule type="containsErrors" dxfId="162" priority="23">
      <formula>ISERROR(B9)</formula>
    </cfRule>
  </conditionalFormatting>
  <conditionalFormatting sqref="R9:T32">
    <cfRule type="containsErrors" dxfId="161" priority="17">
      <formula>ISERROR(R9)</formula>
    </cfRule>
  </conditionalFormatting>
  <conditionalFormatting sqref="A9:A30">
    <cfRule type="containsErrors" dxfId="160" priority="11">
      <formula>ISERROR(A9)</formula>
    </cfRule>
    <cfRule type="cellIs" dxfId="159" priority="13" operator="equal">
      <formula>0</formula>
    </cfRule>
  </conditionalFormatting>
  <conditionalFormatting sqref="B9:B30 K9:P30 B50:C65 D9:H30 R9:T30">
    <cfRule type="expression" dxfId="158" priority="22">
      <formula>$B9=$Y$4</formula>
    </cfRule>
  </conditionalFormatting>
  <conditionalFormatting sqref="AF9:AG27">
    <cfRule type="containsErrors" dxfId="157" priority="10">
      <formula>ISERROR(AF9)</formula>
    </cfRule>
  </conditionalFormatting>
  <conditionalFormatting sqref="AF9:AG20 AG10:AG27">
    <cfRule type="expression" dxfId="156" priority="9">
      <formula>$B9=$W$4</formula>
    </cfRule>
  </conditionalFormatting>
  <conditionalFormatting sqref="I9:I30">
    <cfRule type="containsErrors" dxfId="155" priority="8">
      <formula>ISERROR(I9)</formula>
    </cfRule>
  </conditionalFormatting>
  <conditionalFormatting sqref="I9:I30">
    <cfRule type="expression" dxfId="154" priority="7">
      <formula>$B9=$Y$4</formula>
    </cfRule>
  </conditionalFormatting>
  <conditionalFormatting sqref="A37">
    <cfRule type="cellIs" dxfId="153" priority="5" operator="equal">
      <formula>0</formula>
    </cfRule>
    <cfRule type="containsErrors" dxfId="152" priority="6">
      <formula>ISERROR(A37)</formula>
    </cfRule>
  </conditionalFormatting>
  <conditionalFormatting sqref="A70">
    <cfRule type="cellIs" dxfId="151" priority="3" operator="equal">
      <formula>0</formula>
    </cfRule>
    <cfRule type="containsErrors" dxfId="150" priority="4">
      <formula>ISERROR(A70)</formula>
    </cfRule>
  </conditionalFormatting>
  <conditionalFormatting sqref="A105">
    <cfRule type="cellIs" dxfId="149" priority="1" operator="equal">
      <formula>0</formula>
    </cfRule>
    <cfRule type="containsErrors" dxfId="148" priority="2">
      <formula>ISERROR(A105)</formula>
    </cfRule>
  </conditionalFormatting>
  <hyperlinks>
    <hyperlink ref="B110:B111" location="Coverage!A1" display="Participating LA's"/>
    <hyperlink ref="B112:B113" location="IDACI!A1" display="IDACI"/>
    <hyperlink ref="B142:B143" location="Adoption!A1" display="Adoption"/>
    <hyperlink ref="B140:B141" location="'Looked After Children'!A1" display="Looked After Children"/>
    <hyperlink ref="B138:B139" location="'Court Applications'!A1" display="Court Applications"/>
    <hyperlink ref="B136:B137" location="'Child Protection Plans'!A1" display="Child Protection Plans"/>
    <hyperlink ref="B134:B135" location="'Initial CP Conferences'!A1" display="Initial Child Protection Conferences"/>
    <hyperlink ref="B132:B133" location="'Section 47 Enquiries'!A1" display="Section 47 Enquiries"/>
    <hyperlink ref="B130:B131" location="'Children in Need'!A1" display="Children in Need"/>
    <hyperlink ref="B128:B129" location="Assessments!A1" display="Assessments"/>
    <hyperlink ref="B126:B127" location="'Re-referrals'!A1" display="Re-referrals"/>
    <hyperlink ref="B124:B125" location="Referral_Source!A1" display="Referral Source"/>
    <hyperlink ref="B122:B123" location="Referrals!A1" display="Referrals"/>
    <hyperlink ref="B114:B115" location="Population!A1" display="Population"/>
    <hyperlink ref="B112:G113" location="IDACI!A1" display="IDACI"/>
    <hyperlink ref="B116:B117" location="CAF_EHA!A1" display="CAF (EHA's)"/>
    <hyperlink ref="B120:B121" location="CAF_EHA!A1" display="CAF (EHA's)"/>
    <hyperlink ref="B118:B119" location="CAF_EHA!A1" display="CAF (EHA's)"/>
    <hyperlink ref="B116:F117" location="EH_Referrals!A1" display="Early Help Referrals"/>
    <hyperlink ref="B118:F119" location="EH_Assessments!A1" display="Early Help Assessments"/>
    <hyperlink ref="B120:F121" location="EH_Clients!A1" display="Early Help Clients"/>
    <hyperlink ref="B142:G143" location="Adoption!A1" display="Permanenc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18" man="1"/>
    <brk id="70" max="20" man="1"/>
  </rowBreaks>
  <ignoredErrors>
    <ignoredError sqref="A9:A3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macro="[0]!CheckBox1_Click" altText="">
                <anchor>
                  <from>
                    <xdr:col>22</xdr:col>
                    <xdr:colOff>66675</xdr:colOff>
                    <xdr:row>38</xdr:row>
                    <xdr:rowOff>76200</xdr:rowOff>
                  </from>
                  <to>
                    <xdr:col>35</xdr:col>
                    <xdr:colOff>47625</xdr:colOff>
                    <xdr:row>40</xdr:row>
                    <xdr:rowOff>19050</xdr:rowOff>
                  </to>
                </anchor>
              </controlPr>
            </control>
          </mc:Choice>
        </mc:AlternateContent>
        <mc:AlternateContent xmlns:mc="http://schemas.openxmlformats.org/markup-compatibility/2006">
          <mc:Choice Requires="x14">
            <control shapeId="97282" r:id="rId5" name="Check Box 2">
              <controlPr defaultSize="0" autoFill="0" autoLine="0" autoPict="0" macro="[0]!CheckBox1_Click" altText="">
                <anchor>
                  <from>
                    <xdr:col>22</xdr:col>
                    <xdr:colOff>66675</xdr:colOff>
                    <xdr:row>39</xdr:row>
                    <xdr:rowOff>161925</xdr:rowOff>
                  </from>
                  <to>
                    <xdr:col>35</xdr:col>
                    <xdr:colOff>47625</xdr:colOff>
                    <xdr:row>41</xdr:row>
                    <xdr:rowOff>19050</xdr:rowOff>
                  </to>
                </anchor>
              </controlPr>
            </control>
          </mc:Choice>
        </mc:AlternateContent>
        <mc:AlternateContent xmlns:mc="http://schemas.openxmlformats.org/markup-compatibility/2006">
          <mc:Choice Requires="x14">
            <control shapeId="97283" r:id="rId6" name="Check Box 3">
              <controlPr defaultSize="0" autoFill="0" autoLine="0" autoPict="0" macro="[0]!CheckBox1_Click" altText="">
                <anchor>
                  <from>
                    <xdr:col>22</xdr:col>
                    <xdr:colOff>66675</xdr:colOff>
                    <xdr:row>40</xdr:row>
                    <xdr:rowOff>161925</xdr:rowOff>
                  </from>
                  <to>
                    <xdr:col>35</xdr:col>
                    <xdr:colOff>47625</xdr:colOff>
                    <xdr:row>42</xdr:row>
                    <xdr:rowOff>19050</xdr:rowOff>
                  </to>
                </anchor>
              </controlPr>
            </control>
          </mc:Choice>
        </mc:AlternateContent>
        <mc:AlternateContent xmlns:mc="http://schemas.openxmlformats.org/markup-compatibility/2006">
          <mc:Choice Requires="x14">
            <control shapeId="97284" r:id="rId7" name="Check Box 4">
              <controlPr defaultSize="0" autoFill="0" autoLine="0" autoPict="0" macro="[0]!CheckBox1_Click" altText="">
                <anchor>
                  <from>
                    <xdr:col>22</xdr:col>
                    <xdr:colOff>66675</xdr:colOff>
                    <xdr:row>41</xdr:row>
                    <xdr:rowOff>161925</xdr:rowOff>
                  </from>
                  <to>
                    <xdr:col>35</xdr:col>
                    <xdr:colOff>47625</xdr:colOff>
                    <xdr:row>43</xdr:row>
                    <xdr:rowOff>19050</xdr:rowOff>
                  </to>
                </anchor>
              </controlPr>
            </control>
          </mc:Choice>
        </mc:AlternateContent>
        <mc:AlternateContent xmlns:mc="http://schemas.openxmlformats.org/markup-compatibility/2006">
          <mc:Choice Requires="x14">
            <control shapeId="97285" r:id="rId8" name="Check Box 5">
              <controlPr defaultSize="0" autoFill="0" autoLine="0" autoPict="0" macro="[0]!CheckBox1_Click" altText="">
                <anchor>
                  <from>
                    <xdr:col>22</xdr:col>
                    <xdr:colOff>66675</xdr:colOff>
                    <xdr:row>42</xdr:row>
                    <xdr:rowOff>161925</xdr:rowOff>
                  </from>
                  <to>
                    <xdr:col>35</xdr:col>
                    <xdr:colOff>47625</xdr:colOff>
                    <xdr:row>44</xdr:row>
                    <xdr:rowOff>19050</xdr:rowOff>
                  </to>
                </anchor>
              </controlPr>
            </control>
          </mc:Choice>
        </mc:AlternateContent>
        <mc:AlternateContent xmlns:mc="http://schemas.openxmlformats.org/markup-compatibility/2006">
          <mc:Choice Requires="x14">
            <control shapeId="97286" r:id="rId9" name="Check Box 6">
              <controlPr defaultSize="0" autoFill="0" autoLine="0" autoPict="0" macro="[0]!CheckBox1_Click" altText="">
                <anchor>
                  <from>
                    <xdr:col>22</xdr:col>
                    <xdr:colOff>66675</xdr:colOff>
                    <xdr:row>43</xdr:row>
                    <xdr:rowOff>161925</xdr:rowOff>
                  </from>
                  <to>
                    <xdr:col>35</xdr:col>
                    <xdr:colOff>47625</xdr:colOff>
                    <xdr:row>45</xdr:row>
                    <xdr:rowOff>19050</xdr:rowOff>
                  </to>
                </anchor>
              </controlPr>
            </control>
          </mc:Choice>
        </mc:AlternateContent>
        <mc:AlternateContent xmlns:mc="http://schemas.openxmlformats.org/markup-compatibility/2006">
          <mc:Choice Requires="x14">
            <control shapeId="97287" r:id="rId10" name="Check Box 7">
              <controlPr defaultSize="0" autoFill="0" autoLine="0" autoPict="0" macro="[0]!CheckBox1_Click" altText="">
                <anchor>
                  <from>
                    <xdr:col>22</xdr:col>
                    <xdr:colOff>66675</xdr:colOff>
                    <xdr:row>44</xdr:row>
                    <xdr:rowOff>161925</xdr:rowOff>
                  </from>
                  <to>
                    <xdr:col>35</xdr:col>
                    <xdr:colOff>47625</xdr:colOff>
                    <xdr:row>46</xdr:row>
                    <xdr:rowOff>19050</xdr:rowOff>
                  </to>
                </anchor>
              </controlPr>
            </control>
          </mc:Choice>
        </mc:AlternateContent>
        <mc:AlternateContent xmlns:mc="http://schemas.openxmlformats.org/markup-compatibility/2006">
          <mc:Choice Requires="x14">
            <control shapeId="97288" r:id="rId11" name="Check Box 8">
              <controlPr defaultSize="0" autoFill="0" autoLine="0" autoPict="0" macro="[0]!CheckBox1_Click" altText="">
                <anchor>
                  <from>
                    <xdr:col>22</xdr:col>
                    <xdr:colOff>66675</xdr:colOff>
                    <xdr:row>45</xdr:row>
                    <xdr:rowOff>161925</xdr:rowOff>
                  </from>
                  <to>
                    <xdr:col>35</xdr:col>
                    <xdr:colOff>47625</xdr:colOff>
                    <xdr:row>47</xdr:row>
                    <xdr:rowOff>19050</xdr:rowOff>
                  </to>
                </anchor>
              </controlPr>
            </control>
          </mc:Choice>
        </mc:AlternateContent>
        <mc:AlternateContent xmlns:mc="http://schemas.openxmlformats.org/markup-compatibility/2006">
          <mc:Choice Requires="x14">
            <control shapeId="97289" r:id="rId12" name="Check Box 9">
              <controlPr defaultSize="0" autoFill="0" autoLine="0" autoPict="0" macro="[0]!CheckBox1_Click" altText="">
                <anchor>
                  <from>
                    <xdr:col>22</xdr:col>
                    <xdr:colOff>66675</xdr:colOff>
                    <xdr:row>46</xdr:row>
                    <xdr:rowOff>161925</xdr:rowOff>
                  </from>
                  <to>
                    <xdr:col>35</xdr:col>
                    <xdr:colOff>47625</xdr:colOff>
                    <xdr:row>48</xdr:row>
                    <xdr:rowOff>19050</xdr:rowOff>
                  </to>
                </anchor>
              </controlPr>
            </control>
          </mc:Choice>
        </mc:AlternateContent>
        <mc:AlternateContent xmlns:mc="http://schemas.openxmlformats.org/markup-compatibility/2006">
          <mc:Choice Requires="x14">
            <control shapeId="97290" r:id="rId13" name="Check Box 10">
              <controlPr defaultSize="0" autoFill="0" autoLine="0" autoPict="0" macro="[0]!CheckBox1_Click" altText="">
                <anchor>
                  <from>
                    <xdr:col>22</xdr:col>
                    <xdr:colOff>66675</xdr:colOff>
                    <xdr:row>47</xdr:row>
                    <xdr:rowOff>161925</xdr:rowOff>
                  </from>
                  <to>
                    <xdr:col>35</xdr:col>
                    <xdr:colOff>47625</xdr:colOff>
                    <xdr:row>49</xdr:row>
                    <xdr:rowOff>19050</xdr:rowOff>
                  </to>
                </anchor>
              </controlPr>
            </control>
          </mc:Choice>
        </mc:AlternateContent>
        <mc:AlternateContent xmlns:mc="http://schemas.openxmlformats.org/markup-compatibility/2006">
          <mc:Choice Requires="x14">
            <control shapeId="97291" r:id="rId14" name="Check Box 11">
              <controlPr defaultSize="0" autoFill="0" autoLine="0" autoPict="0" macro="[0]!CheckBox1_Click" altText="">
                <anchor>
                  <from>
                    <xdr:col>22</xdr:col>
                    <xdr:colOff>66675</xdr:colOff>
                    <xdr:row>48</xdr:row>
                    <xdr:rowOff>161925</xdr:rowOff>
                  </from>
                  <to>
                    <xdr:col>35</xdr:col>
                    <xdr:colOff>47625</xdr:colOff>
                    <xdr:row>50</xdr:row>
                    <xdr:rowOff>19050</xdr:rowOff>
                  </to>
                </anchor>
              </controlPr>
            </control>
          </mc:Choice>
        </mc:AlternateContent>
        <mc:AlternateContent xmlns:mc="http://schemas.openxmlformats.org/markup-compatibility/2006">
          <mc:Choice Requires="x14">
            <control shapeId="97292" r:id="rId15" name="Check Box 12">
              <controlPr defaultSize="0" autoFill="0" autoLine="0" autoPict="0" macro="[0]!CheckBox1_Click" altText="">
                <anchor>
                  <from>
                    <xdr:col>22</xdr:col>
                    <xdr:colOff>66675</xdr:colOff>
                    <xdr:row>49</xdr:row>
                    <xdr:rowOff>161925</xdr:rowOff>
                  </from>
                  <to>
                    <xdr:col>35</xdr:col>
                    <xdr:colOff>47625</xdr:colOff>
                    <xdr:row>51</xdr:row>
                    <xdr:rowOff>19050</xdr:rowOff>
                  </to>
                </anchor>
              </controlPr>
            </control>
          </mc:Choice>
        </mc:AlternateContent>
        <mc:AlternateContent xmlns:mc="http://schemas.openxmlformats.org/markup-compatibility/2006">
          <mc:Choice Requires="x14">
            <control shapeId="97293" r:id="rId16" name="Check Box 13">
              <controlPr defaultSize="0" autoFill="0" autoLine="0" autoPict="0" macro="[0]!CheckBox1_Click" altText="">
                <anchor>
                  <from>
                    <xdr:col>22</xdr:col>
                    <xdr:colOff>66675</xdr:colOff>
                    <xdr:row>50</xdr:row>
                    <xdr:rowOff>161925</xdr:rowOff>
                  </from>
                  <to>
                    <xdr:col>35</xdr:col>
                    <xdr:colOff>47625</xdr:colOff>
                    <xdr:row>52</xdr:row>
                    <xdr:rowOff>19050</xdr:rowOff>
                  </to>
                </anchor>
              </controlPr>
            </control>
          </mc:Choice>
        </mc:AlternateContent>
        <mc:AlternateContent xmlns:mc="http://schemas.openxmlformats.org/markup-compatibility/2006">
          <mc:Choice Requires="x14">
            <control shapeId="97294" r:id="rId17" name="Check Box 14">
              <controlPr defaultSize="0" autoFill="0" autoLine="0" autoPict="0" macro="[0]!CheckBox1_Click" altText="">
                <anchor>
                  <from>
                    <xdr:col>22</xdr:col>
                    <xdr:colOff>66675</xdr:colOff>
                    <xdr:row>51</xdr:row>
                    <xdr:rowOff>161925</xdr:rowOff>
                  </from>
                  <to>
                    <xdr:col>35</xdr:col>
                    <xdr:colOff>47625</xdr:colOff>
                    <xdr:row>53</xdr:row>
                    <xdr:rowOff>19050</xdr:rowOff>
                  </to>
                </anchor>
              </controlPr>
            </control>
          </mc:Choice>
        </mc:AlternateContent>
        <mc:AlternateContent xmlns:mc="http://schemas.openxmlformats.org/markup-compatibility/2006">
          <mc:Choice Requires="x14">
            <control shapeId="97295" r:id="rId18" name="Check Box 15">
              <controlPr defaultSize="0" autoFill="0" autoLine="0" autoPict="0" macro="[0]!CheckBox1_Click" altText="">
                <anchor>
                  <from>
                    <xdr:col>22</xdr:col>
                    <xdr:colOff>66675</xdr:colOff>
                    <xdr:row>52</xdr:row>
                    <xdr:rowOff>161925</xdr:rowOff>
                  </from>
                  <to>
                    <xdr:col>35</xdr:col>
                    <xdr:colOff>47625</xdr:colOff>
                    <xdr:row>54</xdr:row>
                    <xdr:rowOff>19050</xdr:rowOff>
                  </to>
                </anchor>
              </controlPr>
            </control>
          </mc:Choice>
        </mc:AlternateContent>
        <mc:AlternateContent xmlns:mc="http://schemas.openxmlformats.org/markup-compatibility/2006">
          <mc:Choice Requires="x14">
            <control shapeId="97296" r:id="rId19" name="Check Box 16">
              <controlPr defaultSize="0" autoFill="0" autoLine="0" autoPict="0" macro="[0]!CheckBox1_Click" altText="">
                <anchor>
                  <from>
                    <xdr:col>22</xdr:col>
                    <xdr:colOff>66675</xdr:colOff>
                    <xdr:row>53</xdr:row>
                    <xdr:rowOff>161925</xdr:rowOff>
                  </from>
                  <to>
                    <xdr:col>35</xdr:col>
                    <xdr:colOff>47625</xdr:colOff>
                    <xdr:row>55</xdr:row>
                    <xdr:rowOff>19050</xdr:rowOff>
                  </to>
                </anchor>
              </controlPr>
            </control>
          </mc:Choice>
        </mc:AlternateContent>
        <mc:AlternateContent xmlns:mc="http://schemas.openxmlformats.org/markup-compatibility/2006">
          <mc:Choice Requires="x14">
            <control shapeId="97297" r:id="rId20" name="Check Box 17">
              <controlPr defaultSize="0" autoFill="0" autoLine="0" autoPict="0" macro="[0]!CheckBox1_Click" altText="">
                <anchor>
                  <from>
                    <xdr:col>22</xdr:col>
                    <xdr:colOff>66675</xdr:colOff>
                    <xdr:row>56</xdr:row>
                    <xdr:rowOff>161925</xdr:rowOff>
                  </from>
                  <to>
                    <xdr:col>35</xdr:col>
                    <xdr:colOff>47625</xdr:colOff>
                    <xdr:row>58</xdr:row>
                    <xdr:rowOff>19050</xdr:rowOff>
                  </to>
                </anchor>
              </controlPr>
            </control>
          </mc:Choice>
        </mc:AlternateContent>
        <mc:AlternateContent xmlns:mc="http://schemas.openxmlformats.org/markup-compatibility/2006">
          <mc:Choice Requires="x14">
            <control shapeId="97298" r:id="rId21" name="Check Box 18">
              <controlPr defaultSize="0" autoFill="0" autoLine="0" autoPict="0" macro="[0]!CheckBox1_Click" altText="">
                <anchor>
                  <from>
                    <xdr:col>22</xdr:col>
                    <xdr:colOff>66675</xdr:colOff>
                    <xdr:row>57</xdr:row>
                    <xdr:rowOff>161925</xdr:rowOff>
                  </from>
                  <to>
                    <xdr:col>35</xdr:col>
                    <xdr:colOff>47625</xdr:colOff>
                    <xdr:row>59</xdr:row>
                    <xdr:rowOff>19050</xdr:rowOff>
                  </to>
                </anchor>
              </controlPr>
            </control>
          </mc:Choice>
        </mc:AlternateContent>
        <mc:AlternateContent xmlns:mc="http://schemas.openxmlformats.org/markup-compatibility/2006">
          <mc:Choice Requires="x14">
            <control shapeId="97299" r:id="rId22" name="Check Box 19">
              <controlPr defaultSize="0" autoFill="0" autoLine="0" autoPict="0" macro="[0]!CheckBox1_Click" altText="">
                <anchor>
                  <from>
                    <xdr:col>22</xdr:col>
                    <xdr:colOff>66675</xdr:colOff>
                    <xdr:row>58</xdr:row>
                    <xdr:rowOff>161925</xdr:rowOff>
                  </from>
                  <to>
                    <xdr:col>35</xdr:col>
                    <xdr:colOff>47625</xdr:colOff>
                    <xdr:row>60</xdr:row>
                    <xdr:rowOff>19050</xdr:rowOff>
                  </to>
                </anchor>
              </controlPr>
            </control>
          </mc:Choice>
        </mc:AlternateContent>
        <mc:AlternateContent xmlns:mc="http://schemas.openxmlformats.org/markup-compatibility/2006">
          <mc:Choice Requires="x14">
            <control shapeId="97300" r:id="rId23" name="Check Box 20">
              <controlPr defaultSize="0" autoFill="0" autoLine="0" autoPict="0" macro="[0]!CheckBox1_Click" altText="">
                <anchor>
                  <from>
                    <xdr:col>22</xdr:col>
                    <xdr:colOff>66675</xdr:colOff>
                    <xdr:row>59</xdr:row>
                    <xdr:rowOff>161925</xdr:rowOff>
                  </from>
                  <to>
                    <xdr:col>35</xdr:col>
                    <xdr:colOff>47625</xdr:colOff>
                    <xdr:row>61</xdr:row>
                    <xdr:rowOff>19050</xdr:rowOff>
                  </to>
                </anchor>
              </controlPr>
            </control>
          </mc:Choice>
        </mc:AlternateContent>
        <mc:AlternateContent xmlns:mc="http://schemas.openxmlformats.org/markup-compatibility/2006">
          <mc:Choice Requires="x14">
            <control shapeId="97301" r:id="rId24" name="Check Box 21">
              <controlPr defaultSize="0" autoFill="0" autoLine="0" autoPict="0" macro="[0]!CheckBox1_Click" altText="">
                <anchor>
                  <from>
                    <xdr:col>22</xdr:col>
                    <xdr:colOff>66675</xdr:colOff>
                    <xdr:row>60</xdr:row>
                    <xdr:rowOff>161925</xdr:rowOff>
                  </from>
                  <to>
                    <xdr:col>35</xdr:col>
                    <xdr:colOff>47625</xdr:colOff>
                    <xdr:row>62</xdr:row>
                    <xdr:rowOff>19050</xdr:rowOff>
                  </to>
                </anchor>
              </controlPr>
            </control>
          </mc:Choice>
        </mc:AlternateContent>
        <mc:AlternateContent xmlns:mc="http://schemas.openxmlformats.org/markup-compatibility/2006">
          <mc:Choice Requires="x14">
            <control shapeId="97302" r:id="rId25" name="Check Box 22">
              <controlPr defaultSize="0" autoFill="0" autoLine="0" autoPict="0" macro="[0]!CheckBox1_Click" altText="">
                <anchor>
                  <from>
                    <xdr:col>22</xdr:col>
                    <xdr:colOff>66675</xdr:colOff>
                    <xdr:row>54</xdr:row>
                    <xdr:rowOff>161925</xdr:rowOff>
                  </from>
                  <to>
                    <xdr:col>35</xdr:col>
                    <xdr:colOff>47625</xdr:colOff>
                    <xdr:row>56</xdr:row>
                    <xdr:rowOff>19050</xdr:rowOff>
                  </to>
                </anchor>
              </controlPr>
            </control>
          </mc:Choice>
        </mc:AlternateContent>
        <mc:AlternateContent xmlns:mc="http://schemas.openxmlformats.org/markup-compatibility/2006">
          <mc:Choice Requires="x14">
            <control shapeId="97303" r:id="rId26" name="Check Box 23">
              <controlPr defaultSize="0" autoFill="0" autoLine="0" autoPict="0" macro="[0]!CheckBox1_Click" altText="">
                <anchor>
                  <from>
                    <xdr:col>22</xdr:col>
                    <xdr:colOff>66675</xdr:colOff>
                    <xdr:row>55</xdr:row>
                    <xdr:rowOff>161925</xdr:rowOff>
                  </from>
                  <to>
                    <xdr:col>35</xdr:col>
                    <xdr:colOff>47625</xdr:colOff>
                    <xdr:row>57</xdr:row>
                    <xdr:rowOff>19050</xdr:rowOff>
                  </to>
                </anchor>
              </controlPr>
            </control>
          </mc:Choice>
        </mc:AlternateContent>
        <mc:AlternateContent xmlns:mc="http://schemas.openxmlformats.org/markup-compatibility/2006">
          <mc:Choice Requires="x14">
            <control shapeId="97304" r:id="rId27" name="Check Box 24">
              <controlPr defaultSize="0" autoFill="0" autoLine="0" autoPict="0" macro="[0]!CheckBox1_Click" altText="">
                <anchor>
                  <from>
                    <xdr:col>22</xdr:col>
                    <xdr:colOff>66675</xdr:colOff>
                    <xdr:row>61</xdr:row>
                    <xdr:rowOff>161925</xdr:rowOff>
                  </from>
                  <to>
                    <xdr:col>35</xdr:col>
                    <xdr:colOff>47625</xdr:colOff>
                    <xdr:row>63</xdr:row>
                    <xdr:rowOff>19050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dimension ref="A1:BA343"/>
  <sheetViews>
    <sheetView showRowColHeaders="0" zoomScaleNormal="100" workbookViewId="0"/>
  </sheetViews>
  <sheetFormatPr defaultColWidth="9.140625" defaultRowHeight="11.25" customHeight="1" x14ac:dyDescent="0.2"/>
  <cols>
    <col min="1" max="1" width="2.140625" style="80" customWidth="1"/>
    <col min="2" max="2" width="17.140625" style="80" customWidth="1"/>
    <col min="3" max="3" width="1.42578125" style="80" customWidth="1"/>
    <col min="4" max="8" width="7.42578125" style="80" customWidth="1"/>
    <col min="9" max="9" width="7.7109375" style="80" customWidth="1"/>
    <col min="10" max="10" width="1.42578125" style="106" customWidth="1"/>
    <col min="11" max="15" width="7.42578125" style="80" customWidth="1"/>
    <col min="16" max="16" width="7.140625" style="80" customWidth="1"/>
    <col min="17" max="17" width="1.42578125" style="80" customWidth="1"/>
    <col min="18" max="18" width="7.140625" style="80" customWidth="1"/>
    <col min="19" max="19" width="8.140625" style="80" bestFit="1" customWidth="1"/>
    <col min="20" max="20" width="7.5703125" style="80" customWidth="1"/>
    <col min="21" max="21" width="2.140625" style="80" customWidth="1"/>
    <col min="22" max="22" width="6.42578125" style="87" customWidth="1"/>
    <col min="23" max="23" width="4.85546875" style="87" customWidth="1"/>
    <col min="24" max="24" width="17.85546875" style="88" hidden="1" customWidth="1"/>
    <col min="25" max="25" width="19.42578125" style="88" hidden="1" customWidth="1"/>
    <col min="26" max="26" width="19.85546875" style="88" hidden="1" customWidth="1"/>
    <col min="27" max="28" width="16.7109375" style="88" hidden="1" customWidth="1"/>
    <col min="29" max="30" width="8.5703125" style="88" hidden="1" customWidth="1"/>
    <col min="31" max="31" width="3.5703125" style="88" hidden="1" customWidth="1"/>
    <col min="32" max="32" width="17" style="88" hidden="1" customWidth="1"/>
    <col min="33" max="33" width="5.7109375" style="88" hidden="1" customWidth="1"/>
    <col min="34" max="34" width="4.85546875" style="88" hidden="1" customWidth="1"/>
    <col min="35" max="35" width="5.7109375" style="80" hidden="1" customWidth="1"/>
    <col min="36" max="36" width="31.5703125" style="80" customWidth="1"/>
    <col min="37" max="37" width="17" style="80" hidden="1" customWidth="1"/>
    <col min="38" max="42" width="13.7109375" style="80" hidden="1" customWidth="1"/>
    <col min="43" max="53" width="9.140625" style="80" hidden="1" customWidth="1"/>
    <col min="54" max="16384" width="9.140625" style="80"/>
  </cols>
  <sheetData>
    <row r="1" spans="1:44" ht="18.75" customHeight="1" x14ac:dyDescent="0.2">
      <c r="A1" s="129"/>
      <c r="B1" s="130"/>
      <c r="C1" s="130"/>
      <c r="D1" s="130"/>
      <c r="E1" s="130"/>
      <c r="F1" s="130"/>
      <c r="G1" s="130"/>
      <c r="H1" s="130"/>
      <c r="I1" s="130"/>
      <c r="J1" s="131"/>
      <c r="K1" s="130"/>
      <c r="L1" s="130"/>
      <c r="M1" s="130"/>
      <c r="N1" s="130"/>
      <c r="O1" s="130"/>
      <c r="P1" s="130"/>
      <c r="Q1" s="130"/>
      <c r="R1" s="130"/>
      <c r="S1" s="130"/>
      <c r="T1" s="130"/>
      <c r="U1" s="132"/>
      <c r="V1" s="306"/>
      <c r="W1" s="173"/>
      <c r="X1" s="206"/>
      <c r="Y1" s="206"/>
      <c r="Z1" s="206"/>
      <c r="AA1" s="206"/>
      <c r="AB1" s="206"/>
      <c r="AC1" s="206"/>
      <c r="AD1" s="206"/>
      <c r="AE1" s="206"/>
      <c r="AF1" s="206"/>
      <c r="AG1" s="206"/>
      <c r="AH1" s="206"/>
      <c r="AI1" s="207"/>
      <c r="AJ1" s="174"/>
    </row>
    <row r="2" spans="1:44" ht="18.75" customHeight="1" x14ac:dyDescent="0.2">
      <c r="A2" s="135"/>
      <c r="B2" s="145" t="s">
        <v>91</v>
      </c>
      <c r="C2" s="9"/>
      <c r="D2" s="9"/>
      <c r="E2" s="9"/>
      <c r="F2" s="9"/>
      <c r="G2" s="9"/>
      <c r="H2" s="9"/>
      <c r="I2" s="9"/>
      <c r="J2" s="13"/>
      <c r="K2" s="9"/>
      <c r="L2" s="9"/>
      <c r="M2" s="9"/>
      <c r="N2" s="9"/>
      <c r="O2" s="9"/>
      <c r="P2" s="9"/>
      <c r="Q2" s="9"/>
      <c r="R2" s="9"/>
      <c r="S2" s="9"/>
      <c r="T2" s="9"/>
      <c r="U2" s="134"/>
      <c r="V2" s="179"/>
      <c r="W2" s="168"/>
      <c r="AI2" s="210"/>
      <c r="AJ2" s="175"/>
    </row>
    <row r="3" spans="1:44" ht="18.75" customHeight="1" x14ac:dyDescent="0.2">
      <c r="A3" s="141"/>
      <c r="B3" s="142"/>
      <c r="C3" s="142"/>
      <c r="D3" s="142"/>
      <c r="E3" s="142"/>
      <c r="F3" s="142"/>
      <c r="G3" s="142"/>
      <c r="H3" s="142"/>
      <c r="I3" s="298"/>
      <c r="J3" s="143"/>
      <c r="K3" s="142"/>
      <c r="L3" s="142"/>
      <c r="M3" s="142"/>
      <c r="N3" s="142"/>
      <c r="O3" s="142"/>
      <c r="P3" s="142"/>
      <c r="Q3" s="142"/>
      <c r="R3" s="142"/>
      <c r="S3" s="298"/>
      <c r="T3" s="142"/>
      <c r="U3" s="144"/>
      <c r="V3" s="179"/>
      <c r="W3" s="168"/>
      <c r="AI3" s="210"/>
      <c r="AJ3" s="175"/>
    </row>
    <row r="4" spans="1:44" ht="11.25" customHeight="1" x14ac:dyDescent="0.2">
      <c r="A4" s="129"/>
      <c r="B4" s="130"/>
      <c r="C4" s="130"/>
      <c r="D4" s="130"/>
      <c r="E4" s="130"/>
      <c r="F4" s="130"/>
      <c r="G4" s="130"/>
      <c r="H4" s="130"/>
      <c r="I4" s="130"/>
      <c r="J4" s="131"/>
      <c r="K4" s="130"/>
      <c r="L4" s="130"/>
      <c r="M4" s="130"/>
      <c r="N4" s="130"/>
      <c r="O4" s="130"/>
      <c r="P4" s="130"/>
      <c r="Q4" s="130"/>
      <c r="R4" s="130"/>
      <c r="S4" s="130"/>
      <c r="T4" s="130"/>
      <c r="U4" s="132"/>
      <c r="V4" s="152"/>
      <c r="W4" s="168"/>
      <c r="X4" s="212" t="e">
        <f>VLOOKUP(Y4,$X$9:$Y$30,2,FALSE)</f>
        <v>#N/A</v>
      </c>
      <c r="Y4" s="212" t="str">
        <f>Home!$D$10</f>
        <v>(none)</v>
      </c>
      <c r="Z4" s="43" t="str">
        <f>"Selected LA- "&amp;Y4</f>
        <v>Selected LA- (none)</v>
      </c>
      <c r="AI4" s="210"/>
      <c r="AJ4" s="175"/>
    </row>
    <row r="5" spans="1:44" s="82" customFormat="1" ht="15" customHeight="1" x14ac:dyDescent="0.2">
      <c r="A5" s="136"/>
      <c r="B5" s="1087" t="s">
        <v>148</v>
      </c>
      <c r="C5" s="1087"/>
      <c r="D5" s="1087"/>
      <c r="E5" s="1087"/>
      <c r="F5" s="1087"/>
      <c r="G5" s="1087"/>
      <c r="H5" s="1087"/>
      <c r="I5" s="1087"/>
      <c r="J5" s="1087"/>
      <c r="K5" s="1087"/>
      <c r="L5" s="1087"/>
      <c r="M5" s="1087"/>
      <c r="N5" s="1087"/>
      <c r="O5" s="1087"/>
      <c r="P5" s="1087"/>
      <c r="Q5" s="1087"/>
      <c r="R5" s="1087"/>
      <c r="S5" s="1087"/>
      <c r="T5" s="1087"/>
      <c r="U5" s="137"/>
      <c r="V5" s="153"/>
      <c r="W5" s="169"/>
      <c r="X5" s="215"/>
      <c r="Y5" s="215"/>
      <c r="Z5" s="215"/>
      <c r="AA5" s="215"/>
      <c r="AB5" s="215"/>
      <c r="AC5" s="215"/>
      <c r="AD5" s="215"/>
      <c r="AE5" s="215"/>
      <c r="AF5" s="215"/>
      <c r="AG5" s="215"/>
      <c r="AH5" s="215"/>
      <c r="AI5" s="215"/>
      <c r="AJ5" s="176"/>
    </row>
    <row r="6" spans="1:44" ht="13.5" customHeight="1" x14ac:dyDescent="0.2">
      <c r="A6" s="135"/>
      <c r="B6" s="1087"/>
      <c r="C6" s="1087"/>
      <c r="D6" s="1087"/>
      <c r="E6" s="1087"/>
      <c r="F6" s="1087"/>
      <c r="G6" s="1087"/>
      <c r="H6" s="1087"/>
      <c r="I6" s="1087"/>
      <c r="J6" s="1087"/>
      <c r="K6" s="1087"/>
      <c r="L6" s="1087"/>
      <c r="M6" s="1087"/>
      <c r="N6" s="1087"/>
      <c r="O6" s="1087"/>
      <c r="P6" s="1087"/>
      <c r="Q6" s="1087"/>
      <c r="R6" s="1087"/>
      <c r="S6" s="1087"/>
      <c r="T6" s="1087"/>
      <c r="U6" s="134"/>
      <c r="V6" s="152"/>
      <c r="W6" s="168"/>
      <c r="Y6" s="217"/>
      <c r="AI6" s="210"/>
      <c r="AJ6" s="175"/>
    </row>
    <row r="7" spans="1:44" s="101" customFormat="1" ht="21" customHeight="1" x14ac:dyDescent="0.2">
      <c r="A7" s="138"/>
      <c r="B7" s="1050" t="s">
        <v>215</v>
      </c>
      <c r="C7" s="97"/>
      <c r="D7" s="982" t="s">
        <v>88</v>
      </c>
      <c r="E7" s="1042"/>
      <c r="F7" s="1042"/>
      <c r="G7" s="1042"/>
      <c r="H7" s="1043"/>
      <c r="I7" s="1044" t="str">
        <f>"% Change "&amp;E8&amp;"-"&amp;RIGHT(H8,2)</f>
        <v>% Change 2015-18</v>
      </c>
      <c r="J7" s="115"/>
      <c r="K7" s="1046" t="s">
        <v>89</v>
      </c>
      <c r="L7" s="1047"/>
      <c r="M7" s="1047"/>
      <c r="N7" s="1047"/>
      <c r="O7" s="1047"/>
      <c r="P7" s="1048" t="str">
        <f>"SE Rank "&amp;O8</f>
        <v>SE Rank 2018</v>
      </c>
      <c r="Q7" s="70"/>
      <c r="R7" s="1096" t="str">
        <f>"Distance from Expected "&amp;H8</f>
        <v>Distance from Expected 2018</v>
      </c>
      <c r="S7" s="1097"/>
      <c r="T7" s="1098"/>
      <c r="U7" s="139"/>
      <c r="V7" s="154"/>
      <c r="W7" s="170"/>
      <c r="X7" s="232"/>
      <c r="Y7" s="232"/>
      <c r="Z7" s="233" t="s">
        <v>79</v>
      </c>
      <c r="AA7" s="217"/>
      <c r="AB7" s="217"/>
      <c r="AC7" s="226"/>
      <c r="AD7" s="226"/>
      <c r="AE7" s="217"/>
      <c r="AF7" s="234" t="s">
        <v>92</v>
      </c>
      <c r="AG7" s="217"/>
      <c r="AH7" s="217"/>
      <c r="AI7" s="232"/>
      <c r="AJ7" s="178"/>
    </row>
    <row r="8" spans="1:44" s="101" customFormat="1" ht="13.5" customHeight="1" x14ac:dyDescent="0.2">
      <c r="A8" s="138"/>
      <c r="B8" s="1051"/>
      <c r="C8" s="97"/>
      <c r="D8" s="393">
        <v>2014</v>
      </c>
      <c r="E8" s="393">
        <v>2015</v>
      </c>
      <c r="F8" s="393">
        <v>2016</v>
      </c>
      <c r="G8" s="393">
        <v>2017</v>
      </c>
      <c r="H8" s="394">
        <v>2018</v>
      </c>
      <c r="I8" s="1045"/>
      <c r="J8" s="115"/>
      <c r="K8" s="395">
        <f>D8</f>
        <v>2014</v>
      </c>
      <c r="L8" s="395">
        <f t="shared" ref="L8:O8" si="0">E8</f>
        <v>2015</v>
      </c>
      <c r="M8" s="395">
        <f t="shared" si="0"/>
        <v>2016</v>
      </c>
      <c r="N8" s="395">
        <f t="shared" si="0"/>
        <v>2017</v>
      </c>
      <c r="O8" s="396">
        <f t="shared" si="0"/>
        <v>2018</v>
      </c>
      <c r="P8" s="1049"/>
      <c r="Q8" s="70"/>
      <c r="R8" s="328" t="s">
        <v>78</v>
      </c>
      <c r="S8" s="375" t="s">
        <v>131</v>
      </c>
      <c r="T8" s="376" t="s">
        <v>132</v>
      </c>
      <c r="U8" s="139"/>
      <c r="V8" s="154"/>
      <c r="W8" s="170"/>
      <c r="X8" s="232"/>
      <c r="Y8" s="232"/>
      <c r="Z8" s="44">
        <f>K8</f>
        <v>2014</v>
      </c>
      <c r="AA8" s="44">
        <f>L8</f>
        <v>2015</v>
      </c>
      <c r="AB8" s="44">
        <f>M8</f>
        <v>2016</v>
      </c>
      <c r="AC8" s="44">
        <f>N8</f>
        <v>2017</v>
      </c>
      <c r="AD8" s="44">
        <f>O8</f>
        <v>2018</v>
      </c>
      <c r="AE8" s="217"/>
      <c r="AF8" s="217"/>
      <c r="AG8" s="217"/>
      <c r="AH8" s="217"/>
      <c r="AI8" s="232"/>
      <c r="AJ8" s="178"/>
    </row>
    <row r="9" spans="1:44" s="101" customFormat="1" ht="13.5" customHeight="1" x14ac:dyDescent="0.2">
      <c r="A9" s="533">
        <f>VLOOKUP(B9,Sheet1!$B$4:$C$25,2,FALSE)</f>
        <v>0</v>
      </c>
      <c r="B9" s="112" t="s">
        <v>0</v>
      </c>
      <c r="C9" s="97"/>
      <c r="D9" s="113">
        <f>IF(Year1_Bracknell_Forest Year1_CP_Conference="","",Year1_Bracknell_Forest Year1_CP_Conference)</f>
        <v>140</v>
      </c>
      <c r="E9" s="113">
        <f>IF(Year2_Bracknell_Forest Year2_CP_Conference="","",Year2_Bracknell_Forest Year2_CP_Conference)</f>
        <v>163</v>
      </c>
      <c r="F9" s="113">
        <f>IF(Year3_Bracknell_Forest Year3_CP_Conference="","",Year3_Bracknell_Forest Year3_CP_Conference)</f>
        <v>158</v>
      </c>
      <c r="G9" s="113">
        <f>IF(Year4_Bracknell_Forest Year4_CP_Conference="","",Year4_Bracknell_Forest Year4_CP_Conference)</f>
        <v>261</v>
      </c>
      <c r="H9" s="114">
        <f>IF(Year5_Bracknell_Forest Year5_CP_Conference="","",Year5_Bracknell_Forest Year5_CP_Conference)</f>
        <v>235</v>
      </c>
      <c r="I9" s="392">
        <f>IF(ISNUMBER(H9),(H9-E9)/E9,"")</f>
        <v>0.44171779141104295</v>
      </c>
      <c r="J9" s="115"/>
      <c r="K9" s="116">
        <f>IF(ISNUMBER(D9),D9/Population!C8*10000,NA())</f>
        <v>51.660516605166052</v>
      </c>
      <c r="L9" s="116">
        <f>IF(ISNUMBER(E9),E9/Population!D8*10000,NA())</f>
        <v>58.633093525179859</v>
      </c>
      <c r="M9" s="116">
        <f>IF(ISNUMBER(F9),F9/Population!E8*10000,NA())</f>
        <v>56.028368794326241</v>
      </c>
      <c r="N9" s="116">
        <f>IF(ISNUMBER(G9),G9/Population!F8*10000,NA())</f>
        <v>92.638602967274792</v>
      </c>
      <c r="O9" s="117">
        <f>IF(ISNUMBER(H9),H9/Population!G8*10000,NA())</f>
        <v>83.716290833956762</v>
      </c>
      <c r="P9" s="397">
        <f>IF(ISNA(VLOOKUP(B9,$AF$9:$AH$27,3,FALSE)),"--",IF(ISNUMBER(H9),VLOOKUP(B9,$AF$9:$AH$27,3,FALSE),NA()))</f>
        <v>15</v>
      </c>
      <c r="Q9" s="70"/>
      <c r="R9" s="387">
        <f>IDACI!C9</f>
        <v>11</v>
      </c>
      <c r="S9" s="388">
        <f>(R9*$Y$68)+$Z$68</f>
        <v>54.461259094896697</v>
      </c>
      <c r="T9" s="389">
        <f>O9-S9</f>
        <v>29.255031739060065</v>
      </c>
      <c r="U9" s="139"/>
      <c r="V9" s="154"/>
      <c r="W9" s="170"/>
      <c r="X9" s="72" t="str">
        <f t="shared" ref="X9:X32" si="1">B9</f>
        <v>Bracknell Forest</v>
      </c>
      <c r="Y9" s="235">
        <v>1</v>
      </c>
      <c r="Z9" s="236">
        <f>IF(D9&gt;0,Population!C8,"")</f>
        <v>27100</v>
      </c>
      <c r="AA9" s="236">
        <f>IF(E9&gt;0,Population!D8,"")</f>
        <v>27800</v>
      </c>
      <c r="AB9" s="236">
        <f>IF(F9&gt;0,Population!E8,"")</f>
        <v>28200</v>
      </c>
      <c r="AC9" s="236">
        <f>IF(G9&gt;0,Population!F8,"")</f>
        <v>28174</v>
      </c>
      <c r="AD9" s="236">
        <f>IF(H9&gt;0,Population!G8,"")</f>
        <v>28071</v>
      </c>
      <c r="AE9" s="217"/>
      <c r="AF9" s="112" t="str">
        <f>B9</f>
        <v>Bracknell Forest</v>
      </c>
      <c r="AG9" s="262">
        <f>IFERROR(VLOOKUP(AF9,$B$9:$O$30,14,FALSE),"")</f>
        <v>83.716290833956762</v>
      </c>
      <c r="AH9" s="237">
        <f>RANK(AG9,$AG$9:$AG$27,1)</f>
        <v>15</v>
      </c>
      <c r="AI9" s="232"/>
      <c r="AJ9" s="178"/>
    </row>
    <row r="10" spans="1:44" s="101" customFormat="1" ht="13.5" customHeight="1" x14ac:dyDescent="0.2">
      <c r="A10" s="533">
        <f>VLOOKUP(B10,Sheet1!$B$4:$C$25,2,FALSE)</f>
        <v>0</v>
      </c>
      <c r="B10" s="112" t="s">
        <v>32</v>
      </c>
      <c r="C10" s="97"/>
      <c r="D10" s="113">
        <f>IF(Year1_Brighton_Hove Year1_CP_Conference="","",Year1_Brighton_Hove Year1_CP_Conference)</f>
        <v>427</v>
      </c>
      <c r="E10" s="113">
        <f>IF(Year2_Brighton_Hove Year2_CP_Conference="","",Year2_Brighton_Hove Year2_CP_Conference)</f>
        <v>472</v>
      </c>
      <c r="F10" s="113">
        <f>IF(Year3_Brighton_Hove Year3_CP_Conference="","",Year3_Brighton_Hove Year3_CP_Conference)</f>
        <v>544</v>
      </c>
      <c r="G10" s="113">
        <f>IF(Year4_Brighton_Hove Year4_CP_Conference="","",Year4_Brighton_Hove Year4_CP_Conference)</f>
        <v>471</v>
      </c>
      <c r="H10" s="114">
        <f>IF(Year5_Brighton_Hove Year5_CP_Conference="","",Year5_Brighton_Hove Year5_CP_Conference)</f>
        <v>481</v>
      </c>
      <c r="I10" s="392">
        <f>IF(ISNUMBER(H10),(H10-E10)/E10,"")</f>
        <v>1.9067796610169493E-2</v>
      </c>
      <c r="J10" s="115"/>
      <c r="K10" s="116">
        <f>IF(ISNUMBER(D10),D10/Population!C9*10000,NA())</f>
        <v>84.554455445544562</v>
      </c>
      <c r="L10" s="116">
        <f>IF(ISNUMBER(E10),E10/Population!D9*10000,NA())</f>
        <v>92.54901960784315</v>
      </c>
      <c r="M10" s="116">
        <f>IF(ISNUMBER(F10),F10/Population!E9*10000,NA())</f>
        <v>106.25000000000001</v>
      </c>
      <c r="N10" s="116">
        <f>IF(ISNUMBER(G10),G10/Population!F9*10000,NA())</f>
        <v>91.846882861098649</v>
      </c>
      <c r="O10" s="117">
        <f>IF(ISNUMBER(H10),H10/Population!G9*10000,NA())</f>
        <v>94.348875071104914</v>
      </c>
      <c r="P10" s="397">
        <f t="shared" ref="P10:P32" si="2">IF(ISNA(VLOOKUP(B10,$AF$9:$AH$27,3,FALSE)),"--",IF(ISNUMBER(H10),VLOOKUP(B10,$AF$9:$AH$27,3,FALSE),NA()))</f>
        <v>16</v>
      </c>
      <c r="Q10" s="70"/>
      <c r="R10" s="387">
        <f>IDACI!C10</f>
        <v>18.3</v>
      </c>
      <c r="S10" s="388">
        <f t="shared" ref="S10:S32" si="3">(R10*$Y$68)+$Z$68</f>
        <v>67.292722395823404</v>
      </c>
      <c r="T10" s="389">
        <f t="shared" ref="T10:T32" si="4">O10-S10</f>
        <v>27.05615267528151</v>
      </c>
      <c r="U10" s="139"/>
      <c r="V10" s="154"/>
      <c r="W10" s="170"/>
      <c r="X10" s="72" t="str">
        <f t="shared" si="1"/>
        <v>Brighton &amp; Hove</v>
      </c>
      <c r="Y10" s="235">
        <v>2</v>
      </c>
      <c r="Z10" s="236">
        <f>IF(D10&gt;0,Population!C9,"")</f>
        <v>50500</v>
      </c>
      <c r="AA10" s="236">
        <f>IF(E10&gt;0,Population!D9,"")</f>
        <v>51000</v>
      </c>
      <c r="AB10" s="236">
        <f>IF(F10&gt;0,Population!E9,"")</f>
        <v>51200</v>
      </c>
      <c r="AC10" s="236">
        <f>IF(G10&gt;0,Population!F9,"")</f>
        <v>51281</v>
      </c>
      <c r="AD10" s="236">
        <f>IF(H10&gt;0,Population!G9,"")</f>
        <v>50981</v>
      </c>
      <c r="AE10" s="217"/>
      <c r="AF10" s="112" t="s">
        <v>32</v>
      </c>
      <c r="AG10" s="262">
        <f t="shared" ref="AG10:AG27" si="5">IFERROR(VLOOKUP(AF10,$B$9:$O$30,14,FALSE),"")</f>
        <v>94.348875071104914</v>
      </c>
      <c r="AH10" s="237">
        <f t="shared" ref="AH10:AH27" si="6">RANK(AG10,$AG$9:$AG$27,1)</f>
        <v>16</v>
      </c>
      <c r="AI10" s="232"/>
      <c r="AJ10" s="178"/>
    </row>
    <row r="11" spans="1:44" s="101" customFormat="1" ht="13.5" customHeight="1" x14ac:dyDescent="0.2">
      <c r="A11" s="533">
        <f>VLOOKUP(B11,Sheet1!$B$4:$C$25,2,FALSE)</f>
        <v>0</v>
      </c>
      <c r="B11" s="112" t="s">
        <v>9</v>
      </c>
      <c r="C11" s="97"/>
      <c r="D11" s="113">
        <f>IF(Year1_Buckinghamshire Year1_CP_Conference="","",Year1_Buckinghamshire Year1_CP_Conference)</f>
        <v>328</v>
      </c>
      <c r="E11" s="113">
        <f>IF(Year2_Buckinghamshire Year2_CP_Conference="","",Year2_Buckinghamshire Year2_CP_Conference)</f>
        <v>511</v>
      </c>
      <c r="F11" s="113">
        <f>IF(Year3_Buckinghamshire Year3_CP_Conference="","",Year3_Buckinghamshire Year3_CP_Conference)</f>
        <v>749</v>
      </c>
      <c r="G11" s="113">
        <f>IF(Year4_Buckinghamshire Year4_CP_Conference="","",Year4_Buckinghamshire Year4_CP_Conference)</f>
        <v>866</v>
      </c>
      <c r="H11" s="114">
        <f>IF(Year5_Buckinghamshire Year5_CP_Conference="","",Year5_Buckinghamshire Year5_CP_Conference)</f>
        <v>862</v>
      </c>
      <c r="I11" s="392">
        <f t="shared" ref="I11:I32" si="7">IF(ISNUMBER(H11),(H11-E11)/E11,"")</f>
        <v>0.6868884540117417</v>
      </c>
      <c r="J11" s="115"/>
      <c r="K11" s="116">
        <f>IF(ISNUMBER(D11),D11/Population!C10*10000,NA())</f>
        <v>27.891156462585034</v>
      </c>
      <c r="L11" s="116">
        <f>IF(ISNUMBER(E11),E11/Population!D10*10000,NA())</f>
        <v>42.97729184188394</v>
      </c>
      <c r="M11" s="116">
        <f>IF(ISNUMBER(F11),F11/Population!E10*10000,NA())</f>
        <v>62.106135986733001</v>
      </c>
      <c r="N11" s="116">
        <f>IF(ISNUMBER(G11),G11/Population!F10*10000,NA())</f>
        <v>70.864530911173844</v>
      </c>
      <c r="O11" s="117">
        <f>IF(ISNUMBER(H11),H11/Population!G10*10000,NA())</f>
        <v>70.038594353036757</v>
      </c>
      <c r="P11" s="397">
        <f t="shared" si="2"/>
        <v>13</v>
      </c>
      <c r="Q11" s="70"/>
      <c r="R11" s="387">
        <f>IDACI!C11</f>
        <v>9.8000000000000007</v>
      </c>
      <c r="S11" s="388">
        <f t="shared" si="3"/>
        <v>52.351977456388198</v>
      </c>
      <c r="T11" s="389">
        <f t="shared" si="4"/>
        <v>17.686616896648559</v>
      </c>
      <c r="U11" s="139"/>
      <c r="V11" s="154"/>
      <c r="W11" s="170"/>
      <c r="X11" s="72" t="str">
        <f t="shared" si="1"/>
        <v>Buckinghamshire</v>
      </c>
      <c r="Y11" s="235">
        <v>3</v>
      </c>
      <c r="Z11" s="236">
        <f>IF(D11&gt;0,Population!C10,"")</f>
        <v>117600</v>
      </c>
      <c r="AA11" s="236">
        <f>IF(E11&gt;0,Population!D10,"")</f>
        <v>118900</v>
      </c>
      <c r="AB11" s="236">
        <f>IF(F11&gt;0,Population!E10,"")</f>
        <v>120600</v>
      </c>
      <c r="AC11" s="236">
        <f>IF(G11&gt;0,Population!F10,"")</f>
        <v>122205</v>
      </c>
      <c r="AD11" s="236">
        <f>IF(H11&gt;0,Population!G10,"")</f>
        <v>123075</v>
      </c>
      <c r="AE11" s="217"/>
      <c r="AF11" s="112" t="s">
        <v>9</v>
      </c>
      <c r="AG11" s="262">
        <f t="shared" si="5"/>
        <v>70.038594353036757</v>
      </c>
      <c r="AH11" s="237">
        <f t="shared" si="6"/>
        <v>13</v>
      </c>
      <c r="AI11" s="232"/>
      <c r="AJ11" s="178"/>
    </row>
    <row r="12" spans="1:44" s="101" customFormat="1" ht="13.5" customHeight="1" x14ac:dyDescent="0.2">
      <c r="A12" s="533">
        <f>VLOOKUP(B12,Sheet1!$B$4:$C$25,2,FALSE)</f>
        <v>0</v>
      </c>
      <c r="B12" s="112" t="s">
        <v>4</v>
      </c>
      <c r="C12" s="97"/>
      <c r="D12" s="113">
        <f>IF(Year1_East_Sussex Year1_CP_Conference="","",Year1_East_Sussex Year1_CP_Conference)</f>
        <v>635</v>
      </c>
      <c r="E12" s="118">
        <f>IF(Year2_East_Sussex Year2_CP_Conference="","",Year2_East_Sussex Year2_CP_Conference)</f>
        <v>625</v>
      </c>
      <c r="F12" s="113">
        <f>IF(Year3_East_Sussex Year3_CP_Conference="","",Year3_East_Sussex Year3_CP_Conference)</f>
        <v>483</v>
      </c>
      <c r="G12" s="113">
        <f>IF(Year4_East_Sussex Year4_CP_Conference="","",Year4_East_Sussex Year4_CP_Conference)</f>
        <v>627</v>
      </c>
      <c r="H12" s="114">
        <f>IF(Year5_East_Sussex Year5_CP_Conference="","",Year5_East_Sussex Year5_CP_Conference)</f>
        <v>711</v>
      </c>
      <c r="I12" s="392">
        <f t="shared" si="7"/>
        <v>0.1376</v>
      </c>
      <c r="J12" s="115"/>
      <c r="K12" s="116">
        <f>IF(ISNUMBER(D12),D12/Population!C11*10000,NA())</f>
        <v>60.591603053435115</v>
      </c>
      <c r="L12" s="116">
        <f>IF(ISNUMBER(E12),E12/Population!D11*10000,NA())</f>
        <v>59.297912713472485</v>
      </c>
      <c r="M12" s="116">
        <f>IF(ISNUMBER(F12),F12/Population!E11*10000,NA())</f>
        <v>45.609065155807372</v>
      </c>
      <c r="N12" s="116">
        <f>IF(ISNUMBER(G12),G12/Population!F11*10000,NA())</f>
        <v>59.193942769747842</v>
      </c>
      <c r="O12" s="117">
        <f>IF(ISNUMBER(H12),H12/Population!G11*10000,NA())</f>
        <v>67.047008345513703</v>
      </c>
      <c r="P12" s="397">
        <f t="shared" si="2"/>
        <v>11</v>
      </c>
      <c r="Q12" s="70"/>
      <c r="R12" s="387">
        <f>IDACI!C12</f>
        <v>17.399999999999999</v>
      </c>
      <c r="S12" s="388">
        <f t="shared" si="3"/>
        <v>65.710761166942021</v>
      </c>
      <c r="T12" s="389">
        <f t="shared" si="4"/>
        <v>1.3362471785716821</v>
      </c>
      <c r="U12" s="139"/>
      <c r="V12" s="154"/>
      <c r="W12" s="170"/>
      <c r="X12" s="72" t="str">
        <f t="shared" si="1"/>
        <v>East Sussex</v>
      </c>
      <c r="Y12" s="235">
        <v>4</v>
      </c>
      <c r="Z12" s="236">
        <f>IF(D12&gt;0,Population!C11,"")</f>
        <v>104800</v>
      </c>
      <c r="AA12" s="236">
        <f>IF(E12&gt;0,Population!D11,"")</f>
        <v>105400</v>
      </c>
      <c r="AB12" s="236">
        <f>IF(F12&gt;0,Population!E11,"")</f>
        <v>105900</v>
      </c>
      <c r="AC12" s="236">
        <f>IF(G12&gt;0,Population!F11,"")</f>
        <v>105923</v>
      </c>
      <c r="AD12" s="236">
        <f>IF(H12&gt;0,Population!G11,"")</f>
        <v>106045</v>
      </c>
      <c r="AE12" s="217"/>
      <c r="AF12" s="112" t="s">
        <v>4</v>
      </c>
      <c r="AG12" s="262">
        <f t="shared" si="5"/>
        <v>67.047008345513703</v>
      </c>
      <c r="AH12" s="237">
        <f t="shared" si="6"/>
        <v>11</v>
      </c>
      <c r="AI12" s="232"/>
      <c r="AJ12" s="178"/>
    </row>
    <row r="13" spans="1:44" s="101" customFormat="1" ht="13.5" customHeight="1" x14ac:dyDescent="0.2">
      <c r="A13" s="533">
        <f>VLOOKUP(B13,Sheet1!$B$4:$C$25,2,FALSE)</f>
        <v>0</v>
      </c>
      <c r="B13" s="112" t="s">
        <v>6</v>
      </c>
      <c r="C13" s="97"/>
      <c r="D13" s="113">
        <f>IF(Year1_Hampshire Year1_CP_Conference="","",Year1_Hampshire Year1_CP_Conference)</f>
        <v>1527</v>
      </c>
      <c r="E13" s="113">
        <f>IF(Year2_Hampshire Year2_CP_Conference="","",Year2_Hampshire Year2_CP_Conference)</f>
        <v>2114</v>
      </c>
      <c r="F13" s="119">
        <f>IF(Year3_Hampshire Year3_CP_Conference="","",Year3_Hampshire Year3_CP_Conference)</f>
        <v>1900</v>
      </c>
      <c r="G13" s="119">
        <f>IF(Year4_Hampshire Year4_CP_Conference="","",Year4_Hampshire Year4_CP_Conference)</f>
        <v>1869</v>
      </c>
      <c r="H13" s="114">
        <f>IF(Year5_Hampshire Year5_CP_Conference="","",Year5_Hampshire Year5_CP_Conference)</f>
        <v>1784</v>
      </c>
      <c r="I13" s="392">
        <f t="shared" si="7"/>
        <v>-0.15610217596972564</v>
      </c>
      <c r="J13" s="115"/>
      <c r="K13" s="116">
        <f>IF(ISNUMBER(D13),D13/Population!C12*10000,NA())</f>
        <v>54.168144732174532</v>
      </c>
      <c r="L13" s="116">
        <f>IF(ISNUMBER(E13),E13/Population!D12*10000,NA())</f>
        <v>75.097690941385437</v>
      </c>
      <c r="M13" s="116">
        <f>IF(ISNUMBER(F13),F13/Population!E12*10000,NA())</f>
        <v>67.399787158566866</v>
      </c>
      <c r="N13" s="116">
        <f>IF(ISNUMBER(G13),G13/Population!F12*10000,NA())</f>
        <v>66.091212238013227</v>
      </c>
      <c r="O13" s="117">
        <f>IF(ISNUMBER(H13),H13/Population!G12*10000,NA())</f>
        <v>62.969002590765015</v>
      </c>
      <c r="P13" s="397">
        <f t="shared" si="2"/>
        <v>8</v>
      </c>
      <c r="Q13" s="70"/>
      <c r="R13" s="387">
        <f>IDACI!C13</f>
        <v>11.799999999999999</v>
      </c>
      <c r="S13" s="388">
        <f t="shared" si="3"/>
        <v>55.867446853902365</v>
      </c>
      <c r="T13" s="389">
        <f t="shared" si="4"/>
        <v>7.1015557368626503</v>
      </c>
      <c r="U13" s="139"/>
      <c r="V13" s="154"/>
      <c r="W13" s="170"/>
      <c r="X13" s="72" t="str">
        <f t="shared" si="1"/>
        <v>Hampshire</v>
      </c>
      <c r="Y13" s="235">
        <v>5</v>
      </c>
      <c r="Z13" s="236">
        <f>IF(D13&gt;0,Population!C12,"")</f>
        <v>281900</v>
      </c>
      <c r="AA13" s="236">
        <f>IF(E13&gt;0,Population!D12,"")</f>
        <v>281500</v>
      </c>
      <c r="AB13" s="236">
        <f>IF(F13&gt;0,Population!E12,"")</f>
        <v>281900</v>
      </c>
      <c r="AC13" s="236">
        <f>IF(G13&gt;0,Population!F12,"")</f>
        <v>282791</v>
      </c>
      <c r="AD13" s="236">
        <f>IF(H13&gt;0,Population!G12,"")</f>
        <v>283314</v>
      </c>
      <c r="AE13" s="217"/>
      <c r="AF13" s="112" t="s">
        <v>6</v>
      </c>
      <c r="AG13" s="262">
        <f t="shared" si="5"/>
        <v>62.969002590765015</v>
      </c>
      <c r="AH13" s="237">
        <f t="shared" si="6"/>
        <v>8</v>
      </c>
      <c r="AI13" s="232"/>
      <c r="AJ13" s="178"/>
    </row>
    <row r="14" spans="1:44" s="101" customFormat="1" ht="13.5" customHeight="1" x14ac:dyDescent="0.2">
      <c r="A14" s="533">
        <f>VLOOKUP(B14,Sheet1!$B$4:$C$25,2,FALSE)</f>
        <v>0</v>
      </c>
      <c r="B14" s="112" t="s">
        <v>1</v>
      </c>
      <c r="C14" s="97"/>
      <c r="D14" s="113">
        <f>IF(Year1_Isle_of_Wight Year1_CP_Conference="","",Year1_Isle_of_Wight Year1_CP_Conference)</f>
        <v>254</v>
      </c>
      <c r="E14" s="113">
        <f>IF(Year2_Isle_of_Wight Year2_CP_Conference="","",Year2_Isle_of_Wight Year2_CP_Conference)</f>
        <v>329</v>
      </c>
      <c r="F14" s="113">
        <f>IF(Year3_Isle_of_Wight Year3_CP_Conference="","",Year3_Isle_of_Wight Year3_CP_Conference)</f>
        <v>375</v>
      </c>
      <c r="G14" s="113">
        <f>IF(Year4_Isle_of_Wight Year4_CP_Conference="","",Year4_Isle_of_Wight Year4_CP_Conference)</f>
        <v>288</v>
      </c>
      <c r="H14" s="114">
        <f>IF(Year5_Isle_of_Wight Year5_CP_Conference="","",Year5_Isle_of_Wight Year5_CP_Conference)</f>
        <v>271</v>
      </c>
      <c r="I14" s="392">
        <f t="shared" si="7"/>
        <v>-0.17629179331306991</v>
      </c>
      <c r="J14" s="115"/>
      <c r="K14" s="116">
        <f>IF(ISNUMBER(D14),D14/Population!C13*10000,NA())</f>
        <v>98.449612403100772</v>
      </c>
      <c r="L14" s="116">
        <f>IF(ISNUMBER(E14),E14/Population!D13*10000,NA())</f>
        <v>129.01960784313727</v>
      </c>
      <c r="M14" s="116">
        <f>IF(ISNUMBER(F14),F14/Population!E13*10000,NA())</f>
        <v>148.22134387351778</v>
      </c>
      <c r="N14" s="116">
        <f>IF(ISNUMBER(G14),G14/Population!F13*10000,NA())</f>
        <v>114.28571428571429</v>
      </c>
      <c r="O14" s="117">
        <f>IF(ISNUMBER(H14),H14/Population!G13*10000,NA())</f>
        <v>108.16204350429057</v>
      </c>
      <c r="P14" s="397">
        <f t="shared" si="2"/>
        <v>18</v>
      </c>
      <c r="Q14" s="70"/>
      <c r="R14" s="387">
        <f>IDACI!C14</f>
        <v>20.399999999999999</v>
      </c>
      <c r="S14" s="388">
        <f t="shared" si="3"/>
        <v>70.983965263213264</v>
      </c>
      <c r="T14" s="389">
        <f t="shared" si="4"/>
        <v>37.178078241077301</v>
      </c>
      <c r="U14" s="139"/>
      <c r="V14" s="154"/>
      <c r="W14" s="170"/>
      <c r="X14" s="72" t="str">
        <f t="shared" si="1"/>
        <v>Isle of Wight</v>
      </c>
      <c r="Y14" s="235">
        <v>6</v>
      </c>
      <c r="Z14" s="236">
        <f>IF(D14&gt;0,Population!C13,"")</f>
        <v>25800</v>
      </c>
      <c r="AA14" s="236">
        <f>IF(E14&gt;0,Population!D13,"")</f>
        <v>25500</v>
      </c>
      <c r="AB14" s="236">
        <f>IF(F14&gt;0,Population!E13,"")</f>
        <v>25300</v>
      </c>
      <c r="AC14" s="236">
        <f>IF(G14&gt;0,Population!F13,"")</f>
        <v>25200</v>
      </c>
      <c r="AD14" s="236">
        <f>IF(H14&gt;0,Population!G13,"")</f>
        <v>25055</v>
      </c>
      <c r="AE14" s="217"/>
      <c r="AF14" s="112" t="s">
        <v>1</v>
      </c>
      <c r="AG14" s="262">
        <f t="shared" si="5"/>
        <v>108.16204350429057</v>
      </c>
      <c r="AH14" s="237">
        <f t="shared" si="6"/>
        <v>18</v>
      </c>
      <c r="AI14" s="232"/>
      <c r="AJ14" s="178"/>
      <c r="AR14" s="101" t="s">
        <v>104</v>
      </c>
    </row>
    <row r="15" spans="1:44" s="101" customFormat="1" ht="13.5" customHeight="1" x14ac:dyDescent="0.2">
      <c r="A15" s="533">
        <f>VLOOKUP(B15,Sheet1!$B$4:$C$25,2,FALSE)</f>
        <v>0</v>
      </c>
      <c r="B15" s="112" t="s">
        <v>10</v>
      </c>
      <c r="C15" s="97"/>
      <c r="D15" s="113">
        <f>IF(Year1_Kent Year1_CP_Conference="","",Year1_Kent Year1_CP_Conference)</f>
        <v>1568</v>
      </c>
      <c r="E15" s="113">
        <f>IF(Year2_Kent Year2_CP_Conference="","",Year2_Kent Year2_CP_Conference)</f>
        <v>1798</v>
      </c>
      <c r="F15" s="113">
        <f>IF(Year3_Kent Year3_CP_Conference="","",Year3_Kent Year3_CP_Conference)</f>
        <v>1549</v>
      </c>
      <c r="G15" s="113">
        <f>IF(Year4_Kent Year4_CP_Conference="","",Year4_Kent Year4_CP_Conference)</f>
        <v>1494</v>
      </c>
      <c r="H15" s="114">
        <f>IF(Year5_Kent Year5_CP_Conference="","",Year5_Kent Year5_CP_Conference)</f>
        <v>1762</v>
      </c>
      <c r="I15" s="392">
        <f t="shared" si="7"/>
        <v>-2.0022246941045607E-2</v>
      </c>
      <c r="J15" s="115"/>
      <c r="K15" s="116">
        <f>IF(ISNUMBER(D15),D15/Population!C14*10000,NA())</f>
        <v>48.157248157248155</v>
      </c>
      <c r="L15" s="116">
        <f>IF(ISNUMBER(E15),E15/Population!D14*10000,NA())</f>
        <v>54.766981419433442</v>
      </c>
      <c r="M15" s="116">
        <f>IF(ISNUMBER(F15),F15/Population!E14*10000,NA())</f>
        <v>46.882566585956418</v>
      </c>
      <c r="N15" s="116">
        <f>IF(ISNUMBER(G15),G15/Population!F14*10000,NA())</f>
        <v>44.858802864477774</v>
      </c>
      <c r="O15" s="117">
        <f>IF(ISNUMBER(H15),H15/Population!G14*10000,NA())</f>
        <v>52.426433395816595</v>
      </c>
      <c r="P15" s="397">
        <f t="shared" si="2"/>
        <v>4</v>
      </c>
      <c r="Q15" s="70"/>
      <c r="R15" s="387">
        <f>IDACI!C15</f>
        <v>17.8</v>
      </c>
      <c r="S15" s="388">
        <f t="shared" si="3"/>
        <v>66.413855046444851</v>
      </c>
      <c r="T15" s="389">
        <f t="shared" si="4"/>
        <v>-13.987421650628256</v>
      </c>
      <c r="U15" s="139"/>
      <c r="V15" s="154"/>
      <c r="W15" s="170"/>
      <c r="X15" s="72" t="str">
        <f t="shared" si="1"/>
        <v>Kent</v>
      </c>
      <c r="Y15" s="235">
        <v>7</v>
      </c>
      <c r="Z15" s="236">
        <f>IF(D15&gt;0,Population!C14,"")</f>
        <v>325600</v>
      </c>
      <c r="AA15" s="236">
        <f>IF(E15&gt;0,Population!D14,"")</f>
        <v>328300</v>
      </c>
      <c r="AB15" s="236">
        <f>IF(F15&gt;0,Population!E14,"")</f>
        <v>330400</v>
      </c>
      <c r="AC15" s="236">
        <f>IF(G15&gt;0,Population!F14,"")</f>
        <v>333045</v>
      </c>
      <c r="AD15" s="236">
        <f>IF(H15&gt;0,Population!G14,"")</f>
        <v>336090</v>
      </c>
      <c r="AE15" s="217"/>
      <c r="AF15" s="112" t="s">
        <v>10</v>
      </c>
      <c r="AG15" s="262">
        <f t="shared" si="5"/>
        <v>52.426433395816595</v>
      </c>
      <c r="AH15" s="237">
        <f t="shared" si="6"/>
        <v>4</v>
      </c>
      <c r="AI15" s="232"/>
      <c r="AJ15" s="178"/>
    </row>
    <row r="16" spans="1:44" s="101" customFormat="1" ht="13.5" customHeight="1" x14ac:dyDescent="0.2">
      <c r="A16" s="533">
        <f>VLOOKUP(B16,Sheet1!$B$4:$C$25,2,FALSE)</f>
        <v>0</v>
      </c>
      <c r="B16" s="112" t="s">
        <v>2</v>
      </c>
      <c r="C16" s="97"/>
      <c r="D16" s="113">
        <f>IF(Year1_Medway Year1_CP_Conference="","",Year1_Medway Year1_CP_Conference)</f>
        <v>431</v>
      </c>
      <c r="E16" s="329">
        <f>IF(Year2_Medway Year2_CP_Conference="","",Year2_Medway Year2_CP_Conference)</f>
        <v>606</v>
      </c>
      <c r="F16" s="329">
        <f>IF(Year3_Medway Year3_CP_Conference="","",Year3_Medway Year3_CP_Conference)</f>
        <v>607</v>
      </c>
      <c r="G16" s="329">
        <f>IF(Year4_Medway Year4_CP_Conference="","",Year4_Medway Year4_CP_Conference)</f>
        <v>351</v>
      </c>
      <c r="H16" s="330">
        <f>IF(Year5_Medway Year5_CP_Conference="","",Year5_Medway Year5_CP_Conference)</f>
        <v>403</v>
      </c>
      <c r="I16" s="392">
        <f t="shared" si="7"/>
        <v>-0.33498349834983498</v>
      </c>
      <c r="J16" s="115"/>
      <c r="K16" s="116">
        <f>IF(ISNUMBER(D16),D16/Population!C15*10000,NA())</f>
        <v>69.967532467532465</v>
      </c>
      <c r="L16" s="116">
        <f>IF(ISNUMBER(E16),E16/Population!D15*10000,NA())</f>
        <v>96.96</v>
      </c>
      <c r="M16" s="116">
        <f>IF(ISNUMBER(F16),F16/Population!E15*10000,NA())</f>
        <v>96.044303797468359</v>
      </c>
      <c r="N16" s="116">
        <f>IF(ISNUMBER(G16),G16/Population!F15*10000,NA())</f>
        <v>55.104636011115126</v>
      </c>
      <c r="O16" s="117">
        <f>IF(ISNUMBER(H16),H16/Population!G15*10000,NA())</f>
        <v>63.024881535117217</v>
      </c>
      <c r="P16" s="397">
        <f t="shared" si="2"/>
        <v>9</v>
      </c>
      <c r="Q16" s="70"/>
      <c r="R16" s="387">
        <f>IDACI!C16</f>
        <v>22</v>
      </c>
      <c r="S16" s="388">
        <f t="shared" si="3"/>
        <v>73.7963407812246</v>
      </c>
      <c r="T16" s="389">
        <f t="shared" si="4"/>
        <v>-10.771459246107383</v>
      </c>
      <c r="U16" s="139"/>
      <c r="V16" s="154"/>
      <c r="W16" s="170"/>
      <c r="X16" s="72" t="str">
        <f t="shared" si="1"/>
        <v>Medway</v>
      </c>
      <c r="Y16" s="235">
        <v>8</v>
      </c>
      <c r="Z16" s="236">
        <f>IF(D16&gt;0,Population!C15,"")</f>
        <v>61600</v>
      </c>
      <c r="AA16" s="236">
        <f>IF(E16&gt;0,Population!D15,"")</f>
        <v>62500</v>
      </c>
      <c r="AB16" s="236">
        <f>IF(F16&gt;0,Population!E15,"")</f>
        <v>63200</v>
      </c>
      <c r="AC16" s="236">
        <f>IF(G16&gt;0,Population!F15,"")</f>
        <v>63697</v>
      </c>
      <c r="AD16" s="236">
        <f>IF(H16&gt;0,Population!G15,"")</f>
        <v>63943</v>
      </c>
      <c r="AE16" s="217"/>
      <c r="AF16" s="112" t="s">
        <v>2</v>
      </c>
      <c r="AG16" s="262">
        <f t="shared" si="5"/>
        <v>63.024881535117217</v>
      </c>
      <c r="AH16" s="237">
        <f t="shared" si="6"/>
        <v>9</v>
      </c>
      <c r="AI16" s="232"/>
      <c r="AJ16" s="178"/>
    </row>
    <row r="17" spans="1:36" s="101" customFormat="1" ht="13.5" customHeight="1" x14ac:dyDescent="0.2">
      <c r="A17" s="533">
        <f>VLOOKUP(B17,Sheet1!$B$4:$C$25,2,FALSE)</f>
        <v>0</v>
      </c>
      <c r="B17" s="112" t="s">
        <v>11</v>
      </c>
      <c r="C17" s="97"/>
      <c r="D17" s="113">
        <f>IF(Year1_Milton_Keynes Year1_CP_Conference="","",Year1_Milton_Keynes Year1_CP_Conference)</f>
        <v>73</v>
      </c>
      <c r="E17" s="113">
        <f>IF(Year2_Milton_Keynes Year2_CP_Conference="","",Year2_Milton_Keynes Year2_CP_Conference)</f>
        <v>118</v>
      </c>
      <c r="F17" s="113">
        <f>IF(Year3_Milton_Keynes Year3_CP_Conference="","",Year3_Milton_Keynes Year3_CP_Conference)</f>
        <v>120</v>
      </c>
      <c r="G17" s="113">
        <f>IF(Year4_Milton_Keynes Year4_CP_Conference="","",Year4_Milton_Keynes Year4_CP_Conference)</f>
        <v>147</v>
      </c>
      <c r="H17" s="114">
        <f>IF(Year5_Milton_Keynes Year5_CP_Conference="","",Year5_Milton_Keynes Year5_CP_Conference)</f>
        <v>175</v>
      </c>
      <c r="I17" s="392">
        <f t="shared" si="7"/>
        <v>0.48305084745762711</v>
      </c>
      <c r="J17" s="115"/>
      <c r="K17" s="116">
        <f>IF(ISNUMBER(D17),D17/Population!C16*10000,NA())</f>
        <v>11.40625</v>
      </c>
      <c r="L17" s="116">
        <f>IF(ISNUMBER(E17),E17/Population!D16*10000,NA())</f>
        <v>18.098159509202453</v>
      </c>
      <c r="M17" s="116">
        <f>IF(ISNUMBER(F17),F17/Population!E16*10000,NA())</f>
        <v>18.154311649016641</v>
      </c>
      <c r="N17" s="116">
        <f>IF(ISNUMBER(G17),G17/Population!F16*10000,NA())</f>
        <v>21.892592261638818</v>
      </c>
      <c r="O17" s="117">
        <f>IF(ISNUMBER(H17),H17/Population!G16*10000,NA())</f>
        <v>25.869587712684968</v>
      </c>
      <c r="P17" s="397">
        <f t="shared" si="2"/>
        <v>1</v>
      </c>
      <c r="Q17" s="70"/>
      <c r="R17" s="387">
        <f>IDACI!C17</f>
        <v>19.7</v>
      </c>
      <c r="S17" s="388">
        <f t="shared" si="3"/>
        <v>69.753550974083311</v>
      </c>
      <c r="T17" s="389">
        <f t="shared" si="4"/>
        <v>-43.883963261398343</v>
      </c>
      <c r="U17" s="139"/>
      <c r="V17" s="154"/>
      <c r="W17" s="170"/>
      <c r="X17" s="72" t="str">
        <f t="shared" si="1"/>
        <v>Milton Keynes</v>
      </c>
      <c r="Y17" s="235">
        <v>9</v>
      </c>
      <c r="Z17" s="236">
        <f>IF(D17&gt;0,Population!C16,"")</f>
        <v>64000</v>
      </c>
      <c r="AA17" s="236">
        <f>IF(E17&gt;0,Population!D16,"")</f>
        <v>65200</v>
      </c>
      <c r="AB17" s="236">
        <f>IF(F17&gt;0,Population!E16,"")</f>
        <v>66100</v>
      </c>
      <c r="AC17" s="236">
        <f>IF(G17&gt;0,Population!F16,"")</f>
        <v>67146</v>
      </c>
      <c r="AD17" s="236">
        <f>IF(H17&gt;0,Population!G16,"")</f>
        <v>67647</v>
      </c>
      <c r="AE17" s="217"/>
      <c r="AF17" s="112" t="s">
        <v>11</v>
      </c>
      <c r="AG17" s="262">
        <f t="shared" si="5"/>
        <v>25.869587712684968</v>
      </c>
      <c r="AH17" s="237">
        <f t="shared" si="6"/>
        <v>1</v>
      </c>
      <c r="AI17" s="232"/>
      <c r="AJ17" s="178"/>
    </row>
    <row r="18" spans="1:36" s="101" customFormat="1" ht="13.5" customHeight="1" x14ac:dyDescent="0.2">
      <c r="A18" s="533">
        <f>VLOOKUP(B18,Sheet1!$B$4:$C$25,2,FALSE)</f>
        <v>0</v>
      </c>
      <c r="B18" s="112" t="s">
        <v>12</v>
      </c>
      <c r="C18" s="97"/>
      <c r="D18" s="113">
        <f>IF(Year1_Oxfordshire Year1_CP_Conference="","",Year1_Oxfordshire Year1_CP_Conference)</f>
        <v>617</v>
      </c>
      <c r="E18" s="113">
        <f>IF(Year2_Oxfordshire Year2_CP_Conference="","",Year2_Oxfordshire Year2_CP_Conference)</f>
        <v>721</v>
      </c>
      <c r="F18" s="113">
        <f>IF(Year3_Oxfordshire Year3_CP_Conference="","",Year3_Oxfordshire Year3_CP_Conference)</f>
        <v>778</v>
      </c>
      <c r="G18" s="113">
        <f>IF(Year4_Oxfordshire Year4_CP_Conference="","",Year4_Oxfordshire Year4_CP_Conference)</f>
        <v>920</v>
      </c>
      <c r="H18" s="114">
        <f>IF(Year5_Oxfordshire Year5_CP_Conference="","",Year5_Oxfordshire Year5_CP_Conference)</f>
        <v>878</v>
      </c>
      <c r="I18" s="392">
        <f t="shared" si="7"/>
        <v>0.21775312066574201</v>
      </c>
      <c r="J18" s="115"/>
      <c r="K18" s="116">
        <f>IF(ISNUMBER(D18),D18/Population!C17*10000,NA())</f>
        <v>43.977191732002851</v>
      </c>
      <c r="L18" s="116">
        <f>IF(ISNUMBER(E18),E18/Population!D17*10000,NA())</f>
        <v>51.062322946175634</v>
      </c>
      <c r="M18" s="116">
        <f>IF(ISNUMBER(F18),F18/Population!E17*10000,NA())</f>
        <v>54.866008462623412</v>
      </c>
      <c r="N18" s="116">
        <f>IF(ISNUMBER(G18),G18/Population!F17*10000,NA())</f>
        <v>64.382037411562166</v>
      </c>
      <c r="O18" s="117">
        <f>IF(ISNUMBER(H18),H18/Population!G17*10000,NA())</f>
        <v>61.208555255012413</v>
      </c>
      <c r="P18" s="397">
        <f t="shared" si="2"/>
        <v>6</v>
      </c>
      <c r="Q18" s="70"/>
      <c r="R18" s="387">
        <f>IDACI!C18</f>
        <v>11.799999999999999</v>
      </c>
      <c r="S18" s="388">
        <f t="shared" si="3"/>
        <v>55.867446853902365</v>
      </c>
      <c r="T18" s="389">
        <f t="shared" si="4"/>
        <v>5.3411084011100485</v>
      </c>
      <c r="U18" s="139"/>
      <c r="V18" s="154"/>
      <c r="W18" s="170"/>
      <c r="X18" s="72" t="str">
        <f t="shared" si="1"/>
        <v>Oxfordshire</v>
      </c>
      <c r="Y18" s="235">
        <v>10</v>
      </c>
      <c r="Z18" s="236">
        <f>IF(D18&gt;0,Population!C17,"")</f>
        <v>140300</v>
      </c>
      <c r="AA18" s="236">
        <f>IF(E18&gt;0,Population!D17,"")</f>
        <v>141200</v>
      </c>
      <c r="AB18" s="236">
        <f>IF(F18&gt;0,Population!E17,"")</f>
        <v>141800</v>
      </c>
      <c r="AC18" s="236">
        <f>IF(G18&gt;0,Population!F17,"")</f>
        <v>142897</v>
      </c>
      <c r="AD18" s="236">
        <f>IF(H18&gt;0,Population!G17,"")</f>
        <v>143444</v>
      </c>
      <c r="AE18" s="217"/>
      <c r="AF18" s="112" t="s">
        <v>12</v>
      </c>
      <c r="AG18" s="262">
        <f t="shared" si="5"/>
        <v>61.208555255012413</v>
      </c>
      <c r="AH18" s="237">
        <f t="shared" si="6"/>
        <v>6</v>
      </c>
      <c r="AI18" s="232"/>
      <c r="AJ18" s="178"/>
    </row>
    <row r="19" spans="1:36" s="101" customFormat="1" ht="13.5" customHeight="1" x14ac:dyDescent="0.2">
      <c r="A19" s="533">
        <f>VLOOKUP(B19,Sheet1!$B$4:$C$25,2,FALSE)</f>
        <v>0</v>
      </c>
      <c r="B19" s="112" t="s">
        <v>13</v>
      </c>
      <c r="C19" s="97"/>
      <c r="D19" s="113">
        <f>IF(Year1_Portsmouth Year1_CP_Conference="","",Year1_Portsmouth Year1_CP_Conference)</f>
        <v>259</v>
      </c>
      <c r="E19" s="113">
        <f>IF(Year2_Portsmouth Year2_CP_Conference="","",Year2_Portsmouth Year2_CP_Conference)</f>
        <v>287</v>
      </c>
      <c r="F19" s="113">
        <f>IF(Year3_Portsmouth Year3_CP_Conference="","",Year3_Portsmouth Year3_CP_Conference)</f>
        <v>336</v>
      </c>
      <c r="G19" s="113">
        <f>IF(Year4_Portsmouth Year4_CP_Conference="","",Year4_Portsmouth Year4_CP_Conference)</f>
        <v>299</v>
      </c>
      <c r="H19" s="114">
        <f>IF(Year5_Portsmouth Year5_CP_Conference="","",Year5_Portsmouth Year5_CP_Conference)</f>
        <v>309</v>
      </c>
      <c r="I19" s="392">
        <f t="shared" si="7"/>
        <v>7.6655052264808357E-2</v>
      </c>
      <c r="J19" s="115"/>
      <c r="K19" s="116">
        <f>IF(ISNUMBER(D19),D19/Population!C18*10000,NA())</f>
        <v>60.798122065727696</v>
      </c>
      <c r="L19" s="116">
        <f>IF(ISNUMBER(E19),E19/Population!D18*10000,NA())</f>
        <v>66.129032258064512</v>
      </c>
      <c r="M19" s="116">
        <f>IF(ISNUMBER(F19),F19/Population!E18*10000,NA())</f>
        <v>76.712328767123282</v>
      </c>
      <c r="N19" s="116">
        <f>IF(ISNUMBER(G19),G19/Population!F18*10000,NA())</f>
        <v>67.954545454545453</v>
      </c>
      <c r="O19" s="117">
        <f>IF(ISNUMBER(H19),H19/Population!G18*10000,NA())</f>
        <v>69.922157856625631</v>
      </c>
      <c r="P19" s="397">
        <f t="shared" si="2"/>
        <v>12</v>
      </c>
      <c r="Q19" s="70"/>
      <c r="R19" s="387">
        <f>IDACI!C19</f>
        <v>23.799999999999997</v>
      </c>
      <c r="S19" s="388">
        <f t="shared" si="3"/>
        <v>76.960263238987352</v>
      </c>
      <c r="T19" s="389">
        <f t="shared" si="4"/>
        <v>-7.0381053823617208</v>
      </c>
      <c r="U19" s="139"/>
      <c r="V19" s="154"/>
      <c r="W19" s="170"/>
      <c r="X19" s="72" t="str">
        <f t="shared" si="1"/>
        <v>Portsmouth</v>
      </c>
      <c r="Y19" s="235">
        <v>11</v>
      </c>
      <c r="Z19" s="236">
        <f>IF(D19&gt;0,Population!C18,"")</f>
        <v>42600</v>
      </c>
      <c r="AA19" s="236">
        <f>IF(E19&gt;0,Population!D18,"")</f>
        <v>43400</v>
      </c>
      <c r="AB19" s="236">
        <f>IF(F19&gt;0,Population!E18,"")</f>
        <v>43800</v>
      </c>
      <c r="AC19" s="236">
        <f>IF(G19&gt;0,Population!F18,"")</f>
        <v>44000</v>
      </c>
      <c r="AD19" s="236">
        <f>IF(H19&gt;0,Population!G18,"")</f>
        <v>44192</v>
      </c>
      <c r="AE19" s="217"/>
      <c r="AF19" s="112" t="s">
        <v>13</v>
      </c>
      <c r="AG19" s="262">
        <f t="shared" si="5"/>
        <v>69.922157856625631</v>
      </c>
      <c r="AH19" s="237">
        <f t="shared" si="6"/>
        <v>12</v>
      </c>
      <c r="AI19" s="232"/>
      <c r="AJ19" s="178"/>
    </row>
    <row r="20" spans="1:36" s="101" customFormat="1" ht="13.5" customHeight="1" x14ac:dyDescent="0.2">
      <c r="A20" s="533">
        <f>VLOOKUP(B20,Sheet1!$B$4:$C$25,2,FALSE)</f>
        <v>0</v>
      </c>
      <c r="B20" s="112" t="s">
        <v>3</v>
      </c>
      <c r="C20" s="97"/>
      <c r="D20" s="113">
        <f>IF(Year1_Reading Year1_CP_Conference="","",Year1_Reading Year1_CP_Conference)</f>
        <v>229</v>
      </c>
      <c r="E20" s="113">
        <f>IF(Year2_Reading Year2_CP_Conference="","",Year2_Reading Year2_CP_Conference)</f>
        <v>301</v>
      </c>
      <c r="F20" s="113">
        <f>IF(Year3_Reading Year3_CP_Conference="","",Year3_Reading Year3_CP_Conference)</f>
        <v>430</v>
      </c>
      <c r="G20" s="113">
        <f>IF(Year4_Reading Year4_CP_Conference="","",Year4_Reading Year4_CP_Conference)</f>
        <v>528</v>
      </c>
      <c r="H20" s="114">
        <f>IF(Year5_Reading Year5_CP_Conference="","",Year5_Reading Year5_CP_Conference)</f>
        <v>415</v>
      </c>
      <c r="I20" s="392">
        <f t="shared" si="7"/>
        <v>0.37873754152823919</v>
      </c>
      <c r="J20" s="115"/>
      <c r="K20" s="116">
        <f>IF(ISNUMBER(D20),D20/Population!C19*10000,NA())</f>
        <v>65.994236311239192</v>
      </c>
      <c r="L20" s="116">
        <f>IF(ISNUMBER(E20),E20/Population!D19*10000,NA())</f>
        <v>83.844011142061291</v>
      </c>
      <c r="M20" s="116">
        <f>IF(ISNUMBER(F20),F20/Population!E19*10000,NA())</f>
        <v>118.13186813186813</v>
      </c>
      <c r="N20" s="116">
        <f>IF(ISNUMBER(G20),G20/Population!F19*10000,NA())</f>
        <v>144.10087060942658</v>
      </c>
      <c r="O20" s="117">
        <f>IF(ISNUMBER(H20),H20/Population!G19*10000,NA())</f>
        <v>111.88094788774161</v>
      </c>
      <c r="P20" s="397">
        <f t="shared" si="2"/>
        <v>19</v>
      </c>
      <c r="Q20" s="70"/>
      <c r="R20" s="387">
        <f>IDACI!C20</f>
        <v>19.8</v>
      </c>
      <c r="S20" s="388">
        <f t="shared" si="3"/>
        <v>69.929324443959018</v>
      </c>
      <c r="T20" s="389">
        <f t="shared" si="4"/>
        <v>41.951623443782594</v>
      </c>
      <c r="U20" s="139"/>
      <c r="V20" s="154"/>
      <c r="W20" s="170"/>
      <c r="X20" s="72" t="str">
        <f t="shared" si="1"/>
        <v>Reading</v>
      </c>
      <c r="Y20" s="235">
        <v>12</v>
      </c>
      <c r="Z20" s="236">
        <f>IF(D20&gt;0,Population!C19,"")</f>
        <v>34700</v>
      </c>
      <c r="AA20" s="236">
        <f>IF(E20&gt;0,Population!D19,"")</f>
        <v>35900</v>
      </c>
      <c r="AB20" s="236">
        <f>IF(F20&gt;0,Population!E19,"")</f>
        <v>36400</v>
      </c>
      <c r="AC20" s="236">
        <f>IF(G20&gt;0,Population!F19,"")</f>
        <v>36641</v>
      </c>
      <c r="AD20" s="236">
        <f>IF(H20&gt;0,Population!G19,"")</f>
        <v>37093</v>
      </c>
      <c r="AE20" s="217"/>
      <c r="AF20" s="112" t="s">
        <v>3</v>
      </c>
      <c r="AG20" s="262">
        <f t="shared" si="5"/>
        <v>111.88094788774161</v>
      </c>
      <c r="AH20" s="237">
        <f t="shared" si="6"/>
        <v>19</v>
      </c>
      <c r="AI20" s="232"/>
      <c r="AJ20" s="178"/>
    </row>
    <row r="21" spans="1:36" s="101" customFormat="1" ht="13.5" customHeight="1" x14ac:dyDescent="0.2">
      <c r="A21" s="533">
        <f>VLOOKUP(B21,Sheet1!$B$4:$C$25,2,FALSE)</f>
        <v>0</v>
      </c>
      <c r="B21" s="112" t="s">
        <v>14</v>
      </c>
      <c r="C21" s="97"/>
      <c r="D21" s="113">
        <f>IF(Year1_Slough Year1_CP_Conference="","",Year1_Slough Year1_CP_Conference)</f>
        <v>397</v>
      </c>
      <c r="E21" s="113">
        <f>IF(Year2_Slough Year2_CP_Conference="","",Year2_Slough Year2_CP_Conference)</f>
        <v>382</v>
      </c>
      <c r="F21" s="113">
        <f>IF(Year3_Slough Year3_CP_Conference="","",Year3_Slough Year3_CP_Conference)</f>
        <v>351</v>
      </c>
      <c r="G21" s="113">
        <f>IF(Year4_Slough Year4_CP_Conference="","",Year4_Slough Year4_CP_Conference)</f>
        <v>338</v>
      </c>
      <c r="H21" s="114">
        <f>IF(Year5_Slough Year5_CP_Conference="","",Year5_Slough Year5_CP_Conference)</f>
        <v>274</v>
      </c>
      <c r="I21" s="392">
        <f t="shared" si="7"/>
        <v>-0.28272251308900526</v>
      </c>
      <c r="J21" s="115"/>
      <c r="K21" s="116">
        <f>IF(ISNUMBER(D21),D21/Population!C20*10000,NA())</f>
        <v>102.05655526992288</v>
      </c>
      <c r="L21" s="116">
        <f>IF(ISNUMBER(E21),E21/Population!D20*10000,NA())</f>
        <v>95.739348370927317</v>
      </c>
      <c r="M21" s="116">
        <f>IF(ISNUMBER(F21),F21/Population!E20*10000,NA())</f>
        <v>86.453201970443359</v>
      </c>
      <c r="N21" s="116">
        <f>IF(ISNUMBER(G21),G21/Population!F20*10000,NA())</f>
        <v>81.630681543737623</v>
      </c>
      <c r="O21" s="117">
        <f>IF(ISNUMBER(H21),H21/Population!G20*10000,NA())</f>
        <v>64.959696538643911</v>
      </c>
      <c r="P21" s="397">
        <f t="shared" si="2"/>
        <v>10</v>
      </c>
      <c r="Q21" s="70"/>
      <c r="R21" s="387">
        <f>IDACI!C21</f>
        <v>19.5</v>
      </c>
      <c r="S21" s="388">
        <f t="shared" si="3"/>
        <v>69.402004034331895</v>
      </c>
      <c r="T21" s="389">
        <f t="shared" si="4"/>
        <v>-4.4423074956879844</v>
      </c>
      <c r="U21" s="139"/>
      <c r="V21" s="154"/>
      <c r="W21" s="170"/>
      <c r="X21" s="72" t="str">
        <f t="shared" si="1"/>
        <v>Slough</v>
      </c>
      <c r="Y21" s="235">
        <v>13</v>
      </c>
      <c r="Z21" s="236">
        <f>IF(D21&gt;0,Population!C20,"")</f>
        <v>38900</v>
      </c>
      <c r="AA21" s="236">
        <f>IF(E21&gt;0,Population!D20,"")</f>
        <v>39900</v>
      </c>
      <c r="AB21" s="236">
        <f>IF(F21&gt;0,Population!E20,"")</f>
        <v>40600</v>
      </c>
      <c r="AC21" s="236">
        <f>IF(G21&gt;0,Population!F20,"")</f>
        <v>41406</v>
      </c>
      <c r="AD21" s="236">
        <f>IF(H21&gt;0,Population!G20,"")</f>
        <v>42180</v>
      </c>
      <c r="AE21" s="217"/>
      <c r="AF21" s="112" t="s">
        <v>14</v>
      </c>
      <c r="AG21" s="262">
        <f t="shared" si="5"/>
        <v>64.959696538643911</v>
      </c>
      <c r="AH21" s="237">
        <f t="shared" si="6"/>
        <v>10</v>
      </c>
      <c r="AI21" s="232"/>
      <c r="AJ21" s="178"/>
    </row>
    <row r="22" spans="1:36" s="101" customFormat="1" ht="13.5" customHeight="1" x14ac:dyDescent="0.2">
      <c r="A22" s="533">
        <f>VLOOKUP(B22,Sheet1!$B$4:$C$25,2,FALSE)</f>
        <v>0</v>
      </c>
      <c r="B22" s="112" t="s">
        <v>93</v>
      </c>
      <c r="C22" s="97"/>
      <c r="D22" s="113">
        <f>IF(Year1_Somerset Year1_CP_Conference="","",Year1_Somerset Year1_CP_Conference)</f>
        <v>575</v>
      </c>
      <c r="E22" s="113">
        <f>IF(Year2_Somerset Year2_CP_Conference="","",Year2_Somerset Year2_CP_Conference)</f>
        <v>707</v>
      </c>
      <c r="F22" s="113">
        <f>IF(Year3_Somerset Year3_CP_Conference="","",Year3_Somerset Year3_CP_Conference)</f>
        <v>478</v>
      </c>
      <c r="G22" s="113">
        <f>IF(Year4_Somerset Year4_CP_Conference="","",Year4_Somerset Year4_CP_Conference)</f>
        <v>661</v>
      </c>
      <c r="H22" s="114">
        <f>IF(Year5_Somerset Year5_CP_Conference="","",Year5_Somerset Year5_CP_Conference)</f>
        <v>586</v>
      </c>
      <c r="I22" s="392">
        <f t="shared" si="7"/>
        <v>-0.17114568599717114</v>
      </c>
      <c r="J22" s="115"/>
      <c r="K22" s="116">
        <f>IF(ISNUMBER(D22),D22/Population!C21*10000,NA())</f>
        <v>52.849264705882355</v>
      </c>
      <c r="L22" s="116">
        <f>IF(ISNUMBER(E22),E22/Population!D21*10000,NA())</f>
        <v>64.921946740128561</v>
      </c>
      <c r="M22" s="116">
        <f>IF(ISNUMBER(F22),F22/Population!E21*10000,NA())</f>
        <v>43.772893772893774</v>
      </c>
      <c r="N22" s="116">
        <f>IF(ISNUMBER(G22),G22/Population!F21*10000,NA())</f>
        <v>60.278869566010378</v>
      </c>
      <c r="O22" s="117">
        <f>IF(ISNUMBER(H22),H22/Population!G21*10000,NA())</f>
        <v>53.232077322771701</v>
      </c>
      <c r="P22" s="422" t="str">
        <f t="shared" si="2"/>
        <v>--</v>
      </c>
      <c r="Q22" s="70"/>
      <c r="R22" s="387">
        <f>IDACI!C22</f>
        <v>14.8</v>
      </c>
      <c r="S22" s="388">
        <f t="shared" si="3"/>
        <v>61.140650950173608</v>
      </c>
      <c r="T22" s="389">
        <f t="shared" si="4"/>
        <v>-7.9085736274019069</v>
      </c>
      <c r="U22" s="139"/>
      <c r="V22" s="154"/>
      <c r="W22" s="170"/>
      <c r="X22" s="72" t="str">
        <f t="shared" si="1"/>
        <v>Somerset</v>
      </c>
      <c r="Y22" s="235">
        <v>14</v>
      </c>
      <c r="Z22" s="236">
        <f>IF(D22&gt;0,Population!C21,"")</f>
        <v>108800</v>
      </c>
      <c r="AA22" s="236">
        <f>IF(E22&gt;0,Population!D21,"")</f>
        <v>108900</v>
      </c>
      <c r="AB22" s="236">
        <f>IF(F22&gt;0,Population!E21,"")</f>
        <v>109200</v>
      </c>
      <c r="AC22" s="236">
        <f>IF(G22&gt;0,Population!F21,"")</f>
        <v>109657</v>
      </c>
      <c r="AD22" s="236">
        <f>IF(H22&gt;0,Population!G21,"")</f>
        <v>110084</v>
      </c>
      <c r="AE22" s="217"/>
      <c r="AF22" s="112" t="s">
        <v>15</v>
      </c>
      <c r="AG22" s="262">
        <f t="shared" si="5"/>
        <v>102.17672199582547</v>
      </c>
      <c r="AH22" s="237">
        <f t="shared" si="6"/>
        <v>17</v>
      </c>
      <c r="AI22" s="232"/>
      <c r="AJ22" s="178"/>
    </row>
    <row r="23" spans="1:36" s="101" customFormat="1" ht="13.5" customHeight="1" x14ac:dyDescent="0.2">
      <c r="A23" s="533">
        <f>VLOOKUP(B23,Sheet1!$B$4:$C$25,2,FALSE)</f>
        <v>0</v>
      </c>
      <c r="B23" s="112" t="s">
        <v>15</v>
      </c>
      <c r="C23" s="97"/>
      <c r="D23" s="113">
        <f>IF(Year1_Southampton Year1_CP_Conference="","",Year1_Southampton Year1_CP_Conference)</f>
        <v>463</v>
      </c>
      <c r="E23" s="113">
        <f>IF(Year2_Southampton Year2_CP_Conference="","",Year2_Southampton Year2_CP_Conference)</f>
        <v>495</v>
      </c>
      <c r="F23" s="113">
        <f>IF(Year3_Southampton Year3_CP_Conference="","",Year3_Southampton Year3_CP_Conference)</f>
        <v>555</v>
      </c>
      <c r="G23" s="113">
        <f>IF(Year4_Southampton Year4_CP_Conference="","",Year4_Southampton Year4_CP_Conference)</f>
        <v>463</v>
      </c>
      <c r="H23" s="114">
        <f>IF(Year5_Southampton Year5_CP_Conference="","",Year5_Southampton Year5_CP_Conference)</f>
        <v>514</v>
      </c>
      <c r="I23" s="392">
        <f t="shared" si="7"/>
        <v>3.8383838383838381E-2</v>
      </c>
      <c r="J23" s="115"/>
      <c r="K23" s="116">
        <f>IF(ISNUMBER(D23),D23/Population!C22*10000,NA())</f>
        <v>97.679324894514778</v>
      </c>
      <c r="L23" s="116">
        <f>IF(ISNUMBER(E23),E23/Population!D22*10000,NA())</f>
        <v>101.85185185185186</v>
      </c>
      <c r="M23" s="116">
        <f>IF(ISNUMBER(F23),F23/Population!E22*10000,NA())</f>
        <v>112.80487804878048</v>
      </c>
      <c r="N23" s="116">
        <f>IF(ISNUMBER(G23),G23/Population!F22*10000,NA())</f>
        <v>92.783711749263531</v>
      </c>
      <c r="O23" s="117">
        <f>IF(ISNUMBER(H23),H23/Population!G22*10000,NA())</f>
        <v>102.17672199582547</v>
      </c>
      <c r="P23" s="397">
        <f t="shared" si="2"/>
        <v>17</v>
      </c>
      <c r="Q23" s="70"/>
      <c r="R23" s="387">
        <f>IDACI!C23</f>
        <v>25</v>
      </c>
      <c r="S23" s="388">
        <f t="shared" si="3"/>
        <v>79.069544877495844</v>
      </c>
      <c r="T23" s="389">
        <f t="shared" si="4"/>
        <v>23.107177118329631</v>
      </c>
      <c r="U23" s="139"/>
      <c r="V23" s="154"/>
      <c r="W23" s="170"/>
      <c r="X23" s="72" t="str">
        <f t="shared" si="1"/>
        <v>Southampton</v>
      </c>
      <c r="Y23" s="235">
        <v>15</v>
      </c>
      <c r="Z23" s="236">
        <f>IF(D23&gt;0,Population!C22,"")</f>
        <v>47400</v>
      </c>
      <c r="AA23" s="236">
        <f>IF(E23&gt;0,Population!D22,"")</f>
        <v>48600</v>
      </c>
      <c r="AB23" s="236">
        <f>IF(F23&gt;0,Population!E22,"")</f>
        <v>49200</v>
      </c>
      <c r="AC23" s="236">
        <f>IF(G23&gt;0,Population!F22,"")</f>
        <v>49901</v>
      </c>
      <c r="AD23" s="236">
        <f>IF(H23&gt;0,Population!G22,"")</f>
        <v>50305</v>
      </c>
      <c r="AE23" s="217"/>
      <c r="AF23" s="112" t="s">
        <v>7</v>
      </c>
      <c r="AG23" s="262">
        <f t="shared" si="5"/>
        <v>57.048462380668838</v>
      </c>
      <c r="AH23" s="237">
        <f t="shared" si="6"/>
        <v>5</v>
      </c>
      <c r="AI23" s="232"/>
      <c r="AJ23" s="178"/>
    </row>
    <row r="24" spans="1:36" s="101" customFormat="1" ht="13.5" customHeight="1" x14ac:dyDescent="0.2">
      <c r="A24" s="533">
        <f>VLOOKUP(B24,Sheet1!$B$4:$C$25,2,FALSE)</f>
        <v>0</v>
      </c>
      <c r="B24" s="112" t="s">
        <v>7</v>
      </c>
      <c r="C24" s="97"/>
      <c r="D24" s="113">
        <f>IF(Year1_Surrey Year1_CP_Conference="","",Year1_Surrey Year1_CP_Conference)</f>
        <v>1123</v>
      </c>
      <c r="E24" s="113">
        <f>IF(Year2_Surrey Year2_CP_Conference="","",Year2_Surrey Year2_CP_Conference)</f>
        <v>1222</v>
      </c>
      <c r="F24" s="113">
        <f>IF(Year3_Surrey Year3_CP_Conference="","",Year3_Surrey Year3_CP_Conference)</f>
        <v>1220</v>
      </c>
      <c r="G24" s="113">
        <f>IF(Year4_Surrey Year4_CP_Conference="","",Year4_Surrey Year4_CP_Conference)</f>
        <v>1352</v>
      </c>
      <c r="H24" s="114">
        <f>IF(Year5_Surrey Year5_CP_Conference="","",Year5_Surrey Year5_CP_Conference)</f>
        <v>1485</v>
      </c>
      <c r="I24" s="392">
        <f t="shared" si="7"/>
        <v>0.21522094926350246</v>
      </c>
      <c r="J24" s="115"/>
      <c r="K24" s="116">
        <f>IF(ISNUMBER(D24),D24/Population!C23*10000,NA())</f>
        <v>44.563492063492063</v>
      </c>
      <c r="L24" s="116">
        <f>IF(ISNUMBER(E24),E24/Population!D23*10000,NA())</f>
        <v>47.996857816182249</v>
      </c>
      <c r="M24" s="116">
        <f>IF(ISNUMBER(F24),F24/Population!E23*10000,NA())</f>
        <v>47.581903276131051</v>
      </c>
      <c r="N24" s="116">
        <f>IF(ISNUMBER(G24),G24/Population!F23*10000,NA())</f>
        <v>52.200973748933393</v>
      </c>
      <c r="O24" s="117">
        <f>IF(ISNUMBER(H24),H24/Population!G23*10000,NA())</f>
        <v>57.048462380668838</v>
      </c>
      <c r="P24" s="397">
        <f t="shared" si="2"/>
        <v>5</v>
      </c>
      <c r="Q24" s="70"/>
      <c r="R24" s="387">
        <f>IDACI!C24</f>
        <v>9.7000000000000011</v>
      </c>
      <c r="S24" s="388">
        <f t="shared" si="3"/>
        <v>52.17620398651249</v>
      </c>
      <c r="T24" s="389">
        <f t="shared" si="4"/>
        <v>4.8722583941563471</v>
      </c>
      <c r="U24" s="139"/>
      <c r="V24" s="154"/>
      <c r="W24" s="170"/>
      <c r="X24" s="72" t="str">
        <f t="shared" si="1"/>
        <v>Surrey</v>
      </c>
      <c r="Y24" s="235">
        <v>16</v>
      </c>
      <c r="Z24" s="236">
        <f>IF(D24&gt;0,Population!C23,"")</f>
        <v>252000</v>
      </c>
      <c r="AA24" s="236">
        <f>IF(E24&gt;0,Population!D23,"")</f>
        <v>254600</v>
      </c>
      <c r="AB24" s="236">
        <f>IF(F24&gt;0,Population!E23,"")</f>
        <v>256400</v>
      </c>
      <c r="AC24" s="236">
        <f>IF(G24&gt;0,Population!F23,"")</f>
        <v>258999</v>
      </c>
      <c r="AD24" s="236">
        <f>IF(H24&gt;0,Population!G23,"")</f>
        <v>260305</v>
      </c>
      <c r="AE24" s="217"/>
      <c r="AF24" s="112" t="s">
        <v>16</v>
      </c>
      <c r="AG24" s="262">
        <f t="shared" si="5"/>
        <v>76.837105336686221</v>
      </c>
      <c r="AH24" s="237">
        <f t="shared" si="6"/>
        <v>14</v>
      </c>
      <c r="AI24" s="232"/>
      <c r="AJ24" s="178"/>
    </row>
    <row r="25" spans="1:36" s="101" customFormat="1" ht="13.5" customHeight="1" x14ac:dyDescent="0.2">
      <c r="A25" s="533">
        <f>VLOOKUP(B25,Sheet1!$B$4:$C$25,2,FALSE)</f>
        <v>0</v>
      </c>
      <c r="B25" s="112" t="s">
        <v>116</v>
      </c>
      <c r="C25" s="97"/>
      <c r="D25" s="113">
        <f>IF(Year1_Swindon Year1_CP_Conference="","",Year1_Swindon Year1_CP_Conference)</f>
        <v>307</v>
      </c>
      <c r="E25" s="113">
        <f>IF(Year2_Swindon Year2_CP_Conference="","",Year2_Swindon Year2_CP_Conference)</f>
        <v>309</v>
      </c>
      <c r="F25" s="113">
        <f>IF(Year3_Swindon Year3_CP_Conference="","",Year3_Swindon Year3_CP_Conference)</f>
        <v>346</v>
      </c>
      <c r="G25" s="113">
        <f>IF(Year4_Swindon Year4_CP_Conference="","",Year4_Swindon Year4_CP_Conference)</f>
        <v>387</v>
      </c>
      <c r="H25" s="114">
        <f>IF(Year5_Swindon Year5_CP_Conference="","",Year5_Swindon Year5_CP_Conference)</f>
        <v>574</v>
      </c>
      <c r="I25" s="392">
        <f t="shared" si="7"/>
        <v>0.85760517799352753</v>
      </c>
      <c r="J25" s="115"/>
      <c r="K25" s="116">
        <f>IF(ISNUMBER(D25),D25/Population!C24*10000,NA())</f>
        <v>64.091858037578291</v>
      </c>
      <c r="L25" s="116">
        <f>IF(ISNUMBER(E25),E25/Population!D24*10000,NA())</f>
        <v>63.580246913580247</v>
      </c>
      <c r="M25" s="116">
        <f>IF(ISNUMBER(F25),F25/Population!E24*10000,NA())</f>
        <v>70.612244897959187</v>
      </c>
      <c r="N25" s="116">
        <f>IF(ISNUMBER(G25),G25/Population!F24*10000,NA())</f>
        <v>78.241882657393546</v>
      </c>
      <c r="O25" s="117">
        <f>IF(ISNUMBER(H25),H25/Population!G24*10000,NA())</f>
        <v>114.97476163768928</v>
      </c>
      <c r="P25" s="422" t="str">
        <f t="shared" si="2"/>
        <v>--</v>
      </c>
      <c r="Q25" s="70"/>
      <c r="R25" s="387">
        <f>IDACI!C25</f>
        <v>17.2</v>
      </c>
      <c r="S25" s="388">
        <f t="shared" si="3"/>
        <v>65.359214227190606</v>
      </c>
      <c r="T25" s="389">
        <f t="shared" si="4"/>
        <v>49.615547410498678</v>
      </c>
      <c r="U25" s="139"/>
      <c r="V25" s="154"/>
      <c r="W25" s="170"/>
      <c r="X25" s="72" t="str">
        <f t="shared" si="1"/>
        <v>Swindon</v>
      </c>
      <c r="Y25" s="235">
        <v>17</v>
      </c>
      <c r="Z25" s="236">
        <f>IF(D25&gt;0,Population!C24,"")</f>
        <v>47900</v>
      </c>
      <c r="AA25" s="236">
        <f>IF(E25&gt;0,Population!D24,"")</f>
        <v>48600</v>
      </c>
      <c r="AB25" s="236">
        <f>IF(F25&gt;0,Population!E24,"")</f>
        <v>49000</v>
      </c>
      <c r="AC25" s="236">
        <f>IF(G25&gt;0,Population!F24,"")</f>
        <v>49462</v>
      </c>
      <c r="AD25" s="236">
        <f>IF(H25&gt;0,Population!G24,"")</f>
        <v>49924</v>
      </c>
      <c r="AE25" s="217"/>
      <c r="AF25" s="112" t="s">
        <v>5</v>
      </c>
      <c r="AG25" s="262">
        <f t="shared" si="5"/>
        <v>62.268800387809399</v>
      </c>
      <c r="AH25" s="237">
        <f t="shared" si="6"/>
        <v>7</v>
      </c>
      <c r="AI25" s="232"/>
      <c r="AJ25" s="178"/>
    </row>
    <row r="26" spans="1:36" s="101" customFormat="1" ht="13.5" customHeight="1" x14ac:dyDescent="0.2">
      <c r="A26" s="533">
        <f>VLOOKUP(B26,Sheet1!$B$4:$C$25,2,FALSE)</f>
        <v>0</v>
      </c>
      <c r="B26" s="112" t="s">
        <v>117</v>
      </c>
      <c r="C26" s="97"/>
      <c r="D26" s="113">
        <f>IF(Year1_Torbay Year1_CP_Conference="","",Year1_Torbay Year1_CP_Conference)</f>
        <v>275</v>
      </c>
      <c r="E26" s="113">
        <f>IF(Year2_Torbay Year2_CP_Conference="","",Year2_Torbay Year2_CP_Conference)</f>
        <v>299</v>
      </c>
      <c r="F26" s="113">
        <f>IF(Year3_Torbay Year3_CP_Conference="","",Year3_Torbay Year3_CP_Conference)</f>
        <v>325</v>
      </c>
      <c r="G26" s="113">
        <f>IF(Year4_Torbay Year4_CP_Conference="","",Year4_Torbay Year4_CP_Conference)</f>
        <v>362</v>
      </c>
      <c r="H26" s="114">
        <f>IF(Year5_Torbay Year5_CP_Conference="","",Year5_Torbay Year5_CP_Conference)</f>
        <v>362</v>
      </c>
      <c r="I26" s="392">
        <f t="shared" si="7"/>
        <v>0.21070234113712374</v>
      </c>
      <c r="J26" s="115"/>
      <c r="K26" s="116">
        <f>IF(ISNUMBER(D26),D26/Population!C25*10000,NA())</f>
        <v>110.88709677419355</v>
      </c>
      <c r="L26" s="116">
        <f>IF(ISNUMBER(E26),E26/Population!D25*10000,NA())</f>
        <v>119.12350597609561</v>
      </c>
      <c r="M26" s="116">
        <f>IF(ISNUMBER(F26),F26/Population!E25*10000,NA())</f>
        <v>128.96825396825395</v>
      </c>
      <c r="N26" s="116">
        <f>IF(ISNUMBER(G26),G26/Population!F25*10000,NA())</f>
        <v>142.67134355417176</v>
      </c>
      <c r="O26" s="117">
        <f>IF(ISNUMBER(H26),H26/Population!G25*10000,NA())</f>
        <v>142.4243616477161</v>
      </c>
      <c r="P26" s="422" t="str">
        <f t="shared" si="2"/>
        <v>--</v>
      </c>
      <c r="Q26" s="70"/>
      <c r="R26" s="387">
        <f>IDACI!C26</f>
        <v>24.1</v>
      </c>
      <c r="S26" s="388">
        <f t="shared" si="3"/>
        <v>77.487583648614475</v>
      </c>
      <c r="T26" s="389">
        <f t="shared" si="4"/>
        <v>64.936777999101622</v>
      </c>
      <c r="U26" s="139"/>
      <c r="V26" s="154"/>
      <c r="W26" s="170"/>
      <c r="X26" s="72" t="str">
        <f t="shared" si="1"/>
        <v>Torbay</v>
      </c>
      <c r="Y26" s="235">
        <v>18</v>
      </c>
      <c r="Z26" s="236">
        <f>IF(D26&gt;0,Population!C25,"")</f>
        <v>24800</v>
      </c>
      <c r="AA26" s="236">
        <f>IF(E26&gt;0,Population!D25,"")</f>
        <v>25100</v>
      </c>
      <c r="AB26" s="236">
        <f>IF(F26&gt;0,Population!E25,"")</f>
        <v>25200</v>
      </c>
      <c r="AC26" s="236">
        <f>IF(G26&gt;0,Population!F25,"")</f>
        <v>25373</v>
      </c>
      <c r="AD26" s="236">
        <f>IF(H26&gt;0,Population!G25,"")</f>
        <v>25417</v>
      </c>
      <c r="AE26" s="217"/>
      <c r="AF26" s="112" t="s">
        <v>31</v>
      </c>
      <c r="AG26" s="262">
        <f t="shared" si="5"/>
        <v>39.881229622729386</v>
      </c>
      <c r="AH26" s="237">
        <f t="shared" si="6"/>
        <v>2</v>
      </c>
      <c r="AI26" s="232"/>
      <c r="AJ26" s="178"/>
    </row>
    <row r="27" spans="1:36" s="101" customFormat="1" ht="13.5" customHeight="1" x14ac:dyDescent="0.2">
      <c r="A27" s="533">
        <f>VLOOKUP(B27,Sheet1!$B$4:$C$25,2,FALSE)</f>
        <v>0</v>
      </c>
      <c r="B27" s="112" t="s">
        <v>16</v>
      </c>
      <c r="C27" s="97"/>
      <c r="D27" s="113">
        <f>IF(Year1_West_Berkshire Year1_CP_Conference="","",Year1_West_Berkshire Year1_CP_Conference)</f>
        <v>158</v>
      </c>
      <c r="E27" s="118">
        <f>IF(Year2_West_Berkshire Year2_CP_Conference="","",Year2_West_Berkshire Year2_CP_Conference)</f>
        <v>207</v>
      </c>
      <c r="F27" s="113">
        <f>IF(Year3_West_Berkshire Year3_CP_Conference="","",Year3_West_Berkshire Year3_CP_Conference)</f>
        <v>240</v>
      </c>
      <c r="G27" s="113">
        <f>IF(Year4_West_Berkshire Year4_CP_Conference="","",Year4_West_Berkshire Year4_CP_Conference)</f>
        <v>248</v>
      </c>
      <c r="H27" s="114">
        <f>IF(Year5_West_Berkshire Year5_CP_Conference="","",Year5_West_Berkshire Year5_CP_Conference)</f>
        <v>275</v>
      </c>
      <c r="I27" s="392">
        <f t="shared" si="7"/>
        <v>0.32850241545893721</v>
      </c>
      <c r="J27" s="115"/>
      <c r="K27" s="116">
        <f>IF(ISNUMBER(D27),D27/Population!C26*10000,NA())</f>
        <v>44.257703081232492</v>
      </c>
      <c r="L27" s="116">
        <f>IF(ISNUMBER(E27),E27/Population!D26*10000,NA())</f>
        <v>58.146067415730336</v>
      </c>
      <c r="M27" s="116">
        <f>IF(ISNUMBER(F27),F27/Population!E26*10000,NA())</f>
        <v>67.226890756302524</v>
      </c>
      <c r="N27" s="116">
        <f>IF(ISNUMBER(G27),G27/Population!F26*10000,NA())</f>
        <v>69.021179482897779</v>
      </c>
      <c r="O27" s="117">
        <f>IF(ISNUMBER(H27),H27/Population!G26*10000,NA())</f>
        <v>76.837105336686221</v>
      </c>
      <c r="P27" s="397">
        <f t="shared" si="2"/>
        <v>14</v>
      </c>
      <c r="Q27" s="70"/>
      <c r="R27" s="387">
        <f>IDACI!C27</f>
        <v>10.4</v>
      </c>
      <c r="S27" s="388">
        <f t="shared" si="3"/>
        <v>53.406618275642444</v>
      </c>
      <c r="T27" s="389">
        <f t="shared" si="4"/>
        <v>23.430487061043777</v>
      </c>
      <c r="U27" s="139"/>
      <c r="V27" s="154"/>
      <c r="W27" s="170"/>
      <c r="X27" s="72" t="str">
        <f t="shared" si="1"/>
        <v>West Berkshire</v>
      </c>
      <c r="Y27" s="235">
        <v>19</v>
      </c>
      <c r="Z27" s="236">
        <f>IF(D27&gt;0,Population!C26,"")</f>
        <v>35700</v>
      </c>
      <c r="AA27" s="236">
        <f>IF(E27&gt;0,Population!D26,"")</f>
        <v>35600</v>
      </c>
      <c r="AB27" s="236">
        <f>IF(F27&gt;0,Population!E26,"")</f>
        <v>35700</v>
      </c>
      <c r="AC27" s="236">
        <f>IF(G27&gt;0,Population!F26,"")</f>
        <v>35931</v>
      </c>
      <c r="AD27" s="236">
        <f>IF(H27&gt;0,Population!G26,"")</f>
        <v>35790</v>
      </c>
      <c r="AE27" s="232"/>
      <c r="AF27" s="112" t="s">
        <v>17</v>
      </c>
      <c r="AG27" s="262">
        <f t="shared" si="5"/>
        <v>46.767608909100304</v>
      </c>
      <c r="AH27" s="237">
        <f t="shared" si="6"/>
        <v>3</v>
      </c>
      <c r="AI27" s="232"/>
      <c r="AJ27" s="178"/>
    </row>
    <row r="28" spans="1:36" s="101" customFormat="1" ht="13.5" customHeight="1" x14ac:dyDescent="0.2">
      <c r="A28" s="533">
        <f>VLOOKUP(B28,Sheet1!$B$4:$C$25,2,FALSE)</f>
        <v>0</v>
      </c>
      <c r="B28" s="112" t="s">
        <v>5</v>
      </c>
      <c r="C28" s="97"/>
      <c r="D28" s="113">
        <f>IF(Year1_West_Sussex Year1_CP_Conference="","",Year1_West_Sussex Year1_CP_Conference)</f>
        <v>695</v>
      </c>
      <c r="E28" s="118">
        <f>IF(Year2_West_Sussex Year2_CP_Conference="","",Year2_West_Sussex Year2_CP_Conference)</f>
        <v>869</v>
      </c>
      <c r="F28" s="113">
        <f>IF(Year3_West_Sussex Year3_CP_Conference="","",Year3_West_Sussex Year3_CP_Conference)</f>
        <v>671</v>
      </c>
      <c r="G28" s="113">
        <f>IF(Year4_West_Sussex Year4_CP_Conference="","",Year4_West_Sussex Year4_CP_Conference)</f>
        <v>680</v>
      </c>
      <c r="H28" s="114">
        <f>IF(Year5_West_Sussex Year5_CP_Conference="","",Year5_West_Sussex Year5_CP_Conference)</f>
        <v>1079</v>
      </c>
      <c r="I28" s="392">
        <f t="shared" si="7"/>
        <v>0.24165707710011508</v>
      </c>
      <c r="J28" s="115"/>
      <c r="K28" s="116">
        <f>IF(ISNUMBER(D28),D28/Population!C27*10000,NA())</f>
        <v>41.616766467065872</v>
      </c>
      <c r="L28" s="116">
        <f>IF(ISNUMBER(E28),E28/Population!D27*10000,NA())</f>
        <v>51.481042654028435</v>
      </c>
      <c r="M28" s="116">
        <f>IF(ISNUMBER(F28),F28/Population!E27*10000,NA())</f>
        <v>39.377934272300465</v>
      </c>
      <c r="N28" s="116">
        <f>IF(ISNUMBER(G28),G28/Population!F27*10000,NA())</f>
        <v>39.589895261438855</v>
      </c>
      <c r="O28" s="117">
        <f>IF(ISNUMBER(H28),H28/Population!G27*10000,NA())</f>
        <v>62.268800387809399</v>
      </c>
      <c r="P28" s="397">
        <f t="shared" si="2"/>
        <v>7</v>
      </c>
      <c r="Q28" s="70"/>
      <c r="R28" s="387">
        <f>IDACI!C28</f>
        <v>12.9</v>
      </c>
      <c r="S28" s="388">
        <f t="shared" si="3"/>
        <v>57.800955022535149</v>
      </c>
      <c r="T28" s="389">
        <f t="shared" si="4"/>
        <v>4.4678453652742505</v>
      </c>
      <c r="U28" s="139"/>
      <c r="V28" s="154"/>
      <c r="W28" s="170"/>
      <c r="X28" s="72" t="str">
        <f t="shared" si="1"/>
        <v>West Sussex</v>
      </c>
      <c r="Y28" s="235">
        <v>20</v>
      </c>
      <c r="Z28" s="236">
        <f>IF(D28&gt;0,Population!C27,"")</f>
        <v>167000</v>
      </c>
      <c r="AA28" s="236">
        <f>IF(E28&gt;0,Population!D27,"")</f>
        <v>168800</v>
      </c>
      <c r="AB28" s="236">
        <f>IF(F28&gt;0,Population!E27,"")</f>
        <v>170400</v>
      </c>
      <c r="AC28" s="236">
        <f>IF(G28&gt;0,Population!F27,"")</f>
        <v>171761</v>
      </c>
      <c r="AD28" s="236">
        <f>IF(H28&gt;0,Population!G27,"")</f>
        <v>173281</v>
      </c>
      <c r="AE28" s="232"/>
      <c r="AF28" s="232"/>
      <c r="AG28" s="232"/>
      <c r="AH28" s="217"/>
      <c r="AI28" s="232"/>
      <c r="AJ28" s="178"/>
    </row>
    <row r="29" spans="1:36" s="101" customFormat="1" ht="13.5" customHeight="1" x14ac:dyDescent="0.2">
      <c r="A29" s="533">
        <f>VLOOKUP(B29,Sheet1!$B$4:$C$25,2,FALSE)</f>
        <v>0</v>
      </c>
      <c r="B29" s="112" t="s">
        <v>31</v>
      </c>
      <c r="C29" s="97"/>
      <c r="D29" s="118">
        <f>IF(Year1_Windsor_Maidenhead Year1_CP_Conference="","",Year1_Windsor_Maidenhead Year1_CP_Conference)</f>
        <v>104</v>
      </c>
      <c r="E29" s="113">
        <f>IF(Year2_Windsor_Maidenhead Year2_CP_Conference="","",Year2_Windsor_Maidenhead Year2_CP_Conference)</f>
        <v>93</v>
      </c>
      <c r="F29" s="113">
        <f>IF(Year3_Windsor_Maidenhead Year3_CP_Conference="","",Year3_Windsor_Maidenhead Year3_CP_Conference)</f>
        <v>200</v>
      </c>
      <c r="G29" s="113">
        <f>IF(Year4_Windsor_Maidenhead Year4_CP_Conference="","",Year4_Windsor_Maidenhead Year4_CP_Conference)</f>
        <v>194</v>
      </c>
      <c r="H29" s="114">
        <f>IF(Year5_Windsor_Maidenhead Year5_CP_Conference="","",Year5_Windsor_Maidenhead Year5_CP_Conference)</f>
        <v>137</v>
      </c>
      <c r="I29" s="392">
        <f t="shared" si="7"/>
        <v>0.4731182795698925</v>
      </c>
      <c r="J29" s="115"/>
      <c r="K29" s="116">
        <f>IF(ISNUMBER(D29),D29/Population!C28*10000,NA())</f>
        <v>31.231231231231231</v>
      </c>
      <c r="L29" s="116">
        <f>IF(ISNUMBER(E29),E29/Population!D28*10000,NA())</f>
        <v>27.844311377245511</v>
      </c>
      <c r="M29" s="116">
        <f>IF(ISNUMBER(F29),F29/Population!E28*10000,NA())</f>
        <v>59.347181008902076</v>
      </c>
      <c r="N29" s="116">
        <f>IF(ISNUMBER(G29),G29/Population!F28*10000,NA())</f>
        <v>56.764981273408239</v>
      </c>
      <c r="O29" s="117">
        <f>IF(ISNUMBER(H29),H29/Population!G28*10000,NA())</f>
        <v>39.881229622729386</v>
      </c>
      <c r="P29" s="397">
        <f t="shared" si="2"/>
        <v>2</v>
      </c>
      <c r="Q29" s="70"/>
      <c r="R29" s="387">
        <f>IDACI!C29</f>
        <v>8.4</v>
      </c>
      <c r="S29" s="388">
        <f t="shared" si="3"/>
        <v>49.891148878128284</v>
      </c>
      <c r="T29" s="389">
        <f t="shared" si="4"/>
        <v>-10.009919255398898</v>
      </c>
      <c r="U29" s="139"/>
      <c r="V29" s="154"/>
      <c r="W29" s="170"/>
      <c r="X29" s="72" t="str">
        <f t="shared" si="1"/>
        <v>Windsor &amp; Maidenhead</v>
      </c>
      <c r="Y29" s="235">
        <v>21</v>
      </c>
      <c r="Z29" s="236">
        <f>IF(D29&gt;0,Population!C28,"")</f>
        <v>33300</v>
      </c>
      <c r="AA29" s="236">
        <f>IF(E29&gt;0,Population!D28,"")</f>
        <v>33400</v>
      </c>
      <c r="AB29" s="236">
        <f>IF(F29&gt;0,Population!E28,"")</f>
        <v>33700</v>
      </c>
      <c r="AC29" s="236">
        <f>IF(G29&gt;0,Population!F28,"")</f>
        <v>34176</v>
      </c>
      <c r="AD29" s="236">
        <f>IF(H29&gt;0,Population!G28,"")</f>
        <v>34352</v>
      </c>
      <c r="AE29" s="232"/>
      <c r="AF29" s="232"/>
      <c r="AG29" s="232"/>
      <c r="AH29" s="217"/>
      <c r="AI29" s="232"/>
      <c r="AJ29" s="178"/>
    </row>
    <row r="30" spans="1:36" s="101" customFormat="1" ht="13.5" customHeight="1" x14ac:dyDescent="0.2">
      <c r="A30" s="533">
        <f>VLOOKUP(B30,Sheet1!$B$4:$C$25,2,FALSE)</f>
        <v>0</v>
      </c>
      <c r="B30" s="112" t="s">
        <v>17</v>
      </c>
      <c r="C30" s="97"/>
      <c r="D30" s="118">
        <f>IF(Year1_Wokingham Year1_CP_Conference="","",Year1_Wokingham Year1_CP_Conference)</f>
        <v>122</v>
      </c>
      <c r="E30" s="113">
        <f>IF(Year2_Wokingham Year2_CP_Conference="","",Year2_Wokingham Year2_CP_Conference)</f>
        <v>69</v>
      </c>
      <c r="F30" s="113">
        <f>IF(Year3_Wokingham Year3_CP_Conference="","",Year3_Wokingham Year3_CP_Conference)</f>
        <v>145</v>
      </c>
      <c r="G30" s="113">
        <f>IF(Year4_Wokingham Year4_CP_Conference="","",Year4_Wokingham Year4_CP_Conference)</f>
        <v>89</v>
      </c>
      <c r="H30" s="114">
        <f>IF(Year5_Wokingham Year5_CP_Conference="","",Year5_Wokingham Year5_CP_Conference)</f>
        <v>181</v>
      </c>
      <c r="I30" s="392">
        <f t="shared" si="7"/>
        <v>1.6231884057971016</v>
      </c>
      <c r="J30" s="115"/>
      <c r="K30" s="116">
        <f>IF(ISNUMBER(D30),D30/Population!C29*10000,NA())</f>
        <v>33.701657458563538</v>
      </c>
      <c r="L30" s="116">
        <f>IF(ISNUMBER(E30),E30/Population!D29*10000,NA())</f>
        <v>18.699186991869919</v>
      </c>
      <c r="M30" s="116">
        <f>IF(ISNUMBER(F30),F30/Population!E29*10000,NA())</f>
        <v>38.873994638069703</v>
      </c>
      <c r="N30" s="116">
        <f>IF(ISNUMBER(G30),G30/Population!F29*10000,NA())</f>
        <v>23.409347957600147</v>
      </c>
      <c r="O30" s="117">
        <f>IF(ISNUMBER(H30),H30/Population!G29*10000,NA())</f>
        <v>46.767608909100304</v>
      </c>
      <c r="P30" s="397">
        <f t="shared" si="2"/>
        <v>3</v>
      </c>
      <c r="Q30" s="70"/>
      <c r="R30" s="387">
        <f>IDACI!C30</f>
        <v>6.8000000000000007</v>
      </c>
      <c r="S30" s="388">
        <f t="shared" si="3"/>
        <v>47.078773360116955</v>
      </c>
      <c r="T30" s="389">
        <f t="shared" si="4"/>
        <v>-0.31116445101665136</v>
      </c>
      <c r="U30" s="139"/>
      <c r="V30" s="154"/>
      <c r="W30" s="170"/>
      <c r="X30" s="72" t="str">
        <f t="shared" si="1"/>
        <v>Wokingham</v>
      </c>
      <c r="Y30" s="235">
        <v>22</v>
      </c>
      <c r="Z30" s="236">
        <f>IF(D30&gt;0,Population!C29,"")</f>
        <v>36200</v>
      </c>
      <c r="AA30" s="236">
        <f>IF(E30&gt;0,Population!D29,"")</f>
        <v>36900</v>
      </c>
      <c r="AB30" s="236">
        <f>IF(F30&gt;0,Population!E29,"")</f>
        <v>37300</v>
      </c>
      <c r="AC30" s="236">
        <f>IF(G30&gt;0,Population!F29,"")</f>
        <v>38019</v>
      </c>
      <c r="AD30" s="236">
        <f>IF(H30&gt;0,Population!G29,"")</f>
        <v>38702</v>
      </c>
      <c r="AE30" s="232"/>
      <c r="AF30" s="232"/>
      <c r="AG30" s="232"/>
      <c r="AH30" s="217"/>
      <c r="AI30" s="232"/>
      <c r="AJ30" s="178"/>
    </row>
    <row r="31" spans="1:36" s="101" customFormat="1" ht="13.5" customHeight="1" x14ac:dyDescent="0.2">
      <c r="A31" s="138"/>
      <c r="B31" s="146" t="s">
        <v>74</v>
      </c>
      <c r="C31" s="97"/>
      <c r="D31" s="147">
        <f>IF(Year1_SouthEast Year1_CP_Conference="","",Year1_SouthEast Year1_CP_Conference)</f>
        <v>9550</v>
      </c>
      <c r="E31" s="147">
        <f>IF(Year2_SouthEast Year2_CP_Conference="","",Year2_SouthEast Year2_CP_Conference)</f>
        <v>11380</v>
      </c>
      <c r="F31" s="147">
        <f>IF(Year3_SouthEast Year3_CP_Conference="","",Year3_SouthEast Year3_CP_Conference)</f>
        <v>11410</v>
      </c>
      <c r="G31" s="147">
        <f>IF(Year4_SouthEast Year4_CP_Conference="","",Year4_SouthEast Year4_CP_Conference)</f>
        <v>11490</v>
      </c>
      <c r="H31" s="148">
        <f>IF(Year5_SouthEast Year5_CP_Conference="","",Year5_SouthEast Year5_CP_Conference)</f>
        <v>12230</v>
      </c>
      <c r="I31" s="407">
        <f t="shared" si="7"/>
        <v>7.4692442882249563E-2</v>
      </c>
      <c r="J31" s="115"/>
      <c r="K31" s="149">
        <f>IF(ISNUMBER(D31),D31/Z31*10000,NA())</f>
        <v>50.614797540809839</v>
      </c>
      <c r="L31" s="149">
        <f>IF(ISNUMBER(E31),E31/AA31*10000,NA())</f>
        <v>59.76262997584287</v>
      </c>
      <c r="M31" s="149">
        <f t="shared" ref="M31:O31" si="8">IF(ISNUMBER(F31),F31/AB31*10000,NA())</f>
        <v>59.485949637662273</v>
      </c>
      <c r="N31" s="149">
        <f t="shared" si="8"/>
        <v>59.435348669274099</v>
      </c>
      <c r="O31" s="150">
        <f t="shared" si="8"/>
        <v>62.915891792897142</v>
      </c>
      <c r="P31" s="383" t="str">
        <f t="shared" si="2"/>
        <v>--</v>
      </c>
      <c r="Q31" s="70"/>
      <c r="R31" s="385">
        <f>IDACI!C31</f>
        <v>14.45223640702325</v>
      </c>
      <c r="S31" s="149">
        <f t="shared" si="3"/>
        <v>60.52937481583394</v>
      </c>
      <c r="T31" s="390">
        <f t="shared" si="4"/>
        <v>2.3865169770632022</v>
      </c>
      <c r="U31" s="139"/>
      <c r="V31" s="154"/>
      <c r="W31" s="170"/>
      <c r="X31" s="72" t="str">
        <f t="shared" si="1"/>
        <v>South East</v>
      </c>
      <c r="Y31" s="235">
        <v>23</v>
      </c>
      <c r="Z31" s="236">
        <f>IF(D31&gt;0,Population!C30,"")</f>
        <v>1886800</v>
      </c>
      <c r="AA31" s="236">
        <f>IF(E31&gt;0,Population!D30,"")</f>
        <v>1904200</v>
      </c>
      <c r="AB31" s="236">
        <f>IF(F31&gt;0,Population!E30,"")</f>
        <v>1918100</v>
      </c>
      <c r="AC31" s="236">
        <f>IF(G31&gt;0,Population!F30,"")</f>
        <v>1933193</v>
      </c>
      <c r="AD31" s="236">
        <f>SUM(AD9:AD21,AD23:AD24,AD27:AD30)</f>
        <v>1943865</v>
      </c>
      <c r="AE31" s="232"/>
      <c r="AF31" s="232"/>
      <c r="AG31" s="232"/>
      <c r="AH31" s="217"/>
      <c r="AI31" s="232"/>
      <c r="AJ31" s="178"/>
    </row>
    <row r="32" spans="1:36" s="101" customFormat="1" ht="13.5" customHeight="1" x14ac:dyDescent="0.2">
      <c r="A32" s="324"/>
      <c r="B32" s="370" t="s">
        <v>130</v>
      </c>
      <c r="C32" s="97"/>
      <c r="D32" s="371">
        <f>IF(Year1_England Year1_CP_Conference="","",Year1_England Year1_CP_Conference)</f>
        <v>65190</v>
      </c>
      <c r="E32" s="371">
        <f>IF(Year2_England Year2_CP_Conference="","",Year2_England Year2_CP_Conference)</f>
        <v>71410</v>
      </c>
      <c r="F32" s="371">
        <f>IF(Year3_England Year3_CP_Conference="","",Year3_England Year3_CP_Conference)</f>
        <v>73050</v>
      </c>
      <c r="G32" s="371">
        <f>IF(Year4_England Year4_CP_Conference="","",Year4_England Year4_CP_Conference)</f>
        <v>76930</v>
      </c>
      <c r="H32" s="372">
        <f>IF(Year5_England Year5_CP_Conference="","",Year5_England Year5_CP_Conference)</f>
        <v>79470</v>
      </c>
      <c r="I32" s="408">
        <f t="shared" si="7"/>
        <v>0.11286934602996779</v>
      </c>
      <c r="J32" s="115"/>
      <c r="K32" s="373">
        <f>IF(ISNUMBER(D32),D32/Population!C31*10000,NA())</f>
        <v>56.791155946998408</v>
      </c>
      <c r="L32" s="373">
        <f>IF(ISNUMBER(E32),E32/Population!D31*10000,NA())</f>
        <v>61.604423854999702</v>
      </c>
      <c r="M32" s="373">
        <f>IF(ISNUMBER(F32),F32/Population!E31*10000,NA())</f>
        <v>62.554055095522315</v>
      </c>
      <c r="N32" s="373">
        <f>IF(ISNUMBER(G32),G32/Population!F31*10000,NA())</f>
        <v>65.276361344752445</v>
      </c>
      <c r="O32" s="374">
        <f>IF(ISNUMBER(H32),H32/Population!G31*10000,NA())</f>
        <v>66.967462678090087</v>
      </c>
      <c r="P32" s="384" t="str">
        <f t="shared" si="2"/>
        <v>--</v>
      </c>
      <c r="Q32" s="70"/>
      <c r="R32" s="386">
        <f>IDACI!C32</f>
        <v>19.902611588091716</v>
      </c>
      <c r="S32" s="373">
        <f t="shared" si="3"/>
        <v>70.109688392842401</v>
      </c>
      <c r="T32" s="391">
        <f t="shared" si="4"/>
        <v>-3.142225714752314</v>
      </c>
      <c r="U32" s="139"/>
      <c r="V32" s="154"/>
      <c r="W32" s="170"/>
      <c r="X32" s="72" t="str">
        <f t="shared" si="1"/>
        <v>England</v>
      </c>
      <c r="Y32" s="235">
        <v>24</v>
      </c>
      <c r="Z32" s="236">
        <f>IF(D32&gt;0,Population!C31,"")</f>
        <v>11478900</v>
      </c>
      <c r="AA32" s="236">
        <f>IF(E32&gt;0,Population!D31,"")</f>
        <v>11591700</v>
      </c>
      <c r="AB32" s="236">
        <f>IF(F32&gt;0,Population!E31,"")</f>
        <v>11677900</v>
      </c>
      <c r="AC32" s="236">
        <f>IF(G32&gt;0,Population!F31,"")</f>
        <v>11785277</v>
      </c>
      <c r="AD32" s="236">
        <f>IF(H32&gt;0,Population!G31,"")</f>
        <v>11866957</v>
      </c>
      <c r="AE32" s="232"/>
      <c r="AF32" s="232"/>
      <c r="AG32" s="232"/>
      <c r="AH32" s="217"/>
      <c r="AI32" s="232"/>
      <c r="AJ32" s="178"/>
    </row>
    <row r="33" spans="1:53" s="88" customFormat="1" ht="13.5" customHeight="1" x14ac:dyDescent="0.2">
      <c r="A33" s="135"/>
      <c r="B33" s="140" t="s">
        <v>90</v>
      </c>
      <c r="C33" s="64"/>
      <c r="D33" s="64"/>
      <c r="E33" s="64"/>
      <c r="F33" s="64"/>
      <c r="G33" s="64"/>
      <c r="H33" s="64"/>
      <c r="I33" s="64"/>
      <c r="J33" s="64"/>
      <c r="K33" s="64"/>
      <c r="L33" s="64"/>
      <c r="M33" s="64"/>
      <c r="N33" s="64"/>
      <c r="O33" s="64"/>
      <c r="P33" s="151" t="s">
        <v>111</v>
      </c>
      <c r="R33" s="64"/>
      <c r="S33" s="64"/>
      <c r="T33" s="64"/>
      <c r="U33" s="134"/>
      <c r="V33" s="152"/>
      <c r="W33" s="168"/>
      <c r="X33" s="87"/>
      <c r="Y33" s="210"/>
      <c r="Z33" s="210"/>
      <c r="AA33" s="210"/>
      <c r="AB33" s="210"/>
      <c r="AC33" s="210"/>
      <c r="AD33" s="210"/>
      <c r="AE33" s="210"/>
      <c r="AF33" s="210"/>
      <c r="AG33" s="210"/>
      <c r="AI33" s="210"/>
      <c r="AJ33" s="179"/>
    </row>
    <row r="34" spans="1:53" s="88" customFormat="1" ht="29.25" customHeight="1" x14ac:dyDescent="0.2">
      <c r="A34" s="135"/>
      <c r="B34" s="1024"/>
      <c r="C34" s="1025"/>
      <c r="D34" s="1025"/>
      <c r="E34" s="1025"/>
      <c r="F34" s="1025"/>
      <c r="G34" s="1025"/>
      <c r="H34" s="1025"/>
      <c r="I34" s="1025"/>
      <c r="J34" s="1025"/>
      <c r="K34" s="1025"/>
      <c r="L34" s="1025"/>
      <c r="M34" s="1025"/>
      <c r="N34" s="1025"/>
      <c r="O34" s="1025"/>
      <c r="P34" s="1025"/>
      <c r="Q34" s="1025"/>
      <c r="R34" s="1025"/>
      <c r="S34" s="1025"/>
      <c r="T34" s="1026"/>
      <c r="U34" s="134"/>
      <c r="V34" s="152"/>
      <c r="W34" s="168"/>
      <c r="X34" s="87"/>
      <c r="Y34" s="210"/>
      <c r="Z34" s="210"/>
      <c r="AA34" s="210"/>
      <c r="AB34" s="210"/>
      <c r="AC34" s="210"/>
      <c r="AD34" s="210"/>
      <c r="AE34" s="210"/>
      <c r="AF34" s="210"/>
      <c r="AG34" s="210"/>
      <c r="AI34" s="210"/>
      <c r="AJ34" s="175"/>
      <c r="AK34" s="80"/>
      <c r="AL34" s="80"/>
      <c r="AM34" s="80"/>
      <c r="AN34" s="80"/>
      <c r="AO34" s="80"/>
      <c r="AP34" s="80"/>
      <c r="AQ34" s="80"/>
    </row>
    <row r="35" spans="1:53" s="88" customFormat="1" ht="7.5" customHeight="1" x14ac:dyDescent="0.2">
      <c r="A35" s="135"/>
      <c r="B35" s="18"/>
      <c r="C35" s="18"/>
      <c r="D35" s="17"/>
      <c r="E35" s="17"/>
      <c r="F35" s="17"/>
      <c r="G35" s="17"/>
      <c r="H35" s="17"/>
      <c r="I35" s="17"/>
      <c r="J35" s="13"/>
      <c r="K35" s="19"/>
      <c r="L35" s="19"/>
      <c r="M35" s="19"/>
      <c r="N35" s="19"/>
      <c r="O35" s="19"/>
      <c r="P35" s="19"/>
      <c r="Q35" s="19"/>
      <c r="R35" s="19"/>
      <c r="S35" s="19"/>
      <c r="T35" s="20"/>
      <c r="U35" s="134"/>
      <c r="V35" s="152"/>
      <c r="W35" s="168"/>
      <c r="Y35" s="217"/>
      <c r="AI35" s="210"/>
      <c r="AJ35" s="175"/>
      <c r="AK35" s="80"/>
      <c r="AL35" s="80"/>
      <c r="AM35" s="80"/>
      <c r="AN35" s="80"/>
      <c r="AO35" s="80"/>
      <c r="AP35" s="80"/>
      <c r="AQ35" s="80"/>
    </row>
    <row r="36" spans="1:53" s="88" customFormat="1" ht="15" customHeight="1" x14ac:dyDescent="0.2">
      <c r="A36" s="1010"/>
      <c r="B36" s="1018"/>
      <c r="C36" s="1018"/>
      <c r="D36" s="1018"/>
      <c r="E36" s="1018"/>
      <c r="F36" s="1018"/>
      <c r="G36" s="1018"/>
      <c r="H36" s="1018"/>
      <c r="I36" s="1018"/>
      <c r="J36" s="1018"/>
      <c r="K36" s="1018"/>
      <c r="L36" s="1018"/>
      <c r="M36" s="1018"/>
      <c r="N36" s="1018"/>
      <c r="O36" s="1018"/>
      <c r="P36" s="1018"/>
      <c r="Q36" s="1018"/>
      <c r="R36" s="1018"/>
      <c r="S36" s="1018"/>
      <c r="T36" s="1018"/>
      <c r="U36" s="1019"/>
      <c r="V36" s="152"/>
      <c r="W36" s="168"/>
      <c r="Y36" s="217"/>
      <c r="AJ36" s="179"/>
      <c r="AL36" s="88">
        <v>10</v>
      </c>
      <c r="AM36" s="88">
        <v>11</v>
      </c>
      <c r="AN36" s="88">
        <v>12</v>
      </c>
      <c r="AO36" s="88">
        <v>13</v>
      </c>
      <c r="AP36" s="88">
        <v>14</v>
      </c>
      <c r="AR36" s="88">
        <v>3</v>
      </c>
      <c r="AS36" s="25">
        <v>4</v>
      </c>
      <c r="AT36" s="25">
        <v>5</v>
      </c>
      <c r="AU36" s="25">
        <v>6</v>
      </c>
      <c r="AV36" s="24">
        <v>7</v>
      </c>
      <c r="AW36" s="88">
        <v>3</v>
      </c>
      <c r="AX36" s="25">
        <v>4</v>
      </c>
      <c r="AY36" s="25">
        <v>5</v>
      </c>
      <c r="AZ36" s="25">
        <v>6</v>
      </c>
      <c r="BA36" s="24">
        <v>7</v>
      </c>
    </row>
    <row r="37" spans="1:53" s="88" customFormat="1" ht="11.25" customHeight="1" x14ac:dyDescent="0.2">
      <c r="A37" s="1020" t="str">
        <f>Home!$A$35</f>
        <v>LA's provide quarterly data on the condition that it is used by the benchmarking group for internal reporting only. Please DO NOT share other LA's data with any external partners or the public</v>
      </c>
      <c r="B37" s="1021"/>
      <c r="C37" s="1021"/>
      <c r="D37" s="1021"/>
      <c r="E37" s="1021"/>
      <c r="F37" s="1021"/>
      <c r="G37" s="1021"/>
      <c r="H37" s="1021"/>
      <c r="I37" s="1022"/>
      <c r="J37" s="1021"/>
      <c r="K37" s="1021"/>
      <c r="L37" s="1021"/>
      <c r="M37" s="1021"/>
      <c r="N37" s="1021"/>
      <c r="O37" s="1021"/>
      <c r="P37" s="1021"/>
      <c r="Q37" s="1021"/>
      <c r="R37" s="1021"/>
      <c r="S37" s="1022"/>
      <c r="T37" s="1021"/>
      <c r="U37" s="1023"/>
      <c r="V37" s="152"/>
      <c r="W37" s="168"/>
      <c r="Y37" s="217"/>
      <c r="AI37" s="210"/>
      <c r="AJ37" s="178"/>
      <c r="AK37" s="101"/>
      <c r="AL37" s="419" t="s">
        <v>89</v>
      </c>
      <c r="AM37" s="420"/>
      <c r="AN37" s="420"/>
      <c r="AO37" s="420"/>
      <c r="AP37" s="420"/>
      <c r="AQ37" s="419" t="s">
        <v>95</v>
      </c>
      <c r="AR37" s="56" t="s">
        <v>114</v>
      </c>
      <c r="AS37" s="25"/>
      <c r="AT37" s="25"/>
      <c r="AU37" s="25"/>
      <c r="AV37" s="24"/>
      <c r="AW37" s="56" t="s">
        <v>152</v>
      </c>
      <c r="AX37" s="25"/>
      <c r="AY37" s="25"/>
      <c r="AZ37" s="25"/>
      <c r="BA37" s="24"/>
    </row>
    <row r="38" spans="1:53" s="88" customFormat="1" ht="11.25" customHeight="1" x14ac:dyDescent="0.2">
      <c r="A38" s="129"/>
      <c r="B38" s="130"/>
      <c r="C38" s="130"/>
      <c r="D38" s="130"/>
      <c r="E38" s="130"/>
      <c r="F38" s="130"/>
      <c r="G38" s="130"/>
      <c r="H38" s="130"/>
      <c r="I38" s="130"/>
      <c r="J38" s="131"/>
      <c r="K38" s="130"/>
      <c r="L38" s="130"/>
      <c r="M38" s="130"/>
      <c r="N38" s="130"/>
      <c r="O38" s="130"/>
      <c r="P38" s="130"/>
      <c r="Q38" s="130"/>
      <c r="R38" s="130"/>
      <c r="S38" s="130"/>
      <c r="T38" s="130"/>
      <c r="U38" s="132"/>
      <c r="V38" s="152"/>
      <c r="W38" s="167" t="s">
        <v>102</v>
      </c>
      <c r="X38" s="224"/>
      <c r="Y38" s="224"/>
      <c r="Z38" s="224"/>
      <c r="AA38" s="224"/>
      <c r="AB38" s="224"/>
      <c r="AI38" s="210"/>
      <c r="AJ38" s="178"/>
      <c r="AK38" s="101"/>
      <c r="AL38" s="419"/>
      <c r="AM38" s="419"/>
      <c r="AN38" s="419"/>
      <c r="AO38" s="419"/>
      <c r="AP38" s="419"/>
      <c r="AQ38" s="420"/>
      <c r="AR38" s="419"/>
      <c r="AS38" s="419"/>
      <c r="AT38" s="419"/>
      <c r="AU38" s="419"/>
      <c r="AV38" s="419"/>
      <c r="AW38" s="419"/>
      <c r="AX38" s="419"/>
      <c r="AY38" s="419"/>
      <c r="AZ38" s="419"/>
      <c r="BA38" s="419"/>
    </row>
    <row r="39" spans="1:53" s="88" customFormat="1" ht="7.5" customHeight="1" x14ac:dyDescent="0.25">
      <c r="A39" s="133"/>
      <c r="B39" s="9"/>
      <c r="C39" s="9"/>
      <c r="D39" s="9"/>
      <c r="E39" s="9"/>
      <c r="F39" s="9"/>
      <c r="G39" s="9"/>
      <c r="H39" s="9"/>
      <c r="I39" s="9"/>
      <c r="J39" s="13"/>
      <c r="K39" s="9"/>
      <c r="L39" s="9"/>
      <c r="M39" s="9"/>
      <c r="N39" s="9"/>
      <c r="O39" s="9"/>
      <c r="P39" s="9"/>
      <c r="Q39" s="9"/>
      <c r="R39" s="9"/>
      <c r="S39" s="9"/>
      <c r="T39" s="9"/>
      <c r="U39" s="134"/>
      <c r="V39" s="152"/>
      <c r="W39" s="326"/>
      <c r="X39" s="646" t="s">
        <v>30</v>
      </c>
      <c r="Y39" s="259" t="s">
        <v>8</v>
      </c>
      <c r="Z39" s="259" t="s">
        <v>103</v>
      </c>
      <c r="AA39" s="1033" t="s">
        <v>76</v>
      </c>
      <c r="AB39" s="1033" t="s">
        <v>77</v>
      </c>
      <c r="AJ39" s="178"/>
      <c r="AK39" s="101"/>
      <c r="AL39" s="419">
        <f>D8</f>
        <v>2014</v>
      </c>
      <c r="AM39" s="419">
        <f>E8</f>
        <v>2015</v>
      </c>
      <c r="AN39" s="419">
        <f>F8</f>
        <v>2016</v>
      </c>
      <c r="AO39" s="419">
        <f>G8</f>
        <v>2017</v>
      </c>
      <c r="AP39" s="419">
        <f>H8</f>
        <v>2018</v>
      </c>
      <c r="AQ39" s="420"/>
      <c r="AR39" s="419">
        <f>K8</f>
        <v>2014</v>
      </c>
      <c r="AS39" s="419">
        <f>L8</f>
        <v>2015</v>
      </c>
      <c r="AT39" s="419">
        <f>M8</f>
        <v>2016</v>
      </c>
      <c r="AU39" s="419">
        <f>N8</f>
        <v>2017</v>
      </c>
      <c r="AV39" s="419">
        <f>O8</f>
        <v>2018</v>
      </c>
      <c r="AW39" s="419">
        <f>AR39</f>
        <v>2014</v>
      </c>
      <c r="AX39" s="419">
        <f t="shared" ref="AX39:BA39" si="9">AS39</f>
        <v>2015</v>
      </c>
      <c r="AY39" s="419">
        <f t="shared" si="9"/>
        <v>2016</v>
      </c>
      <c r="AZ39" s="419">
        <f t="shared" si="9"/>
        <v>2017</v>
      </c>
      <c r="BA39" s="419">
        <f t="shared" si="9"/>
        <v>2018</v>
      </c>
    </row>
    <row r="40" spans="1:53" s="88" customFormat="1" ht="14.25" customHeight="1" x14ac:dyDescent="0.2">
      <c r="A40" s="135"/>
      <c r="B40" s="9"/>
      <c r="C40" s="9"/>
      <c r="D40" s="9"/>
      <c r="E40" s="9"/>
      <c r="F40" s="9"/>
      <c r="G40" s="9"/>
      <c r="H40" s="9"/>
      <c r="I40" s="9"/>
      <c r="J40" s="13"/>
      <c r="K40" s="9"/>
      <c r="L40" s="9"/>
      <c r="M40" s="9"/>
      <c r="N40" s="9"/>
      <c r="O40" s="9"/>
      <c r="P40" s="9"/>
      <c r="Q40" s="9"/>
      <c r="R40" s="9"/>
      <c r="S40" s="9"/>
      <c r="T40" s="9"/>
      <c r="U40" s="134"/>
      <c r="V40" s="152"/>
      <c r="W40" s="326"/>
      <c r="X40" s="647" t="e">
        <f ca="1">OFFSET(B8,$X$4,0)</f>
        <v>#N/A</v>
      </c>
      <c r="Y40" s="238" t="e">
        <f ca="1">OFFSET(R7,(VLOOKUP(X40,$Y$41:$Z$62,2,FALSE)),0)</f>
        <v>#N/A</v>
      </c>
      <c r="Z40" s="238" t="e">
        <f ca="1">(OFFSET(O7,(VLOOKUP(X40,$Y$41:$Z$62,2,FALSE)),0))</f>
        <v>#N/A</v>
      </c>
      <c r="AA40" s="1034"/>
      <c r="AB40" s="1034"/>
      <c r="AI40" s="642" t="b">
        <v>1</v>
      </c>
      <c r="AJ40" s="178" t="s">
        <v>0</v>
      </c>
      <c r="AK40" s="101" t="str">
        <f t="shared" ref="AK40:AK63" si="10">IF(AI40=TRUE,B9,"")</f>
        <v>Bracknell Forest</v>
      </c>
      <c r="AL40" s="164">
        <f t="shared" ref="AL40:AP62" si="11">VLOOKUP($AK40,$B$9:$O$32,AL$36,FALSE)</f>
        <v>51.660516605166052</v>
      </c>
      <c r="AM40" s="164">
        <f t="shared" si="11"/>
        <v>58.633093525179859</v>
      </c>
      <c r="AN40" s="164">
        <f t="shared" si="11"/>
        <v>56.028368794326241</v>
      </c>
      <c r="AO40" s="164">
        <f t="shared" si="11"/>
        <v>92.638602967274792</v>
      </c>
      <c r="AP40" s="164">
        <f t="shared" si="11"/>
        <v>83.716290833956762</v>
      </c>
      <c r="AQ40" s="165">
        <f>VLOOKUP(AK40,$B$9:$T$32,17,FALSE)</f>
        <v>11</v>
      </c>
      <c r="AR40" s="398">
        <f>VLOOKUP($AK40,$B$110:$H$133,AR$36,FALSE)</f>
        <v>0.41176470588235292</v>
      </c>
      <c r="AS40" s="398">
        <f t="shared" ref="AS40:AV55" si="12">VLOOKUP($AK40,$B$110:$H$133,AS$36,FALSE)</f>
        <v>0.38717339667458434</v>
      </c>
      <c r="AT40" s="398">
        <f t="shared" si="12"/>
        <v>0.40101522842639592</v>
      </c>
      <c r="AU40" s="398">
        <f t="shared" si="12"/>
        <v>0.46607142857142858</v>
      </c>
      <c r="AV40" s="398">
        <f t="shared" si="12"/>
        <v>0.37183544303797467</v>
      </c>
      <c r="AW40" s="398">
        <f>VLOOKUP($AK40,$B$145:$H$168,AW$36,FALSE)</f>
        <v>0.51428571428571423</v>
      </c>
      <c r="AX40" s="398">
        <f t="shared" ref="AX40:BA40" si="13">VLOOKUP($AK40,$B$145:$H$168,AX$36,FALSE)</f>
        <v>0.56441717791411039</v>
      </c>
      <c r="AY40" s="398">
        <f t="shared" si="13"/>
        <v>0.66455696202531644</v>
      </c>
      <c r="AZ40" s="398">
        <f t="shared" si="13"/>
        <v>0.73946360153256707</v>
      </c>
      <c r="BA40" s="398">
        <f t="shared" si="13"/>
        <v>0.82553191489361699</v>
      </c>
    </row>
    <row r="41" spans="1:53" s="88" customFormat="1" ht="14.25" customHeight="1" x14ac:dyDescent="0.2">
      <c r="A41" s="135"/>
      <c r="B41" s="9"/>
      <c r="C41" s="9"/>
      <c r="D41" s="9"/>
      <c r="E41" s="9"/>
      <c r="F41" s="9"/>
      <c r="G41" s="9"/>
      <c r="H41" s="9"/>
      <c r="I41" s="9"/>
      <c r="J41" s="13"/>
      <c r="K41" s="9"/>
      <c r="L41" s="9"/>
      <c r="M41" s="9"/>
      <c r="N41" s="9"/>
      <c r="O41" s="9"/>
      <c r="P41" s="9"/>
      <c r="Q41" s="9"/>
      <c r="R41" s="9"/>
      <c r="S41" s="9"/>
      <c r="T41" s="9"/>
      <c r="U41" s="134"/>
      <c r="V41" s="152"/>
      <c r="W41" s="326"/>
      <c r="X41" s="647">
        <v>1</v>
      </c>
      <c r="Y41" s="50" t="str">
        <f t="shared" ref="Y41:Y64" si="14">B9</f>
        <v>Bracknell Forest</v>
      </c>
      <c r="Z41" s="45">
        <v>2</v>
      </c>
      <c r="AA41" s="46">
        <f>IF(H9&gt;0,IDACI!D9,0)</f>
        <v>23799</v>
      </c>
      <c r="AB41" s="46">
        <f>IF(H9&gt;0,IDACI!E9,0)</f>
        <v>2617.89</v>
      </c>
      <c r="AI41" s="642" t="b">
        <v>1</v>
      </c>
      <c r="AJ41" s="178" t="s">
        <v>32</v>
      </c>
      <c r="AK41" s="101" t="str">
        <f t="shared" si="10"/>
        <v>Brighton &amp; Hove</v>
      </c>
      <c r="AL41" s="164">
        <f t="shared" si="11"/>
        <v>84.554455445544562</v>
      </c>
      <c r="AM41" s="164">
        <f t="shared" si="11"/>
        <v>92.54901960784315</v>
      </c>
      <c r="AN41" s="164">
        <f t="shared" si="11"/>
        <v>106.25000000000001</v>
      </c>
      <c r="AO41" s="164">
        <f t="shared" si="11"/>
        <v>91.846882861098649</v>
      </c>
      <c r="AP41" s="164">
        <f t="shared" si="11"/>
        <v>94.348875071104914</v>
      </c>
      <c r="AQ41" s="165">
        <f t="shared" ref="AQ41:AQ63" si="15">VLOOKUP(AK41,$B$9:$T$31,17,FALSE)</f>
        <v>18.3</v>
      </c>
      <c r="AR41" s="398">
        <f t="shared" ref="AR41:AV63" si="16">VLOOKUP($AK41,$B$110:$H$133,AR$36,FALSE)</f>
        <v>0.50353773584905659</v>
      </c>
      <c r="AS41" s="398">
        <f t="shared" si="12"/>
        <v>0.45472061657032753</v>
      </c>
      <c r="AT41" s="398">
        <f t="shared" si="12"/>
        <v>0.4759405074365704</v>
      </c>
      <c r="AU41" s="398">
        <f t="shared" si="12"/>
        <v>0.54577056778679023</v>
      </c>
      <c r="AV41" s="398">
        <f t="shared" si="12"/>
        <v>0.54721274175199086</v>
      </c>
      <c r="AW41" s="398">
        <f t="shared" ref="AW41:BA63" si="17">VLOOKUP($AK41,$B$145:$H$168,AW$36,FALSE)</f>
        <v>0.76580796252927397</v>
      </c>
      <c r="AX41" s="398">
        <f t="shared" si="17"/>
        <v>0.59957627118644063</v>
      </c>
      <c r="AY41" s="398">
        <f t="shared" si="17"/>
        <v>0.63602941176470584</v>
      </c>
      <c r="AZ41" s="398">
        <f t="shared" si="17"/>
        <v>0.66029723991507427</v>
      </c>
      <c r="BA41" s="398">
        <f t="shared" si="17"/>
        <v>0.87318087318087323</v>
      </c>
    </row>
    <row r="42" spans="1:53" ht="14.25" customHeight="1" x14ac:dyDescent="0.2">
      <c r="A42" s="135"/>
      <c r="B42" s="9"/>
      <c r="C42" s="9"/>
      <c r="D42" s="9"/>
      <c r="E42" s="9"/>
      <c r="F42" s="9"/>
      <c r="G42" s="9"/>
      <c r="H42" s="9"/>
      <c r="I42" s="9"/>
      <c r="J42" s="13"/>
      <c r="K42" s="9"/>
      <c r="L42" s="9"/>
      <c r="M42" s="9"/>
      <c r="N42" s="9"/>
      <c r="O42" s="9"/>
      <c r="P42" s="9"/>
      <c r="Q42" s="9"/>
      <c r="R42" s="9"/>
      <c r="S42" s="9"/>
      <c r="T42" s="9"/>
      <c r="U42" s="134"/>
      <c r="V42" s="152"/>
      <c r="W42" s="326"/>
      <c r="X42" s="647">
        <v>2</v>
      </c>
      <c r="Y42" s="50" t="str">
        <f t="shared" si="14"/>
        <v>Brighton &amp; Hove</v>
      </c>
      <c r="Z42" s="45">
        <v>3</v>
      </c>
      <c r="AA42" s="46">
        <f>IF(H10&gt;0,IDACI!D10,0)</f>
        <v>44814</v>
      </c>
      <c r="AB42" s="46">
        <f>IF(H10&gt;0,IDACI!E10,0)</f>
        <v>8200.9619999999995</v>
      </c>
      <c r="AI42" s="642" t="b">
        <v>1</v>
      </c>
      <c r="AJ42" s="178" t="s">
        <v>9</v>
      </c>
      <c r="AK42" s="101" t="str">
        <f t="shared" si="10"/>
        <v>Buckinghamshire</v>
      </c>
      <c r="AL42" s="164">
        <f t="shared" si="11"/>
        <v>27.891156462585034</v>
      </c>
      <c r="AM42" s="164">
        <f t="shared" si="11"/>
        <v>42.97729184188394</v>
      </c>
      <c r="AN42" s="164">
        <f t="shared" si="11"/>
        <v>62.106135986733001</v>
      </c>
      <c r="AO42" s="164">
        <f t="shared" si="11"/>
        <v>70.864530911173844</v>
      </c>
      <c r="AP42" s="164">
        <f t="shared" si="11"/>
        <v>70.038594353036757</v>
      </c>
      <c r="AQ42" s="165">
        <f t="shared" si="15"/>
        <v>9.8000000000000007</v>
      </c>
      <c r="AR42" s="398">
        <f t="shared" si="16"/>
        <v>0.36978579481397972</v>
      </c>
      <c r="AS42" s="398">
        <f t="shared" si="12"/>
        <v>0.29067121729237771</v>
      </c>
      <c r="AT42" s="398">
        <f t="shared" si="12"/>
        <v>0.3892931392931393</v>
      </c>
      <c r="AU42" s="398">
        <f t="shared" si="12"/>
        <v>0.33618012422360249</v>
      </c>
      <c r="AV42" s="398">
        <f t="shared" si="12"/>
        <v>0.34870550161812297</v>
      </c>
      <c r="AW42" s="398">
        <f t="shared" si="17"/>
        <v>0.38414634146341464</v>
      </c>
      <c r="AX42" s="398">
        <f t="shared" si="17"/>
        <v>0.43248532289628178</v>
      </c>
      <c r="AY42" s="398">
        <f t="shared" si="17"/>
        <v>0.68891855807743663</v>
      </c>
      <c r="AZ42" s="398">
        <f t="shared" si="17"/>
        <v>0.69630484988452657</v>
      </c>
      <c r="BA42" s="398">
        <f t="shared" si="17"/>
        <v>0.73201856148491884</v>
      </c>
    </row>
    <row r="43" spans="1:53" ht="14.25" customHeight="1" x14ac:dyDescent="0.2">
      <c r="A43" s="135"/>
      <c r="B43" s="9"/>
      <c r="C43" s="9"/>
      <c r="D43" s="9"/>
      <c r="E43" s="9"/>
      <c r="F43" s="9"/>
      <c r="G43" s="9"/>
      <c r="H43" s="9"/>
      <c r="I43" s="9"/>
      <c r="J43" s="13"/>
      <c r="K43" s="14"/>
      <c r="L43" s="14"/>
      <c r="M43" s="14"/>
      <c r="N43" s="14"/>
      <c r="O43" s="15"/>
      <c r="P43" s="15"/>
      <c r="Q43" s="15"/>
      <c r="R43" s="15"/>
      <c r="S43" s="15"/>
      <c r="T43" s="15"/>
      <c r="U43" s="134"/>
      <c r="V43" s="152"/>
      <c r="W43" s="326"/>
      <c r="X43" s="647">
        <v>3</v>
      </c>
      <c r="Y43" s="50" t="str">
        <f t="shared" si="14"/>
        <v>Buckinghamshire</v>
      </c>
      <c r="Z43" s="45">
        <v>4</v>
      </c>
      <c r="AA43" s="46">
        <f>IF(H11&gt;0,IDACI!D11,0)</f>
        <v>103548</v>
      </c>
      <c r="AB43" s="46">
        <f>IF(H11&gt;0,IDACI!E11,0)</f>
        <v>10147.704</v>
      </c>
      <c r="AI43" s="642" t="b">
        <v>1</v>
      </c>
      <c r="AJ43" s="178" t="s">
        <v>4</v>
      </c>
      <c r="AK43" s="101" t="str">
        <f t="shared" si="10"/>
        <v>East Sussex</v>
      </c>
      <c r="AL43" s="164">
        <f t="shared" si="11"/>
        <v>60.591603053435115</v>
      </c>
      <c r="AM43" s="164">
        <f t="shared" si="11"/>
        <v>59.297912713472485</v>
      </c>
      <c r="AN43" s="164">
        <f t="shared" si="11"/>
        <v>45.609065155807372</v>
      </c>
      <c r="AO43" s="164">
        <f t="shared" si="11"/>
        <v>59.193942769747842</v>
      </c>
      <c r="AP43" s="164">
        <f t="shared" si="11"/>
        <v>67.047008345513703</v>
      </c>
      <c r="AQ43" s="165">
        <f t="shared" si="15"/>
        <v>17.399999999999999</v>
      </c>
      <c r="AR43" s="398">
        <f t="shared" si="16"/>
        <v>0.46554252199413487</v>
      </c>
      <c r="AS43" s="398">
        <f t="shared" si="12"/>
        <v>0.62814070351758799</v>
      </c>
      <c r="AT43" s="398">
        <f t="shared" si="12"/>
        <v>0.55645161290322576</v>
      </c>
      <c r="AU43" s="398">
        <f t="shared" si="12"/>
        <v>0.55634427684117127</v>
      </c>
      <c r="AV43" s="398">
        <f t="shared" si="12"/>
        <v>0.53298350824587704</v>
      </c>
      <c r="AW43" s="398">
        <f t="shared" si="17"/>
        <v>0.55748031496062989</v>
      </c>
      <c r="AX43" s="398">
        <f t="shared" si="17"/>
        <v>0.68</v>
      </c>
      <c r="AY43" s="398">
        <f t="shared" si="17"/>
        <v>0.6045548654244306</v>
      </c>
      <c r="AZ43" s="398">
        <f t="shared" si="17"/>
        <v>0.59808612440191389</v>
      </c>
      <c r="BA43" s="398">
        <f t="shared" si="17"/>
        <v>0.57665260196905765</v>
      </c>
    </row>
    <row r="44" spans="1:53" s="82" customFormat="1" ht="14.25" customHeight="1" x14ac:dyDescent="0.2">
      <c r="A44" s="136"/>
      <c r="B44" s="256"/>
      <c r="C44" s="256"/>
      <c r="D44" s="257"/>
      <c r="E44" s="257"/>
      <c r="F44" s="257"/>
      <c r="G44" s="257"/>
      <c r="H44" s="257"/>
      <c r="I44" s="257"/>
      <c r="J44" s="16"/>
      <c r="K44" s="9"/>
      <c r="L44" s="9"/>
      <c r="M44" s="9"/>
      <c r="N44" s="9"/>
      <c r="O44" s="9"/>
      <c r="P44" s="9"/>
      <c r="Q44" s="9"/>
      <c r="R44" s="9"/>
      <c r="S44" s="9"/>
      <c r="T44" s="9"/>
      <c r="U44" s="137"/>
      <c r="V44" s="153"/>
      <c r="W44" s="327"/>
      <c r="X44" s="647">
        <v>4</v>
      </c>
      <c r="Y44" s="50" t="str">
        <f t="shared" si="14"/>
        <v>East Sussex</v>
      </c>
      <c r="Z44" s="45">
        <v>5</v>
      </c>
      <c r="AA44" s="46">
        <f>IF(H12&gt;0,IDACI!D12,0)</f>
        <v>91918</v>
      </c>
      <c r="AB44" s="46">
        <f>IF(H12&gt;0,IDACI!E12,0)</f>
        <v>15993.731999999998</v>
      </c>
      <c r="AC44" s="88"/>
      <c r="AD44" s="88"/>
      <c r="AE44" s="88"/>
      <c r="AF44" s="88"/>
      <c r="AG44" s="88"/>
      <c r="AH44" s="88"/>
      <c r="AI44" s="642" t="b">
        <v>1</v>
      </c>
      <c r="AJ44" s="178" t="s">
        <v>6</v>
      </c>
      <c r="AK44" s="101" t="str">
        <f t="shared" si="10"/>
        <v>Hampshire</v>
      </c>
      <c r="AL44" s="164">
        <f t="shared" si="11"/>
        <v>54.168144732174532</v>
      </c>
      <c r="AM44" s="164">
        <f t="shared" si="11"/>
        <v>75.097690941385437</v>
      </c>
      <c r="AN44" s="164">
        <f t="shared" si="11"/>
        <v>67.399787158566866</v>
      </c>
      <c r="AO44" s="164">
        <f t="shared" si="11"/>
        <v>66.091212238013227</v>
      </c>
      <c r="AP44" s="164">
        <f t="shared" si="11"/>
        <v>62.969002590765015</v>
      </c>
      <c r="AQ44" s="165">
        <f t="shared" si="15"/>
        <v>11.799999999999999</v>
      </c>
      <c r="AR44" s="398">
        <f t="shared" si="16"/>
        <v>0.55426497277676956</v>
      </c>
      <c r="AS44" s="398">
        <f t="shared" si="12"/>
        <v>0.45727882327492969</v>
      </c>
      <c r="AT44" s="398">
        <f t="shared" si="12"/>
        <v>0.45432807269249165</v>
      </c>
      <c r="AU44" s="398">
        <f t="shared" si="12"/>
        <v>0.44383756827356924</v>
      </c>
      <c r="AV44" s="398">
        <f t="shared" si="12"/>
        <v>0.46409989594172735</v>
      </c>
      <c r="AW44" s="398">
        <f t="shared" si="17"/>
        <v>0.6902423051735429</v>
      </c>
      <c r="AX44" s="398">
        <f t="shared" si="17"/>
        <v>0.6887417218543046</v>
      </c>
      <c r="AY44" s="398">
        <f t="shared" si="17"/>
        <v>0.70842105263157895</v>
      </c>
      <c r="AZ44" s="398">
        <f t="shared" si="17"/>
        <v>0.76779026217228463</v>
      </c>
      <c r="BA44" s="398">
        <f t="shared" si="17"/>
        <v>0.77073991031390132</v>
      </c>
    </row>
    <row r="45" spans="1:53" ht="14.25" customHeight="1" x14ac:dyDescent="0.2">
      <c r="A45" s="135"/>
      <c r="B45" s="257"/>
      <c r="C45" s="257"/>
      <c r="D45" s="257"/>
      <c r="E45" s="257"/>
      <c r="F45" s="257"/>
      <c r="G45" s="257"/>
      <c r="H45" s="257"/>
      <c r="I45" s="257"/>
      <c r="J45" s="13"/>
      <c r="K45" s="15"/>
      <c r="L45" s="15"/>
      <c r="M45" s="15"/>
      <c r="N45" s="15"/>
      <c r="O45" s="9"/>
      <c r="P45" s="9"/>
      <c r="Q45" s="9"/>
      <c r="R45" s="9"/>
      <c r="S45" s="9"/>
      <c r="T45" s="9"/>
      <c r="U45" s="134"/>
      <c r="V45" s="152"/>
      <c r="W45" s="326"/>
      <c r="X45" s="647">
        <v>5</v>
      </c>
      <c r="Y45" s="50" t="str">
        <f t="shared" si="14"/>
        <v>Hampshire</v>
      </c>
      <c r="Z45" s="45">
        <v>6</v>
      </c>
      <c r="AA45" s="46">
        <f>IF(H13&gt;0,IDACI!D13,0)</f>
        <v>247800</v>
      </c>
      <c r="AB45" s="46">
        <f>IF(H13&gt;0,IDACI!E13,0)</f>
        <v>29240.399999999998</v>
      </c>
      <c r="AI45" s="642" t="b">
        <v>1</v>
      </c>
      <c r="AJ45" s="178" t="s">
        <v>1</v>
      </c>
      <c r="AK45" s="101" t="str">
        <f t="shared" si="10"/>
        <v>Isle of Wight</v>
      </c>
      <c r="AL45" s="164">
        <f t="shared" si="11"/>
        <v>98.449612403100772</v>
      </c>
      <c r="AM45" s="164">
        <f t="shared" si="11"/>
        <v>129.01960784313727</v>
      </c>
      <c r="AN45" s="164">
        <f t="shared" si="11"/>
        <v>148.22134387351778</v>
      </c>
      <c r="AO45" s="164">
        <f t="shared" si="11"/>
        <v>114.28571428571429</v>
      </c>
      <c r="AP45" s="164">
        <f t="shared" si="11"/>
        <v>108.16204350429057</v>
      </c>
      <c r="AQ45" s="165">
        <f t="shared" si="15"/>
        <v>20.399999999999999</v>
      </c>
      <c r="AR45" s="398">
        <f t="shared" si="16"/>
        <v>0.50297029702970297</v>
      </c>
      <c r="AS45" s="398">
        <f t="shared" si="12"/>
        <v>0.4506849315068493</v>
      </c>
      <c r="AT45" s="398">
        <f t="shared" si="12"/>
        <v>0.55473372781065089</v>
      </c>
      <c r="AU45" s="398">
        <f t="shared" si="12"/>
        <v>0.52459016393442626</v>
      </c>
      <c r="AV45" s="398">
        <f t="shared" si="12"/>
        <v>0.48653500897666069</v>
      </c>
      <c r="AW45" s="398">
        <f t="shared" si="17"/>
        <v>0.24803149606299213</v>
      </c>
      <c r="AX45" s="398">
        <f t="shared" si="17"/>
        <v>0.64437689969604861</v>
      </c>
      <c r="AY45" s="398">
        <f t="shared" si="17"/>
        <v>0.57066666666666666</v>
      </c>
      <c r="AZ45" s="398">
        <f t="shared" si="17"/>
        <v>0.75694444444444442</v>
      </c>
      <c r="BA45" s="398">
        <f t="shared" si="17"/>
        <v>0.8487084870848709</v>
      </c>
    </row>
    <row r="46" spans="1:53" ht="14.25" customHeight="1" x14ac:dyDescent="0.2">
      <c r="A46" s="135"/>
      <c r="B46" s="257"/>
      <c r="C46" s="257"/>
      <c r="D46" s="257"/>
      <c r="E46" s="257"/>
      <c r="F46" s="257"/>
      <c r="G46" s="257"/>
      <c r="H46" s="257"/>
      <c r="I46" s="257"/>
      <c r="J46" s="13"/>
      <c r="K46" s="15"/>
      <c r="L46" s="15"/>
      <c r="M46" s="15"/>
      <c r="N46" s="15"/>
      <c r="O46" s="9"/>
      <c r="P46" s="9"/>
      <c r="Q46" s="9"/>
      <c r="R46" s="9"/>
      <c r="S46" s="9"/>
      <c r="T46" s="9"/>
      <c r="U46" s="134"/>
      <c r="V46" s="152"/>
      <c r="W46" s="326"/>
      <c r="X46" s="647">
        <v>6</v>
      </c>
      <c r="Y46" s="50" t="str">
        <f t="shared" si="14"/>
        <v>Isle of Wight</v>
      </c>
      <c r="Z46" s="45">
        <v>7</v>
      </c>
      <c r="AA46" s="46">
        <f>IF(H14&gt;0,IDACI!D14,0)</f>
        <v>22502</v>
      </c>
      <c r="AB46" s="46">
        <f>IF(H14&gt;0,IDACI!E14,0)</f>
        <v>4590.4079999999994</v>
      </c>
      <c r="AC46" s="239"/>
      <c r="AI46" s="642" t="b">
        <v>1</v>
      </c>
      <c r="AJ46" s="178" t="s">
        <v>10</v>
      </c>
      <c r="AK46" s="101" t="str">
        <f t="shared" si="10"/>
        <v>Kent</v>
      </c>
      <c r="AL46" s="164">
        <f t="shared" si="11"/>
        <v>48.157248157248155</v>
      </c>
      <c r="AM46" s="164">
        <f t="shared" si="11"/>
        <v>54.766981419433442</v>
      </c>
      <c r="AN46" s="164">
        <f t="shared" si="11"/>
        <v>46.882566585956418</v>
      </c>
      <c r="AO46" s="164">
        <f t="shared" si="11"/>
        <v>44.858802864477774</v>
      </c>
      <c r="AP46" s="164">
        <f t="shared" si="11"/>
        <v>52.426433395816595</v>
      </c>
      <c r="AQ46" s="165">
        <f t="shared" si="15"/>
        <v>17.8</v>
      </c>
      <c r="AR46" s="398">
        <f t="shared" si="16"/>
        <v>0.38975888640318168</v>
      </c>
      <c r="AS46" s="398">
        <f t="shared" si="12"/>
        <v>0.4117242958552782</v>
      </c>
      <c r="AT46" s="398">
        <f t="shared" si="12"/>
        <v>0.3254201680672269</v>
      </c>
      <c r="AU46" s="398">
        <f t="shared" si="12"/>
        <v>0.30533415082771304</v>
      </c>
      <c r="AV46" s="398">
        <f t="shared" si="12"/>
        <v>0.28151461894871388</v>
      </c>
      <c r="AW46" s="398">
        <f t="shared" si="17"/>
        <v>0.61415816326530615</v>
      </c>
      <c r="AX46" s="398">
        <f t="shared" si="17"/>
        <v>0.78420467185761955</v>
      </c>
      <c r="AY46" s="398">
        <f t="shared" si="17"/>
        <v>0.82956746287927696</v>
      </c>
      <c r="AZ46" s="398">
        <f t="shared" si="17"/>
        <v>0.84337349397590367</v>
      </c>
      <c r="BA46" s="398">
        <f t="shared" si="17"/>
        <v>0.74914869466515321</v>
      </c>
    </row>
    <row r="47" spans="1:53" ht="14.25" customHeight="1" x14ac:dyDescent="0.2">
      <c r="A47" s="135"/>
      <c r="B47" s="58"/>
      <c r="C47" s="58"/>
      <c r="D47" s="58"/>
      <c r="E47" s="58"/>
      <c r="F47" s="58"/>
      <c r="G47" s="58"/>
      <c r="H47" s="58"/>
      <c r="I47" s="58"/>
      <c r="J47" s="13"/>
      <c r="K47" s="15"/>
      <c r="L47" s="15"/>
      <c r="M47" s="15"/>
      <c r="N47" s="15"/>
      <c r="O47" s="9"/>
      <c r="P47" s="9"/>
      <c r="Q47" s="9"/>
      <c r="R47" s="9"/>
      <c r="S47" s="9"/>
      <c r="T47" s="9"/>
      <c r="U47" s="134"/>
      <c r="V47" s="152"/>
      <c r="W47" s="326"/>
      <c r="X47" s="647">
        <v>7</v>
      </c>
      <c r="Y47" s="50" t="str">
        <f t="shared" si="14"/>
        <v>Kent</v>
      </c>
      <c r="Z47" s="45">
        <v>8</v>
      </c>
      <c r="AA47" s="46">
        <f>IF(H15&gt;0,IDACI!D15,0)</f>
        <v>286168</v>
      </c>
      <c r="AB47" s="46">
        <f>IF(H15&gt;0,IDACI!E15,0)</f>
        <v>50937.904000000002</v>
      </c>
      <c r="AC47" s="210"/>
      <c r="AI47" s="642" t="b">
        <v>1</v>
      </c>
      <c r="AJ47" s="178" t="s">
        <v>2</v>
      </c>
      <c r="AK47" s="101" t="str">
        <f t="shared" si="10"/>
        <v>Medway</v>
      </c>
      <c r="AL47" s="164">
        <f t="shared" si="11"/>
        <v>69.967532467532465</v>
      </c>
      <c r="AM47" s="164">
        <f t="shared" si="11"/>
        <v>96.96</v>
      </c>
      <c r="AN47" s="164">
        <f t="shared" si="11"/>
        <v>96.044303797468359</v>
      </c>
      <c r="AO47" s="164">
        <f t="shared" si="11"/>
        <v>55.104636011115126</v>
      </c>
      <c r="AP47" s="164">
        <f t="shared" si="11"/>
        <v>63.024881535117217</v>
      </c>
      <c r="AQ47" s="165">
        <f t="shared" si="15"/>
        <v>22</v>
      </c>
      <c r="AR47" s="398">
        <f t="shared" si="16"/>
        <v>0.49597238204833144</v>
      </c>
      <c r="AS47" s="398">
        <f t="shared" si="12"/>
        <v>0.40026420079260239</v>
      </c>
      <c r="AT47" s="398">
        <f t="shared" si="12"/>
        <v>0.37216431637032493</v>
      </c>
      <c r="AU47" s="398">
        <f t="shared" si="12"/>
        <v>0.32742537313432835</v>
      </c>
      <c r="AV47" s="398">
        <f t="shared" si="12"/>
        <v>0.34123624047417445</v>
      </c>
      <c r="AW47" s="398">
        <f t="shared" si="17"/>
        <v>0.54756380510440839</v>
      </c>
      <c r="AX47" s="398">
        <f t="shared" si="17"/>
        <v>0.5907590759075908</v>
      </c>
      <c r="AY47" s="398">
        <f t="shared" si="17"/>
        <v>0.88797364085667219</v>
      </c>
      <c r="AZ47" s="398">
        <f t="shared" si="17"/>
        <v>0.88319088319088324</v>
      </c>
      <c r="BA47" s="398">
        <f t="shared" si="17"/>
        <v>0.87593052109181146</v>
      </c>
    </row>
    <row r="48" spans="1:53" ht="14.25" customHeight="1" x14ac:dyDescent="0.2">
      <c r="A48" s="135"/>
      <c r="B48" s="58"/>
      <c r="C48" s="58"/>
      <c r="D48" s="69"/>
      <c r="E48" s="70"/>
      <c r="F48" s="69"/>
      <c r="G48" s="70"/>
      <c r="H48" s="70"/>
      <c r="I48" s="70"/>
      <c r="J48" s="13"/>
      <c r="K48" s="15"/>
      <c r="L48" s="15"/>
      <c r="M48" s="15"/>
      <c r="N48" s="15"/>
      <c r="O48" s="9"/>
      <c r="P48" s="9"/>
      <c r="Q48" s="9"/>
      <c r="R48" s="9"/>
      <c r="S48" s="9"/>
      <c r="T48" s="9"/>
      <c r="U48" s="134"/>
      <c r="V48" s="152"/>
      <c r="W48" s="326"/>
      <c r="X48" s="647">
        <v>8</v>
      </c>
      <c r="Y48" s="50" t="str">
        <f t="shared" si="14"/>
        <v>Medway</v>
      </c>
      <c r="Z48" s="45">
        <v>9</v>
      </c>
      <c r="AA48" s="46">
        <f>IF(H16&gt;0,IDACI!D16,0)</f>
        <v>54280</v>
      </c>
      <c r="AB48" s="46">
        <f>IF(H16&gt;0,IDACI!E16,0)</f>
        <v>11941.6</v>
      </c>
      <c r="AI48" s="642" t="b">
        <v>1</v>
      </c>
      <c r="AJ48" s="178" t="s">
        <v>11</v>
      </c>
      <c r="AK48" s="101" t="str">
        <f t="shared" si="10"/>
        <v>Milton Keynes</v>
      </c>
      <c r="AL48" s="164">
        <f t="shared" si="11"/>
        <v>11.40625</v>
      </c>
      <c r="AM48" s="164">
        <f t="shared" si="11"/>
        <v>18.098159509202453</v>
      </c>
      <c r="AN48" s="164">
        <f t="shared" si="11"/>
        <v>18.154311649016641</v>
      </c>
      <c r="AO48" s="164">
        <f t="shared" si="11"/>
        <v>21.892592261638818</v>
      </c>
      <c r="AP48" s="164">
        <f t="shared" si="11"/>
        <v>25.869587712684968</v>
      </c>
      <c r="AQ48" s="165">
        <f t="shared" si="15"/>
        <v>19.7</v>
      </c>
      <c r="AR48" s="398">
        <f t="shared" si="16"/>
        <v>0.13721804511278196</v>
      </c>
      <c r="AS48" s="398">
        <f t="shared" si="12"/>
        <v>0.2118491921005386</v>
      </c>
      <c r="AT48" s="398">
        <f t="shared" si="12"/>
        <v>0.210896309314587</v>
      </c>
      <c r="AU48" s="398">
        <f t="shared" si="12"/>
        <v>0.18943298969072164</v>
      </c>
      <c r="AV48" s="398">
        <f t="shared" si="12"/>
        <v>0.31362007168458783</v>
      </c>
      <c r="AW48" s="398">
        <f t="shared" si="17"/>
        <v>0.87671232876712324</v>
      </c>
      <c r="AX48" s="398">
        <f t="shared" si="17"/>
        <v>0.97457627118644063</v>
      </c>
      <c r="AY48" s="398">
        <f t="shared" si="17"/>
        <v>0.93333333333333335</v>
      </c>
      <c r="AZ48" s="398">
        <f t="shared" si="17"/>
        <v>0.87074829931972786</v>
      </c>
      <c r="BA48" s="398">
        <f t="shared" si="17"/>
        <v>0.94857142857142862</v>
      </c>
    </row>
    <row r="49" spans="1:53" ht="14.25" customHeight="1" x14ac:dyDescent="0.2">
      <c r="A49" s="135"/>
      <c r="B49" s="58"/>
      <c r="C49" s="58"/>
      <c r="D49" s="62"/>
      <c r="E49" s="62"/>
      <c r="F49" s="62"/>
      <c r="G49" s="62"/>
      <c r="H49" s="62"/>
      <c r="I49" s="62"/>
      <c r="J49" s="13"/>
      <c r="K49" s="15"/>
      <c r="L49" s="15"/>
      <c r="M49" s="15"/>
      <c r="N49" s="15"/>
      <c r="O49" s="9"/>
      <c r="P49" s="9"/>
      <c r="Q49" s="9"/>
      <c r="R49" s="9"/>
      <c r="S49" s="9"/>
      <c r="T49" s="9"/>
      <c r="U49" s="134"/>
      <c r="V49" s="152"/>
      <c r="W49" s="326"/>
      <c r="X49" s="647">
        <v>9</v>
      </c>
      <c r="Y49" s="50" t="str">
        <f t="shared" si="14"/>
        <v>Milton Keynes</v>
      </c>
      <c r="Z49" s="45">
        <v>10</v>
      </c>
      <c r="AA49" s="46">
        <f>IF(H17&gt;0,IDACI!D17,0)</f>
        <v>56637</v>
      </c>
      <c r="AB49" s="46">
        <f>IF(H17&gt;0,IDACI!E17,0)</f>
        <v>11157.489</v>
      </c>
      <c r="AI49" s="642" t="b">
        <v>1</v>
      </c>
      <c r="AJ49" s="178" t="s">
        <v>12</v>
      </c>
      <c r="AK49" s="101" t="str">
        <f t="shared" si="10"/>
        <v>Oxfordshire</v>
      </c>
      <c r="AL49" s="164">
        <f t="shared" si="11"/>
        <v>43.977191732002851</v>
      </c>
      <c r="AM49" s="164">
        <f t="shared" si="11"/>
        <v>51.062322946175634</v>
      </c>
      <c r="AN49" s="164">
        <f t="shared" si="11"/>
        <v>54.866008462623412</v>
      </c>
      <c r="AO49" s="164">
        <f t="shared" si="11"/>
        <v>64.382037411562166</v>
      </c>
      <c r="AP49" s="164">
        <f t="shared" si="11"/>
        <v>61.208555255012413</v>
      </c>
      <c r="AQ49" s="165">
        <f t="shared" si="15"/>
        <v>11.799999999999999</v>
      </c>
      <c r="AR49" s="398">
        <f t="shared" si="16"/>
        <v>0.39001264222503162</v>
      </c>
      <c r="AS49" s="398">
        <f t="shared" si="12"/>
        <v>0.45719720989220036</v>
      </c>
      <c r="AT49" s="398">
        <f t="shared" si="12"/>
        <v>0.41738197424892703</v>
      </c>
      <c r="AU49" s="398">
        <f t="shared" si="12"/>
        <v>0.47767393561786087</v>
      </c>
      <c r="AV49" s="398">
        <f t="shared" si="12"/>
        <v>0.48642659279778394</v>
      </c>
      <c r="AW49" s="398">
        <f t="shared" si="17"/>
        <v>0.84927066450567257</v>
      </c>
      <c r="AX49" s="398">
        <f t="shared" si="17"/>
        <v>0.74757281553398058</v>
      </c>
      <c r="AY49" s="398">
        <f t="shared" si="17"/>
        <v>0.81876606683804631</v>
      </c>
      <c r="AZ49" s="398">
        <f t="shared" si="17"/>
        <v>0.89347826086956517</v>
      </c>
      <c r="BA49" s="398">
        <f t="shared" si="17"/>
        <v>0.88952164009111623</v>
      </c>
    </row>
    <row r="50" spans="1:53" ht="14.25" customHeight="1" x14ac:dyDescent="0.2">
      <c r="A50" s="135"/>
      <c r="B50" s="415"/>
      <c r="C50" s="415"/>
      <c r="D50" s="58"/>
      <c r="E50" s="58"/>
      <c r="F50" s="58"/>
      <c r="G50" s="58"/>
      <c r="H50" s="58"/>
      <c r="I50" s="58"/>
      <c r="J50" s="13"/>
      <c r="K50" s="15"/>
      <c r="L50" s="15"/>
      <c r="M50" s="15"/>
      <c r="N50" s="15"/>
      <c r="O50" s="9"/>
      <c r="P50" s="9"/>
      <c r="Q50" s="9"/>
      <c r="R50" s="9"/>
      <c r="S50" s="9"/>
      <c r="T50" s="9"/>
      <c r="U50" s="134"/>
      <c r="V50" s="152"/>
      <c r="W50" s="326"/>
      <c r="X50" s="647">
        <v>10</v>
      </c>
      <c r="Y50" s="50" t="str">
        <f t="shared" si="14"/>
        <v>Oxfordshire</v>
      </c>
      <c r="Z50" s="45">
        <v>11</v>
      </c>
      <c r="AA50" s="46">
        <f>IF(H18&gt;0,IDACI!D18,0)</f>
        <v>123975</v>
      </c>
      <c r="AB50" s="46">
        <f>IF(H18&gt;0,IDACI!E18,0)</f>
        <v>14629.05</v>
      </c>
      <c r="AI50" s="642" t="b">
        <v>1</v>
      </c>
      <c r="AJ50" s="178" t="s">
        <v>13</v>
      </c>
      <c r="AK50" s="101" t="str">
        <f t="shared" si="10"/>
        <v>Portsmouth</v>
      </c>
      <c r="AL50" s="164">
        <f t="shared" si="11"/>
        <v>60.798122065727696</v>
      </c>
      <c r="AM50" s="164">
        <f t="shared" si="11"/>
        <v>66.129032258064512</v>
      </c>
      <c r="AN50" s="164">
        <f t="shared" si="11"/>
        <v>76.712328767123282</v>
      </c>
      <c r="AO50" s="164">
        <f t="shared" si="11"/>
        <v>67.954545454545453</v>
      </c>
      <c r="AP50" s="164">
        <f t="shared" si="11"/>
        <v>69.922157856625631</v>
      </c>
      <c r="AQ50" s="165">
        <f t="shared" si="15"/>
        <v>23.799999999999997</v>
      </c>
      <c r="AR50" s="398">
        <f t="shared" si="16"/>
        <v>0.26509723643807576</v>
      </c>
      <c r="AS50" s="398">
        <f t="shared" si="12"/>
        <v>0.26598702502316962</v>
      </c>
      <c r="AT50" s="398">
        <f t="shared" si="12"/>
        <v>0.29268292682926828</v>
      </c>
      <c r="AU50" s="398">
        <f t="shared" si="12"/>
        <v>0.24112903225806451</v>
      </c>
      <c r="AV50" s="398">
        <f t="shared" si="12"/>
        <v>0.30146341463414633</v>
      </c>
      <c r="AW50" s="398">
        <f t="shared" si="17"/>
        <v>0.68725868725868722</v>
      </c>
      <c r="AX50" s="398">
        <f t="shared" si="17"/>
        <v>0.6759581881533101</v>
      </c>
      <c r="AY50" s="398">
        <f t="shared" si="17"/>
        <v>0.67261904761904767</v>
      </c>
      <c r="AZ50" s="398">
        <f t="shared" si="17"/>
        <v>0.77591973244147161</v>
      </c>
      <c r="BA50" s="398">
        <f t="shared" si="17"/>
        <v>0.71844660194174759</v>
      </c>
    </row>
    <row r="51" spans="1:53" ht="14.25" customHeight="1" x14ac:dyDescent="0.2">
      <c r="A51" s="135"/>
      <c r="B51" s="415"/>
      <c r="C51" s="415"/>
      <c r="D51" s="58"/>
      <c r="E51" s="58"/>
      <c r="F51" s="58"/>
      <c r="G51" s="58"/>
      <c r="H51" s="58"/>
      <c r="I51" s="58"/>
      <c r="J51" s="13"/>
      <c r="K51" s="15"/>
      <c r="L51" s="15"/>
      <c r="M51" s="15"/>
      <c r="N51" s="15"/>
      <c r="O51" s="9"/>
      <c r="P51" s="9"/>
      <c r="Q51" s="9"/>
      <c r="R51" s="9"/>
      <c r="S51" s="9"/>
      <c r="T51" s="9"/>
      <c r="U51" s="134"/>
      <c r="V51" s="152"/>
      <c r="W51" s="326"/>
      <c r="X51" s="647">
        <v>11</v>
      </c>
      <c r="Y51" s="50" t="str">
        <f t="shared" si="14"/>
        <v>Portsmouth</v>
      </c>
      <c r="Z51" s="45">
        <v>12</v>
      </c>
      <c r="AA51" s="46">
        <f>IF(H19&gt;0,IDACI!D19,0)</f>
        <v>37912</v>
      </c>
      <c r="AB51" s="46">
        <f>IF(H19&gt;0,IDACI!E19,0)</f>
        <v>9023.0559999999987</v>
      </c>
      <c r="AI51" s="642" t="b">
        <v>1</v>
      </c>
      <c r="AJ51" s="178" t="s">
        <v>3</v>
      </c>
      <c r="AK51" s="101" t="str">
        <f t="shared" si="10"/>
        <v>Reading</v>
      </c>
      <c r="AL51" s="164">
        <f t="shared" si="11"/>
        <v>65.994236311239192</v>
      </c>
      <c r="AM51" s="164">
        <f t="shared" si="11"/>
        <v>83.844011142061291</v>
      </c>
      <c r="AN51" s="164">
        <f t="shared" si="11"/>
        <v>118.13186813186813</v>
      </c>
      <c r="AO51" s="164">
        <f t="shared" si="11"/>
        <v>144.10087060942658</v>
      </c>
      <c r="AP51" s="164">
        <f t="shared" si="11"/>
        <v>111.88094788774161</v>
      </c>
      <c r="AQ51" s="165">
        <f t="shared" si="15"/>
        <v>19.8</v>
      </c>
      <c r="AR51" s="398">
        <f t="shared" si="16"/>
        <v>0.4111310592459605</v>
      </c>
      <c r="AS51" s="398">
        <f t="shared" si="12"/>
        <v>0.51986183074265979</v>
      </c>
      <c r="AT51" s="398">
        <f t="shared" si="12"/>
        <v>0.44193216855087358</v>
      </c>
      <c r="AU51" s="398">
        <f t="shared" si="12"/>
        <v>0.48440366972477067</v>
      </c>
      <c r="AV51" s="398">
        <f t="shared" si="12"/>
        <v>0.49404761904761907</v>
      </c>
      <c r="AW51" s="398">
        <f t="shared" si="17"/>
        <v>0.83842794759825323</v>
      </c>
      <c r="AX51" s="398">
        <f t="shared" si="17"/>
        <v>0.85382059800664456</v>
      </c>
      <c r="AY51" s="398">
        <f t="shared" si="17"/>
        <v>0.67441860465116277</v>
      </c>
      <c r="AZ51" s="398">
        <f t="shared" si="17"/>
        <v>0.84659090909090906</v>
      </c>
      <c r="BA51" s="398">
        <f t="shared" si="17"/>
        <v>0.75421686746987948</v>
      </c>
    </row>
    <row r="52" spans="1:53" ht="14.25" customHeight="1" x14ac:dyDescent="0.2">
      <c r="A52" s="135"/>
      <c r="B52" s="415"/>
      <c r="C52" s="415"/>
      <c r="D52" s="58"/>
      <c r="E52" s="58"/>
      <c r="F52" s="58"/>
      <c r="G52" s="58"/>
      <c r="H52" s="58"/>
      <c r="I52" s="58"/>
      <c r="J52" s="13"/>
      <c r="K52" s="15"/>
      <c r="L52" s="15"/>
      <c r="M52" s="15"/>
      <c r="N52" s="15"/>
      <c r="O52" s="9"/>
      <c r="P52" s="9"/>
      <c r="Q52" s="9"/>
      <c r="R52" s="9"/>
      <c r="S52" s="9"/>
      <c r="T52" s="9"/>
      <c r="U52" s="134"/>
      <c r="V52" s="152"/>
      <c r="W52" s="326"/>
      <c r="X52" s="647">
        <v>12</v>
      </c>
      <c r="Y52" s="50" t="str">
        <f t="shared" si="14"/>
        <v>Reading</v>
      </c>
      <c r="Z52" s="45">
        <v>13</v>
      </c>
      <c r="AA52" s="46">
        <f>IF(H20&gt;0,IDACI!D20,0)</f>
        <v>30916</v>
      </c>
      <c r="AB52" s="46">
        <f>IF(H20&gt;0,IDACI!E20,0)</f>
        <v>6121.3680000000004</v>
      </c>
      <c r="AI52" s="642" t="b">
        <v>1</v>
      </c>
      <c r="AJ52" s="178" t="s">
        <v>14</v>
      </c>
      <c r="AK52" s="101" t="str">
        <f t="shared" si="10"/>
        <v>Slough</v>
      </c>
      <c r="AL52" s="164">
        <f t="shared" si="11"/>
        <v>102.05655526992288</v>
      </c>
      <c r="AM52" s="164">
        <f t="shared" si="11"/>
        <v>95.739348370927317</v>
      </c>
      <c r="AN52" s="164">
        <f t="shared" si="11"/>
        <v>86.453201970443359</v>
      </c>
      <c r="AO52" s="164">
        <f t="shared" si="11"/>
        <v>81.630681543737623</v>
      </c>
      <c r="AP52" s="164">
        <f t="shared" si="11"/>
        <v>64.959696538643911</v>
      </c>
      <c r="AQ52" s="165">
        <f t="shared" si="15"/>
        <v>19.5</v>
      </c>
      <c r="AR52" s="398">
        <f t="shared" si="16"/>
        <v>0.43722466960352424</v>
      </c>
      <c r="AS52" s="398">
        <f t="shared" si="12"/>
        <v>0.4068157614483493</v>
      </c>
      <c r="AT52" s="398">
        <f t="shared" si="12"/>
        <v>0.39</v>
      </c>
      <c r="AU52" s="398">
        <f t="shared" si="12"/>
        <v>0.38584474885844749</v>
      </c>
      <c r="AV52" s="398">
        <f t="shared" si="12"/>
        <v>0.38700564971751411</v>
      </c>
      <c r="AW52" s="398">
        <f t="shared" si="17"/>
        <v>0.74307304785894202</v>
      </c>
      <c r="AX52" s="398">
        <f t="shared" si="17"/>
        <v>0.79842931937172779</v>
      </c>
      <c r="AY52" s="398">
        <f t="shared" si="17"/>
        <v>0.81481481481481477</v>
      </c>
      <c r="AZ52" s="398">
        <f t="shared" si="17"/>
        <v>0.81656804733727806</v>
      </c>
      <c r="BA52" s="398">
        <f t="shared" si="17"/>
        <v>0.75547445255474455</v>
      </c>
    </row>
    <row r="53" spans="1:53" ht="14.25" customHeight="1" x14ac:dyDescent="0.2">
      <c r="A53" s="135"/>
      <c r="B53" s="415"/>
      <c r="C53" s="415"/>
      <c r="D53" s="58"/>
      <c r="E53" s="58"/>
      <c r="F53" s="58"/>
      <c r="G53" s="58"/>
      <c r="H53" s="58"/>
      <c r="I53" s="58"/>
      <c r="J53" s="13"/>
      <c r="K53" s="15"/>
      <c r="L53" s="15"/>
      <c r="M53" s="15"/>
      <c r="N53" s="15"/>
      <c r="O53" s="9"/>
      <c r="P53" s="9"/>
      <c r="Q53" s="9"/>
      <c r="R53" s="9"/>
      <c r="S53" s="9"/>
      <c r="T53" s="9"/>
      <c r="U53" s="134"/>
      <c r="V53" s="152"/>
      <c r="W53" s="326"/>
      <c r="X53" s="647">
        <v>13</v>
      </c>
      <c r="Y53" s="50" t="str">
        <f t="shared" si="14"/>
        <v>Slough</v>
      </c>
      <c r="Z53" s="45">
        <v>14</v>
      </c>
      <c r="AA53" s="46">
        <f>IF(H21&gt;0,IDACI!D21,0)</f>
        <v>34703</v>
      </c>
      <c r="AB53" s="46">
        <f>IF(H21&gt;0,IDACI!E21,0)</f>
        <v>6767.085</v>
      </c>
      <c r="AI53" s="642" t="b">
        <v>1</v>
      </c>
      <c r="AJ53" s="178" t="s">
        <v>93</v>
      </c>
      <c r="AK53" s="101" t="str">
        <f t="shared" si="10"/>
        <v>Somerset</v>
      </c>
      <c r="AL53" s="164">
        <f t="shared" si="11"/>
        <v>52.849264705882355</v>
      </c>
      <c r="AM53" s="164">
        <f t="shared" si="11"/>
        <v>64.921946740128561</v>
      </c>
      <c r="AN53" s="164">
        <f t="shared" si="11"/>
        <v>43.772893772893774</v>
      </c>
      <c r="AO53" s="164">
        <f t="shared" si="11"/>
        <v>60.278869566010378</v>
      </c>
      <c r="AP53" s="164">
        <f t="shared" si="11"/>
        <v>53.232077322771701</v>
      </c>
      <c r="AQ53" s="165">
        <f t="shared" si="15"/>
        <v>14.8</v>
      </c>
      <c r="AR53" s="398">
        <f t="shared" si="16"/>
        <v>0.35493827160493829</v>
      </c>
      <c r="AS53" s="398">
        <f t="shared" si="12"/>
        <v>0.34639882410583045</v>
      </c>
      <c r="AT53" s="398">
        <f t="shared" si="12"/>
        <v>0.36854279105628374</v>
      </c>
      <c r="AU53" s="398">
        <f t="shared" si="12"/>
        <v>0.41915028535193405</v>
      </c>
      <c r="AV53" s="398">
        <f t="shared" si="12"/>
        <v>0.3832570307390451</v>
      </c>
      <c r="AW53" s="398">
        <f t="shared" si="17"/>
        <v>0.96347826086956523</v>
      </c>
      <c r="AX53" s="398">
        <f t="shared" si="17"/>
        <v>0.90099009900990101</v>
      </c>
      <c r="AY53" s="398">
        <f t="shared" si="17"/>
        <v>0.96443514644351469</v>
      </c>
      <c r="AZ53" s="398">
        <f t="shared" si="17"/>
        <v>0.94099848714069589</v>
      </c>
      <c r="BA53" s="398">
        <f t="shared" si="17"/>
        <v>0.93344709897610922</v>
      </c>
    </row>
    <row r="54" spans="1:53" ht="14.25" customHeight="1" x14ac:dyDescent="0.2">
      <c r="A54" s="135"/>
      <c r="B54" s="415"/>
      <c r="C54" s="415"/>
      <c r="D54" s="58"/>
      <c r="E54" s="58"/>
      <c r="F54" s="58"/>
      <c r="G54" s="58"/>
      <c r="H54" s="58"/>
      <c r="I54" s="58"/>
      <c r="J54" s="13"/>
      <c r="K54" s="15"/>
      <c r="L54" s="15"/>
      <c r="M54" s="15"/>
      <c r="N54" s="15"/>
      <c r="O54" s="9"/>
      <c r="P54" s="9"/>
      <c r="Q54" s="9"/>
      <c r="R54" s="9"/>
      <c r="S54" s="9"/>
      <c r="T54" s="9"/>
      <c r="U54" s="134"/>
      <c r="V54" s="152"/>
      <c r="W54" s="326"/>
      <c r="X54" s="647">
        <v>14</v>
      </c>
      <c r="Y54" s="50" t="str">
        <f t="shared" si="14"/>
        <v>Somerset</v>
      </c>
      <c r="Z54" s="45">
        <v>15</v>
      </c>
      <c r="AA54" s="46">
        <f>IF(H22&gt;0,IDACI!D22,0)</f>
        <v>94797</v>
      </c>
      <c r="AB54" s="46">
        <f>IF(H22&gt;0,IDACI!E22,0)</f>
        <v>14029.956000000002</v>
      </c>
      <c r="AI54" s="642" t="b">
        <v>1</v>
      </c>
      <c r="AJ54" s="178" t="s">
        <v>15</v>
      </c>
      <c r="AK54" s="101" t="str">
        <f t="shared" si="10"/>
        <v>Southampton</v>
      </c>
      <c r="AL54" s="164">
        <f t="shared" si="11"/>
        <v>97.679324894514778</v>
      </c>
      <c r="AM54" s="164">
        <f t="shared" si="11"/>
        <v>101.85185185185186</v>
      </c>
      <c r="AN54" s="164">
        <f t="shared" si="11"/>
        <v>112.80487804878048</v>
      </c>
      <c r="AO54" s="164">
        <f t="shared" si="11"/>
        <v>92.783711749263531</v>
      </c>
      <c r="AP54" s="164">
        <f t="shared" si="11"/>
        <v>102.17672199582547</v>
      </c>
      <c r="AQ54" s="165">
        <f t="shared" si="15"/>
        <v>25</v>
      </c>
      <c r="AR54" s="398">
        <f t="shared" si="16"/>
        <v>0.2977491961414791</v>
      </c>
      <c r="AS54" s="398">
        <f t="shared" si="12"/>
        <v>0.23349056603773585</v>
      </c>
      <c r="AT54" s="398">
        <f t="shared" si="12"/>
        <v>0.29396186440677968</v>
      </c>
      <c r="AU54" s="398">
        <f t="shared" si="12"/>
        <v>0.34245562130177515</v>
      </c>
      <c r="AV54" s="398">
        <f t="shared" si="12"/>
        <v>0.30378250591016548</v>
      </c>
      <c r="AW54" s="398">
        <f t="shared" si="17"/>
        <v>0.82505399568034554</v>
      </c>
      <c r="AX54" s="398">
        <f t="shared" si="17"/>
        <v>0.70909090909090911</v>
      </c>
      <c r="AY54" s="398">
        <f t="shared" si="17"/>
        <v>0.61801801801801803</v>
      </c>
      <c r="AZ54" s="398">
        <f t="shared" si="17"/>
        <v>0.68034557235421167</v>
      </c>
      <c r="BA54" s="398">
        <f t="shared" si="17"/>
        <v>0.73929961089494167</v>
      </c>
    </row>
    <row r="55" spans="1:53" ht="14.25" customHeight="1" x14ac:dyDescent="0.2">
      <c r="A55" s="135"/>
      <c r="B55" s="415"/>
      <c r="C55" s="415"/>
      <c r="D55" s="58"/>
      <c r="E55" s="58"/>
      <c r="F55" s="58"/>
      <c r="G55" s="58"/>
      <c r="H55" s="58"/>
      <c r="I55" s="58"/>
      <c r="J55" s="13"/>
      <c r="K55" s="15"/>
      <c r="L55" s="15"/>
      <c r="M55" s="15"/>
      <c r="N55" s="15"/>
      <c r="O55" s="9"/>
      <c r="P55" s="9"/>
      <c r="Q55" s="9"/>
      <c r="R55" s="9"/>
      <c r="S55" s="9"/>
      <c r="T55" s="9"/>
      <c r="U55" s="134"/>
      <c r="V55" s="152"/>
      <c r="W55" s="326"/>
      <c r="X55" s="647">
        <v>15</v>
      </c>
      <c r="Y55" s="50" t="str">
        <f t="shared" si="14"/>
        <v>Southampton</v>
      </c>
      <c r="Z55" s="45">
        <v>16</v>
      </c>
      <c r="AA55" s="46">
        <f>IF(H23&gt;0,IDACI!D23,0)</f>
        <v>42079</v>
      </c>
      <c r="AB55" s="46">
        <f>IF(H23&gt;0,IDACI!E23,0)</f>
        <v>10519.75</v>
      </c>
      <c r="AI55" s="642" t="b">
        <v>1</v>
      </c>
      <c r="AJ55" s="178" t="s">
        <v>7</v>
      </c>
      <c r="AK55" s="101" t="str">
        <f t="shared" si="10"/>
        <v>Surrey</v>
      </c>
      <c r="AL55" s="164">
        <f t="shared" si="11"/>
        <v>44.563492063492063</v>
      </c>
      <c r="AM55" s="164">
        <f t="shared" si="11"/>
        <v>47.996857816182249</v>
      </c>
      <c r="AN55" s="164">
        <f t="shared" si="11"/>
        <v>47.581903276131051</v>
      </c>
      <c r="AO55" s="164">
        <f t="shared" si="11"/>
        <v>52.200973748933393</v>
      </c>
      <c r="AP55" s="164">
        <f t="shared" si="11"/>
        <v>57.048462380668838</v>
      </c>
      <c r="AQ55" s="165">
        <f t="shared" si="15"/>
        <v>9.7000000000000011</v>
      </c>
      <c r="AR55" s="398">
        <f t="shared" si="16"/>
        <v>0.42928134556574926</v>
      </c>
      <c r="AS55" s="398">
        <f t="shared" si="12"/>
        <v>0.37623152709359609</v>
      </c>
      <c r="AT55" s="398">
        <f t="shared" si="12"/>
        <v>0.27177545110269546</v>
      </c>
      <c r="AU55" s="398">
        <f t="shared" si="12"/>
        <v>0.316776007497657</v>
      </c>
      <c r="AV55" s="398">
        <f t="shared" si="12"/>
        <v>0.35654261704681872</v>
      </c>
      <c r="AW55" s="398">
        <f t="shared" si="17"/>
        <v>0.71772039180765801</v>
      </c>
      <c r="AX55" s="398">
        <f t="shared" si="17"/>
        <v>0.53436988543371522</v>
      </c>
      <c r="AY55" s="398">
        <f t="shared" si="17"/>
        <v>0.66393442622950816</v>
      </c>
      <c r="AZ55" s="398">
        <f t="shared" si="17"/>
        <v>0.68417159763313606</v>
      </c>
      <c r="BA55" s="398">
        <f t="shared" si="17"/>
        <v>0.51447811447811442</v>
      </c>
    </row>
    <row r="56" spans="1:53" ht="14.25" customHeight="1" x14ac:dyDescent="0.2">
      <c r="A56" s="309"/>
      <c r="B56" s="415"/>
      <c r="C56" s="415"/>
      <c r="D56" s="58"/>
      <c r="E56" s="58"/>
      <c r="F56" s="58"/>
      <c r="G56" s="58"/>
      <c r="H56" s="58"/>
      <c r="I56" s="58"/>
      <c r="J56" s="13"/>
      <c r="K56" s="15"/>
      <c r="L56" s="15"/>
      <c r="M56" s="15"/>
      <c r="N56" s="15"/>
      <c r="O56" s="9"/>
      <c r="P56" s="9"/>
      <c r="Q56" s="9"/>
      <c r="R56" s="9"/>
      <c r="S56" s="9"/>
      <c r="T56" s="9"/>
      <c r="U56" s="134"/>
      <c r="V56" s="152"/>
      <c r="W56" s="326"/>
      <c r="X56" s="647">
        <v>16</v>
      </c>
      <c r="Y56" s="50" t="str">
        <f t="shared" si="14"/>
        <v>Surrey</v>
      </c>
      <c r="Z56" s="45">
        <v>17</v>
      </c>
      <c r="AA56" s="46">
        <f>IF(H24&gt;0,IDACI!D24,0)</f>
        <v>221989</v>
      </c>
      <c r="AB56" s="46">
        <f>IF(H24&gt;0,IDACI!E24,0)</f>
        <v>21532.933000000005</v>
      </c>
      <c r="AI56" s="642" t="b">
        <v>1</v>
      </c>
      <c r="AJ56" s="178" t="s">
        <v>116</v>
      </c>
      <c r="AK56" s="101" t="str">
        <f t="shared" si="10"/>
        <v>Swindon</v>
      </c>
      <c r="AL56" s="164">
        <f t="shared" si="11"/>
        <v>64.091858037578291</v>
      </c>
      <c r="AM56" s="164">
        <f t="shared" si="11"/>
        <v>63.580246913580247</v>
      </c>
      <c r="AN56" s="164">
        <f t="shared" si="11"/>
        <v>70.612244897959187</v>
      </c>
      <c r="AO56" s="164">
        <f t="shared" si="11"/>
        <v>78.241882657393546</v>
      </c>
      <c r="AP56" s="164">
        <f t="shared" si="11"/>
        <v>114.97476163768928</v>
      </c>
      <c r="AQ56" s="165">
        <f t="shared" si="15"/>
        <v>17.2</v>
      </c>
      <c r="AR56" s="398">
        <f t="shared" si="16"/>
        <v>0.59152215799614638</v>
      </c>
      <c r="AS56" s="398">
        <f t="shared" si="16"/>
        <v>0.53184165232358005</v>
      </c>
      <c r="AT56" s="398">
        <f t="shared" si="16"/>
        <v>0.4516971279373368</v>
      </c>
      <c r="AU56" s="398">
        <f t="shared" si="16"/>
        <v>0.42156862745098039</v>
      </c>
      <c r="AV56" s="398">
        <f t="shared" si="16"/>
        <v>0.56607495069033531</v>
      </c>
      <c r="AW56" s="398">
        <f t="shared" si="17"/>
        <v>0.7719869706840391</v>
      </c>
      <c r="AX56" s="398">
        <f t="shared" si="17"/>
        <v>0.69579288025889963</v>
      </c>
      <c r="AY56" s="398">
        <f t="shared" si="17"/>
        <v>0.78034682080924855</v>
      </c>
      <c r="AZ56" s="398">
        <f t="shared" si="17"/>
        <v>0.65374677002583981</v>
      </c>
      <c r="BA56" s="398">
        <f t="shared" si="17"/>
        <v>0.84668989547038331</v>
      </c>
    </row>
    <row r="57" spans="1:53" ht="14.25" customHeight="1" x14ac:dyDescent="0.2">
      <c r="A57" s="309"/>
      <c r="B57" s="415"/>
      <c r="C57" s="415"/>
      <c r="D57" s="58"/>
      <c r="E57" s="58"/>
      <c r="F57" s="58"/>
      <c r="G57" s="58"/>
      <c r="H57" s="58"/>
      <c r="I57" s="58"/>
      <c r="J57" s="13"/>
      <c r="K57" s="15"/>
      <c r="L57" s="15"/>
      <c r="M57" s="15"/>
      <c r="N57" s="15"/>
      <c r="O57" s="9"/>
      <c r="P57" s="9"/>
      <c r="Q57" s="9"/>
      <c r="R57" s="9"/>
      <c r="S57" s="9"/>
      <c r="T57" s="9"/>
      <c r="U57" s="134"/>
      <c r="V57" s="152"/>
      <c r="W57" s="326"/>
      <c r="X57" s="647">
        <v>17</v>
      </c>
      <c r="Y57" s="50" t="str">
        <f t="shared" si="14"/>
        <v>Swindon</v>
      </c>
      <c r="Z57" s="45">
        <v>18</v>
      </c>
      <c r="AA57" s="46">
        <f>IF(H25&gt;0,IDACI!D25,0)</f>
        <v>42184</v>
      </c>
      <c r="AB57" s="46">
        <f>IF(H25&gt;0,IDACI!E25,0)</f>
        <v>7255.6479999999992</v>
      </c>
      <c r="AI57" s="642" t="b">
        <v>1</v>
      </c>
      <c r="AJ57" s="178" t="s">
        <v>117</v>
      </c>
      <c r="AK57" s="101" t="str">
        <f t="shared" si="10"/>
        <v>Torbay</v>
      </c>
      <c r="AL57" s="164">
        <f t="shared" si="11"/>
        <v>110.88709677419355</v>
      </c>
      <c r="AM57" s="164">
        <f t="shared" si="11"/>
        <v>119.12350597609561</v>
      </c>
      <c r="AN57" s="164">
        <f t="shared" si="11"/>
        <v>128.96825396825395</v>
      </c>
      <c r="AO57" s="164">
        <f t="shared" si="11"/>
        <v>142.67134355417176</v>
      </c>
      <c r="AP57" s="164">
        <f t="shared" si="11"/>
        <v>142.4243616477161</v>
      </c>
      <c r="AQ57" s="165">
        <f t="shared" si="15"/>
        <v>24.1</v>
      </c>
      <c r="AR57" s="398">
        <f t="shared" si="16"/>
        <v>0.40204678362573099</v>
      </c>
      <c r="AS57" s="398">
        <f t="shared" si="16"/>
        <v>0.43396226415094341</v>
      </c>
      <c r="AT57" s="398">
        <f t="shared" si="16"/>
        <v>0.41191381495564006</v>
      </c>
      <c r="AU57" s="398">
        <f t="shared" si="16"/>
        <v>0.47631578947368419</v>
      </c>
      <c r="AV57" s="398">
        <f t="shared" si="16"/>
        <v>0.52312138728323698</v>
      </c>
      <c r="AW57" s="398">
        <f t="shared" si="17"/>
        <v>0.50545454545454549</v>
      </c>
      <c r="AX57" s="398">
        <f t="shared" si="17"/>
        <v>0.45819397993311034</v>
      </c>
      <c r="AY57" s="398">
        <f t="shared" si="17"/>
        <v>0.80615384615384611</v>
      </c>
      <c r="AZ57" s="398">
        <f t="shared" si="17"/>
        <v>0.90055248618784534</v>
      </c>
      <c r="BA57" s="398">
        <f t="shared" si="17"/>
        <v>0.66850828729281764</v>
      </c>
    </row>
    <row r="58" spans="1:53" ht="14.25" customHeight="1" x14ac:dyDescent="0.2">
      <c r="A58" s="135"/>
      <c r="B58" s="415"/>
      <c r="C58" s="415"/>
      <c r="D58" s="58"/>
      <c r="E58" s="58"/>
      <c r="F58" s="58"/>
      <c r="G58" s="58"/>
      <c r="H58" s="58"/>
      <c r="I58" s="58"/>
      <c r="J58" s="13"/>
      <c r="K58" s="15"/>
      <c r="L58" s="15"/>
      <c r="M58" s="15"/>
      <c r="N58" s="15"/>
      <c r="O58" s="9"/>
      <c r="P58" s="9"/>
      <c r="Q58" s="9"/>
      <c r="R58" s="9"/>
      <c r="S58" s="9"/>
      <c r="T58" s="9"/>
      <c r="U58" s="134"/>
      <c r="V58" s="152"/>
      <c r="W58" s="326"/>
      <c r="X58" s="647">
        <v>18</v>
      </c>
      <c r="Y58" s="50" t="str">
        <f t="shared" si="14"/>
        <v>Torbay</v>
      </c>
      <c r="Z58" s="45">
        <v>19</v>
      </c>
      <c r="AA58" s="46">
        <f>IF(H26&gt;0,IDACI!D26,0)</f>
        <v>21714</v>
      </c>
      <c r="AB58" s="46">
        <f>IF(H26&gt;0,IDACI!E26,0)</f>
        <v>5233.0740000000005</v>
      </c>
      <c r="AI58" s="642" t="b">
        <v>1</v>
      </c>
      <c r="AJ58" s="178" t="s">
        <v>16</v>
      </c>
      <c r="AK58" s="101" t="str">
        <f t="shared" si="10"/>
        <v>West Berkshire</v>
      </c>
      <c r="AL58" s="164">
        <f t="shared" si="11"/>
        <v>44.257703081232492</v>
      </c>
      <c r="AM58" s="164">
        <f t="shared" si="11"/>
        <v>58.146067415730336</v>
      </c>
      <c r="AN58" s="164">
        <f t="shared" si="11"/>
        <v>67.226890756302524</v>
      </c>
      <c r="AO58" s="164">
        <f t="shared" si="11"/>
        <v>69.021179482897779</v>
      </c>
      <c r="AP58" s="164">
        <f t="shared" si="11"/>
        <v>76.837105336686221</v>
      </c>
      <c r="AQ58" s="165">
        <f t="shared" si="15"/>
        <v>10.4</v>
      </c>
      <c r="AR58" s="398">
        <f t="shared" si="16"/>
        <v>0.40306122448979592</v>
      </c>
      <c r="AS58" s="398">
        <f t="shared" si="16"/>
        <v>0.41733870967741937</v>
      </c>
      <c r="AT58" s="398">
        <f t="shared" si="16"/>
        <v>0.37267080745341613</v>
      </c>
      <c r="AU58" s="398">
        <f t="shared" si="16"/>
        <v>0.44846292947558769</v>
      </c>
      <c r="AV58" s="398">
        <f t="shared" si="16"/>
        <v>0.44283413848631242</v>
      </c>
      <c r="AW58" s="398">
        <f t="shared" si="17"/>
        <v>0.65189873417721522</v>
      </c>
      <c r="AX58" s="398">
        <f t="shared" si="17"/>
        <v>0.85990338164251212</v>
      </c>
      <c r="AY58" s="398">
        <f t="shared" si="17"/>
        <v>0.94166666666666665</v>
      </c>
      <c r="AZ58" s="398">
        <f t="shared" si="17"/>
        <v>0.967741935483871</v>
      </c>
      <c r="BA58" s="398">
        <f t="shared" si="17"/>
        <v>0.96363636363636362</v>
      </c>
    </row>
    <row r="59" spans="1:53" ht="14.25" customHeight="1" x14ac:dyDescent="0.2">
      <c r="A59" s="135"/>
      <c r="B59" s="415"/>
      <c r="C59" s="415"/>
      <c r="D59" s="58"/>
      <c r="E59" s="58"/>
      <c r="F59" s="58"/>
      <c r="G59" s="58"/>
      <c r="H59" s="58"/>
      <c r="I59" s="58"/>
      <c r="J59" s="13"/>
      <c r="K59" s="15"/>
      <c r="L59" s="15"/>
      <c r="M59" s="15"/>
      <c r="N59" s="15"/>
      <c r="O59" s="9"/>
      <c r="P59" s="9"/>
      <c r="Q59" s="9"/>
      <c r="R59" s="9"/>
      <c r="S59" s="9"/>
      <c r="T59" s="9"/>
      <c r="U59" s="134"/>
      <c r="V59" s="152"/>
      <c r="W59" s="326"/>
      <c r="X59" s="647">
        <v>19</v>
      </c>
      <c r="Y59" s="50" t="str">
        <f t="shared" si="14"/>
        <v>West Berkshire</v>
      </c>
      <c r="Z59" s="45">
        <v>20</v>
      </c>
      <c r="AA59" s="46">
        <f>IF(H27&gt;0,IDACI!D27,0)</f>
        <v>31302</v>
      </c>
      <c r="AB59" s="46">
        <f>IF(H27&gt;0,IDACI!E27,0)</f>
        <v>3255.4080000000004</v>
      </c>
      <c r="AI59" s="642" t="b">
        <v>1</v>
      </c>
      <c r="AJ59" s="178" t="s">
        <v>5</v>
      </c>
      <c r="AK59" s="101" t="str">
        <f t="shared" si="10"/>
        <v>West Sussex</v>
      </c>
      <c r="AL59" s="164">
        <f t="shared" si="11"/>
        <v>41.616766467065872</v>
      </c>
      <c r="AM59" s="164">
        <f t="shared" si="11"/>
        <v>51.481042654028435</v>
      </c>
      <c r="AN59" s="164">
        <f t="shared" si="11"/>
        <v>39.377934272300465</v>
      </c>
      <c r="AO59" s="164">
        <f t="shared" si="11"/>
        <v>39.589895261438855</v>
      </c>
      <c r="AP59" s="164">
        <f t="shared" si="11"/>
        <v>62.268800387809399</v>
      </c>
      <c r="AQ59" s="165">
        <f t="shared" si="15"/>
        <v>12.9</v>
      </c>
      <c r="AR59" s="398">
        <f t="shared" si="16"/>
        <v>0.41566985645933013</v>
      </c>
      <c r="AS59" s="398">
        <f t="shared" si="16"/>
        <v>0.43933265925176945</v>
      </c>
      <c r="AT59" s="398">
        <f t="shared" si="16"/>
        <v>0.37174515235457062</v>
      </c>
      <c r="AU59" s="398">
        <f t="shared" si="16"/>
        <v>0.31350852927616413</v>
      </c>
      <c r="AV59" s="398">
        <f t="shared" si="16"/>
        <v>0.3593073593073593</v>
      </c>
      <c r="AW59" s="398">
        <f t="shared" si="17"/>
        <v>0.46330935251798561</v>
      </c>
      <c r="AX59" s="398">
        <f t="shared" si="17"/>
        <v>0.58688147295742232</v>
      </c>
      <c r="AY59" s="398">
        <f t="shared" si="17"/>
        <v>0.52906110283159469</v>
      </c>
      <c r="AZ59" s="398">
        <f t="shared" si="17"/>
        <v>0.42794117647058821</v>
      </c>
      <c r="BA59" s="398">
        <f t="shared" si="17"/>
        <v>0.85078776645041709</v>
      </c>
    </row>
    <row r="60" spans="1:53" s="88" customFormat="1" ht="14.25" customHeight="1" x14ac:dyDescent="0.2">
      <c r="A60" s="135"/>
      <c r="B60" s="415"/>
      <c r="C60" s="415"/>
      <c r="D60" s="58"/>
      <c r="E60" s="58"/>
      <c r="F60" s="58"/>
      <c r="G60" s="58"/>
      <c r="H60" s="58"/>
      <c r="I60" s="58"/>
      <c r="J60" s="13"/>
      <c r="K60" s="15"/>
      <c r="L60" s="15"/>
      <c r="M60" s="15"/>
      <c r="N60" s="15"/>
      <c r="O60" s="9"/>
      <c r="P60" s="9"/>
      <c r="Q60" s="9"/>
      <c r="R60" s="9"/>
      <c r="S60" s="9"/>
      <c r="T60" s="9"/>
      <c r="U60" s="134"/>
      <c r="V60" s="152"/>
      <c r="W60" s="326"/>
      <c r="X60" s="647">
        <v>20</v>
      </c>
      <c r="Y60" s="50" t="str">
        <f t="shared" si="14"/>
        <v>West Sussex</v>
      </c>
      <c r="Z60" s="45">
        <v>21</v>
      </c>
      <c r="AA60" s="46">
        <f>IF(H28&gt;0,IDACI!D28,0)</f>
        <v>146958</v>
      </c>
      <c r="AB60" s="46">
        <f>IF(H28&gt;0,IDACI!E28,0)</f>
        <v>18957.582000000002</v>
      </c>
      <c r="AI60" s="642" t="b">
        <v>1</v>
      </c>
      <c r="AJ60" s="178" t="s">
        <v>31</v>
      </c>
      <c r="AK60" s="101" t="str">
        <f t="shared" si="10"/>
        <v>Windsor &amp; Maidenhead</v>
      </c>
      <c r="AL60" s="164">
        <f t="shared" si="11"/>
        <v>31.231231231231231</v>
      </c>
      <c r="AM60" s="164">
        <f t="shared" si="11"/>
        <v>27.844311377245511</v>
      </c>
      <c r="AN60" s="164">
        <f t="shared" si="11"/>
        <v>59.347181008902076</v>
      </c>
      <c r="AO60" s="164">
        <f t="shared" si="11"/>
        <v>56.764981273408239</v>
      </c>
      <c r="AP60" s="164">
        <f t="shared" si="11"/>
        <v>39.881229622729386</v>
      </c>
      <c r="AQ60" s="165">
        <f t="shared" si="15"/>
        <v>8.4</v>
      </c>
      <c r="AR60" s="398">
        <f t="shared" si="16"/>
        <v>0.26943005181347152</v>
      </c>
      <c r="AS60" s="398">
        <f t="shared" si="16"/>
        <v>0.28615384615384615</v>
      </c>
      <c r="AT60" s="398">
        <f t="shared" si="16"/>
        <v>0.45766590389016021</v>
      </c>
      <c r="AU60" s="398">
        <f t="shared" si="16"/>
        <v>0.42450765864332601</v>
      </c>
      <c r="AV60" s="398">
        <f t="shared" si="16"/>
        <v>0.3914285714285714</v>
      </c>
      <c r="AW60" s="398">
        <f t="shared" si="17"/>
        <v>0.79807692307692313</v>
      </c>
      <c r="AX60" s="398">
        <f t="shared" si="17"/>
        <v>0.78494623655913975</v>
      </c>
      <c r="AY60" s="398">
        <f t="shared" si="17"/>
        <v>0.86</v>
      </c>
      <c r="AZ60" s="398">
        <f t="shared" si="17"/>
        <v>0.82989690721649489</v>
      </c>
      <c r="BA60" s="398">
        <f t="shared" si="17"/>
        <v>0.53284671532846717</v>
      </c>
    </row>
    <row r="61" spans="1:53" s="88" customFormat="1" ht="14.25" customHeight="1" x14ac:dyDescent="0.2">
      <c r="A61" s="135"/>
      <c r="B61" s="415"/>
      <c r="C61" s="415"/>
      <c r="D61" s="58"/>
      <c r="E61" s="58"/>
      <c r="F61" s="58"/>
      <c r="G61" s="58"/>
      <c r="H61" s="58"/>
      <c r="I61" s="58"/>
      <c r="J61" s="13"/>
      <c r="K61" s="15"/>
      <c r="L61" s="15"/>
      <c r="M61" s="15"/>
      <c r="N61" s="15"/>
      <c r="O61" s="9"/>
      <c r="P61" s="9"/>
      <c r="Q61" s="9"/>
      <c r="R61" s="9"/>
      <c r="S61" s="9"/>
      <c r="T61" s="9"/>
      <c r="U61" s="134"/>
      <c r="V61" s="152"/>
      <c r="W61" s="326"/>
      <c r="X61" s="647">
        <v>21</v>
      </c>
      <c r="Y61" s="50" t="str">
        <f t="shared" si="14"/>
        <v>Windsor &amp; Maidenhead</v>
      </c>
      <c r="Z61" s="45">
        <v>22</v>
      </c>
      <c r="AA61" s="46">
        <f>IF(H29&gt;0,IDACI!D29,0)</f>
        <v>29154</v>
      </c>
      <c r="AB61" s="46">
        <f>IF(H29&gt;0,IDACI!E29,0)</f>
        <v>2448.9360000000001</v>
      </c>
      <c r="AI61" s="642" t="b">
        <v>1</v>
      </c>
      <c r="AJ61" s="178" t="s">
        <v>17</v>
      </c>
      <c r="AK61" s="101" t="str">
        <f t="shared" si="10"/>
        <v>Wokingham</v>
      </c>
      <c r="AL61" s="164">
        <f t="shared" si="11"/>
        <v>33.701657458563538</v>
      </c>
      <c r="AM61" s="164">
        <f t="shared" si="11"/>
        <v>18.699186991869919</v>
      </c>
      <c r="AN61" s="164">
        <f t="shared" si="11"/>
        <v>38.873994638069703</v>
      </c>
      <c r="AO61" s="164">
        <f t="shared" si="11"/>
        <v>23.409347957600147</v>
      </c>
      <c r="AP61" s="164">
        <f t="shared" si="11"/>
        <v>46.767608909100304</v>
      </c>
      <c r="AQ61" s="165">
        <f t="shared" si="15"/>
        <v>6.8000000000000007</v>
      </c>
      <c r="AR61" s="398">
        <f t="shared" si="16"/>
        <v>0.46564885496183206</v>
      </c>
      <c r="AS61" s="398">
        <f t="shared" si="16"/>
        <v>0.27272727272727271</v>
      </c>
      <c r="AT61" s="398">
        <f t="shared" si="16"/>
        <v>0.41907514450867051</v>
      </c>
      <c r="AU61" s="398">
        <f t="shared" si="16"/>
        <v>0.33840304182509506</v>
      </c>
      <c r="AV61" s="398">
        <f t="shared" si="16"/>
        <v>0.38428874734607221</v>
      </c>
      <c r="AW61" s="398">
        <f t="shared" si="17"/>
        <v>0.86885245901639341</v>
      </c>
      <c r="AX61" s="398">
        <f t="shared" si="17"/>
        <v>0.91304347826086951</v>
      </c>
      <c r="AY61" s="398">
        <f t="shared" si="17"/>
        <v>0.96551724137931039</v>
      </c>
      <c r="AZ61" s="398">
        <f t="shared" si="17"/>
        <v>0.797752808988764</v>
      </c>
      <c r="BA61" s="398">
        <f t="shared" si="17"/>
        <v>0.82320441988950277</v>
      </c>
    </row>
    <row r="62" spans="1:53" s="88" customFormat="1" ht="14.25" customHeight="1" x14ac:dyDescent="0.2">
      <c r="A62" s="135"/>
      <c r="B62" s="415"/>
      <c r="C62" s="415"/>
      <c r="D62" s="58"/>
      <c r="E62" s="58"/>
      <c r="F62" s="58"/>
      <c r="G62" s="58"/>
      <c r="H62" s="58"/>
      <c r="I62" s="58"/>
      <c r="J62" s="13"/>
      <c r="K62" s="15"/>
      <c r="L62" s="15"/>
      <c r="M62" s="15"/>
      <c r="N62" s="15"/>
      <c r="O62" s="9"/>
      <c r="P62" s="9"/>
      <c r="Q62" s="9"/>
      <c r="R62" s="9"/>
      <c r="S62" s="9"/>
      <c r="T62" s="9"/>
      <c r="U62" s="134"/>
      <c r="V62" s="152"/>
      <c r="W62" s="326"/>
      <c r="X62" s="647">
        <v>22</v>
      </c>
      <c r="Y62" s="50" t="str">
        <f t="shared" si="14"/>
        <v>Wokingham</v>
      </c>
      <c r="Z62" s="45">
        <v>23</v>
      </c>
      <c r="AA62" s="46">
        <f>IF(H30&gt;0,IDACI!D30,0)</f>
        <v>31967</v>
      </c>
      <c r="AB62" s="46">
        <f>IF(H30&gt;0,IDACI!E30,0)</f>
        <v>2173.7560000000003</v>
      </c>
      <c r="AI62" s="642" t="b">
        <v>1</v>
      </c>
      <c r="AJ62" s="178" t="s">
        <v>74</v>
      </c>
      <c r="AK62" s="101" t="str">
        <f t="shared" si="10"/>
        <v>South East</v>
      </c>
      <c r="AL62" s="164">
        <f t="shared" si="11"/>
        <v>50.614797540809839</v>
      </c>
      <c r="AM62" s="164">
        <f t="shared" si="11"/>
        <v>59.76262997584287</v>
      </c>
      <c r="AN62" s="164">
        <f t="shared" si="11"/>
        <v>59.485949637662273</v>
      </c>
      <c r="AO62" s="164">
        <f t="shared" si="11"/>
        <v>59.435348669274099</v>
      </c>
      <c r="AP62" s="164">
        <f t="shared" si="11"/>
        <v>62.915891792897142</v>
      </c>
      <c r="AQ62" s="165">
        <f t="shared" si="15"/>
        <v>14.45223640702325</v>
      </c>
      <c r="AR62" s="398">
        <f t="shared" si="16"/>
        <v>0.41467650890143293</v>
      </c>
      <c r="AS62" s="398">
        <f t="shared" si="16"/>
        <v>0.39790209790209791</v>
      </c>
      <c r="AT62" s="398">
        <f t="shared" si="16"/>
        <v>0.37238903394255873</v>
      </c>
      <c r="AU62" s="398">
        <f t="shared" si="16"/>
        <v>0.37280986372485397</v>
      </c>
      <c r="AV62" s="398">
        <f t="shared" si="16"/>
        <v>0.37746913580246916</v>
      </c>
      <c r="AW62" s="398">
        <f t="shared" si="17"/>
        <v>0.65445026178010468</v>
      </c>
      <c r="AX62" s="398">
        <f t="shared" si="17"/>
        <v>0.67574692442882245</v>
      </c>
      <c r="AY62" s="398">
        <f t="shared" si="17"/>
        <v>0.72217353198948286</v>
      </c>
      <c r="AZ62" s="398">
        <f t="shared" si="17"/>
        <v>0.75021758050478682</v>
      </c>
      <c r="BA62" s="398">
        <f t="shared" si="17"/>
        <v>0.74979558462796403</v>
      </c>
    </row>
    <row r="63" spans="1:53" s="88" customFormat="1" ht="14.25" customHeight="1" x14ac:dyDescent="0.2">
      <c r="A63" s="135"/>
      <c r="B63" s="415"/>
      <c r="C63" s="415"/>
      <c r="D63" s="58"/>
      <c r="E63" s="58"/>
      <c r="F63" s="58"/>
      <c r="G63" s="58"/>
      <c r="H63" s="58"/>
      <c r="I63" s="58"/>
      <c r="J63" s="13"/>
      <c r="K63" s="9"/>
      <c r="L63" s="127"/>
      <c r="M63" s="1027" t="s">
        <v>72</v>
      </c>
      <c r="N63" s="1028"/>
      <c r="O63" s="1029"/>
      <c r="P63" s="416"/>
      <c r="Q63" s="1030" t="s">
        <v>101</v>
      </c>
      <c r="R63" s="1031"/>
      <c r="S63" s="1031"/>
      <c r="T63" s="1032"/>
      <c r="U63" s="134"/>
      <c r="V63" s="152"/>
      <c r="W63" s="326"/>
      <c r="X63" s="647">
        <v>23</v>
      </c>
      <c r="Y63" s="50" t="str">
        <f t="shared" si="14"/>
        <v>South East</v>
      </c>
      <c r="Z63" s="45">
        <v>24</v>
      </c>
      <c r="AA63" s="46">
        <f>SUM(AA55:AA56,AA41:AA53,AA59:AA62)</f>
        <v>1662421</v>
      </c>
      <c r="AB63" s="46">
        <f>SUM(AB55:AB56,AB41:AB53,AB59:AB62)</f>
        <v>240257.01299999995</v>
      </c>
      <c r="AI63" s="642" t="b">
        <v>1</v>
      </c>
      <c r="AJ63" s="178" t="s">
        <v>130</v>
      </c>
      <c r="AK63" s="101" t="str">
        <f t="shared" si="10"/>
        <v>England</v>
      </c>
      <c r="AL63" s="164">
        <f>VLOOKUP($AK63,$B$9:$O$32,AL$36,FALSE)</f>
        <v>56.791155946998408</v>
      </c>
      <c r="AM63" s="164">
        <f t="shared" ref="AM63:AP63" si="18">VLOOKUP($AK63,$B$9:$O$32,AM$36,FALSE)</f>
        <v>61.604423854999702</v>
      </c>
      <c r="AN63" s="164">
        <f t="shared" si="18"/>
        <v>62.554055095522315</v>
      </c>
      <c r="AO63" s="164">
        <f t="shared" si="18"/>
        <v>65.276361344752445</v>
      </c>
      <c r="AP63" s="164">
        <f t="shared" si="18"/>
        <v>66.967462678090087</v>
      </c>
      <c r="AQ63" s="165" t="e">
        <f t="shared" si="15"/>
        <v>#N/A</v>
      </c>
      <c r="AR63" s="398">
        <f t="shared" si="16"/>
        <v>0.45750578987999158</v>
      </c>
      <c r="AS63" s="398">
        <f t="shared" si="16"/>
        <v>0.44589447393068998</v>
      </c>
      <c r="AT63" s="398">
        <f t="shared" si="16"/>
        <v>0.42399442799930348</v>
      </c>
      <c r="AU63" s="398">
        <f t="shared" si="16"/>
        <v>0.41482879482340251</v>
      </c>
      <c r="AV63" s="398">
        <f t="shared" si="16"/>
        <v>0.40118128123580193</v>
      </c>
      <c r="AW63" s="398">
        <f t="shared" si="17"/>
        <v>0.6928976836938181</v>
      </c>
      <c r="AX63" s="398">
        <f t="shared" si="17"/>
        <v>0.74737431732250381</v>
      </c>
      <c r="AY63" s="398">
        <f t="shared" si="17"/>
        <v>0.76659822039698833</v>
      </c>
      <c r="AZ63" s="398">
        <f t="shared" si="17"/>
        <v>0.77226049655531004</v>
      </c>
      <c r="BA63" s="398">
        <f t="shared" si="17"/>
        <v>0.76947275701522588</v>
      </c>
    </row>
    <row r="64" spans="1:53" s="88" customFormat="1" ht="11.25" customHeight="1" x14ac:dyDescent="0.2">
      <c r="A64" s="135"/>
      <c r="B64" s="415"/>
      <c r="C64" s="415"/>
      <c r="D64" s="58"/>
      <c r="E64" s="58"/>
      <c r="F64" s="58"/>
      <c r="G64" s="58"/>
      <c r="H64" s="58"/>
      <c r="I64" s="58"/>
      <c r="J64" s="13"/>
      <c r="K64" s="9"/>
      <c r="L64" s="481"/>
      <c r="M64" s="1030" t="str">
        <f>Z4</f>
        <v>Selected LA- (none)</v>
      </c>
      <c r="N64" s="1031"/>
      <c r="O64" s="1031"/>
      <c r="P64" s="1032"/>
      <c r="Q64" s="1035"/>
      <c r="R64" s="1036"/>
      <c r="S64" s="1037" t="s">
        <v>205</v>
      </c>
      <c r="T64" s="1038"/>
      <c r="U64" s="134"/>
      <c r="V64" s="152"/>
      <c r="W64" s="168"/>
      <c r="X64" s="647">
        <v>24</v>
      </c>
      <c r="Y64" s="50" t="str">
        <f t="shared" si="14"/>
        <v>England</v>
      </c>
      <c r="Z64" s="45">
        <v>25</v>
      </c>
      <c r="AA64" s="46">
        <f>IF(H32&gt;0,IDACI!D32,0)</f>
        <v>10130158</v>
      </c>
      <c r="AB64" s="46">
        <f>IF(H32&gt;0,IDACI!E32,0)</f>
        <v>2016166</v>
      </c>
      <c r="AJ64" s="179"/>
      <c r="AK64" s="80" t="str">
        <f>Z4</f>
        <v>Selected LA- (none)</v>
      </c>
      <c r="AL64" s="166" t="e">
        <f>VLOOKUP($Y4,$B$9:$O$31,AL$36,FALSE)</f>
        <v>#N/A</v>
      </c>
      <c r="AM64" s="166" t="e">
        <f>VLOOKUP($Y4,$B$9:$O$31,AM$36,FALSE)</f>
        <v>#N/A</v>
      </c>
      <c r="AN64" s="166" t="e">
        <f>VLOOKUP($Y4,$B$9:$O$31,AN$36,FALSE)</f>
        <v>#N/A</v>
      </c>
      <c r="AO64" s="166" t="e">
        <f>VLOOKUP($Y4,$B$9:$O$31,AO$36,FALSE)</f>
        <v>#N/A</v>
      </c>
      <c r="AP64" s="166" t="e">
        <f>VLOOKUP($Y4,$B$9:$O$31,AP$36,FALSE)</f>
        <v>#N/A</v>
      </c>
      <c r="AQ64" s="165" t="e">
        <f>VLOOKUP(Y4,$B$9:$T$31,17,FALSE)</f>
        <v>#N/A</v>
      </c>
      <c r="AR64" s="191" t="e">
        <f>VLOOKUP($Y$4,$B$110:$H$133,AR$36,FALSE)</f>
        <v>#N/A</v>
      </c>
      <c r="AS64" s="191" t="e">
        <f t="shared" ref="AS64:AV64" si="19">VLOOKUP($Y$4,$B$110:$H$133,AS$36,FALSE)</f>
        <v>#N/A</v>
      </c>
      <c r="AT64" s="191" t="e">
        <f t="shared" si="19"/>
        <v>#N/A</v>
      </c>
      <c r="AU64" s="191" t="e">
        <f t="shared" si="19"/>
        <v>#N/A</v>
      </c>
      <c r="AV64" s="191" t="e">
        <f t="shared" si="19"/>
        <v>#N/A</v>
      </c>
      <c r="AW64" s="191" t="e">
        <f>VLOOKUP($Y$4,$B$145:$H$168,AW$36,FALSE)</f>
        <v>#N/A</v>
      </c>
      <c r="AX64" s="191" t="e">
        <f t="shared" ref="AX64:BA64" si="20">VLOOKUP($Y$4,$B$145:$H$168,AX$36,FALSE)</f>
        <v>#N/A</v>
      </c>
      <c r="AY64" s="191" t="e">
        <f t="shared" si="20"/>
        <v>#N/A</v>
      </c>
      <c r="AZ64" s="191" t="e">
        <f t="shared" si="20"/>
        <v>#N/A</v>
      </c>
      <c r="BA64" s="191" t="e">
        <f t="shared" si="20"/>
        <v>#N/A</v>
      </c>
    </row>
    <row r="65" spans="1:44" s="88" customFormat="1" ht="42" customHeight="1" x14ac:dyDescent="0.2">
      <c r="A65" s="135"/>
      <c r="B65" s="415"/>
      <c r="C65" s="415"/>
      <c r="D65" s="58"/>
      <c r="E65" s="58"/>
      <c r="F65" s="58"/>
      <c r="G65" s="58"/>
      <c r="H65" s="58"/>
      <c r="I65" s="58"/>
      <c r="J65" s="13"/>
      <c r="K65" s="9"/>
      <c r="L65" s="9"/>
      <c r="M65" s="9"/>
      <c r="N65" s="9"/>
      <c r="O65" s="9"/>
      <c r="P65" s="9"/>
      <c r="Q65" s="9"/>
      <c r="R65" s="9"/>
      <c r="S65" s="9"/>
      <c r="T65" s="9"/>
      <c r="U65" s="134"/>
      <c r="V65" s="152"/>
      <c r="W65" s="168"/>
      <c r="X65" s="44" t="s">
        <v>72</v>
      </c>
      <c r="Y65" s="240" t="s">
        <v>70</v>
      </c>
      <c r="Z65" s="44" t="s">
        <v>71</v>
      </c>
      <c r="AA65" s="241">
        <v>5</v>
      </c>
      <c r="AB65" s="242">
        <f>(AA65*Y66)+Z66</f>
        <v>52.355499999999999</v>
      </c>
      <c r="AJ65" s="179"/>
    </row>
    <row r="66" spans="1:44" s="101" customFormat="1" ht="41.25" customHeight="1" x14ac:dyDescent="0.2">
      <c r="A66" s="138"/>
      <c r="B66" s="126"/>
      <c r="C66" s="126"/>
      <c r="D66" s="126"/>
      <c r="E66" s="126"/>
      <c r="F66" s="126"/>
      <c r="G66" s="126"/>
      <c r="H66" s="126"/>
      <c r="I66" s="126"/>
      <c r="J66" s="115"/>
      <c r="K66" s="97"/>
      <c r="L66" s="97"/>
      <c r="M66" s="97"/>
      <c r="N66" s="97"/>
      <c r="O66" s="97"/>
      <c r="P66" s="97"/>
      <c r="Q66" s="97"/>
      <c r="R66" s="97"/>
      <c r="S66" s="97"/>
      <c r="T66" s="97"/>
      <c r="U66" s="139"/>
      <c r="V66" s="154"/>
      <c r="W66" s="170"/>
      <c r="X66" s="243" t="str">
        <f>"Y= "&amp;Y66&amp;"x + "&amp;Z66</f>
        <v>Y= 1.6185x + 44.263</v>
      </c>
      <c r="Y66" s="839">
        <v>1.6185</v>
      </c>
      <c r="Z66" s="840">
        <v>44.262999999999998</v>
      </c>
      <c r="AA66" s="246">
        <v>30</v>
      </c>
      <c r="AB66" s="247">
        <f>(AA66*Y66)+Z66</f>
        <v>92.817999999999998</v>
      </c>
      <c r="AC66" s="217"/>
      <c r="AD66" s="217"/>
      <c r="AE66" s="217"/>
      <c r="AF66" s="217"/>
      <c r="AG66" s="217"/>
      <c r="AH66" s="217"/>
      <c r="AI66" s="232"/>
      <c r="AJ66" s="178"/>
    </row>
    <row r="67" spans="1:44" s="101" customFormat="1" ht="42" customHeight="1" x14ac:dyDescent="0.2">
      <c r="A67" s="138"/>
      <c r="B67" s="126"/>
      <c r="C67" s="126"/>
      <c r="D67" s="126"/>
      <c r="E67" s="126"/>
      <c r="F67" s="126"/>
      <c r="G67" s="126"/>
      <c r="H67" s="126"/>
      <c r="I67" s="126"/>
      <c r="J67" s="115"/>
      <c r="K67" s="97"/>
      <c r="L67" s="97"/>
      <c r="M67" s="97"/>
      <c r="N67" s="97"/>
      <c r="O67" s="97"/>
      <c r="P67" s="97"/>
      <c r="Q67" s="97"/>
      <c r="R67" s="97"/>
      <c r="S67" s="97"/>
      <c r="T67" s="97"/>
      <c r="U67" s="139"/>
      <c r="V67" s="154"/>
      <c r="W67" s="170"/>
      <c r="X67" s="44" t="s">
        <v>137</v>
      </c>
      <c r="Y67" s="240" t="s">
        <v>70</v>
      </c>
      <c r="Z67" s="44" t="s">
        <v>71</v>
      </c>
      <c r="AA67" s="241">
        <v>5</v>
      </c>
      <c r="AB67" s="242">
        <f>(AA67*Y68)+Z68</f>
        <v>43.914850902354203</v>
      </c>
      <c r="AC67" s="843" t="s">
        <v>863</v>
      </c>
      <c r="AD67" s="217"/>
      <c r="AE67" s="217"/>
      <c r="AF67" s="217"/>
      <c r="AG67" s="217"/>
      <c r="AH67" s="217"/>
      <c r="AI67" s="232"/>
      <c r="AJ67" s="178"/>
    </row>
    <row r="68" spans="1:44" ht="7.5" customHeight="1" x14ac:dyDescent="0.2">
      <c r="A68" s="135"/>
      <c r="B68" s="18"/>
      <c r="C68" s="18"/>
      <c r="D68" s="17"/>
      <c r="E68" s="17"/>
      <c r="F68" s="17"/>
      <c r="G68" s="17"/>
      <c r="H68" s="17"/>
      <c r="I68" s="17"/>
      <c r="J68" s="13"/>
      <c r="K68" s="19"/>
      <c r="L68" s="19"/>
      <c r="M68" s="19"/>
      <c r="N68" s="19"/>
      <c r="O68" s="19"/>
      <c r="P68" s="19"/>
      <c r="Q68" s="19"/>
      <c r="R68" s="19"/>
      <c r="S68" s="19"/>
      <c r="T68" s="20"/>
      <c r="U68" s="134"/>
      <c r="V68" s="152"/>
      <c r="W68" s="168"/>
      <c r="X68" s="243" t="str">
        <f>"Y= "&amp;Y68&amp;"x + "&amp;Z68</f>
        <v>Y= 1.75773469875708x + 35.1261774085688</v>
      </c>
      <c r="Y68" s="839">
        <v>1.7577346987570821</v>
      </c>
      <c r="Z68" s="840">
        <v>35.126177408568793</v>
      </c>
      <c r="AA68" s="246">
        <v>30</v>
      </c>
      <c r="AB68" s="247">
        <f>(AA68*Y68)+Z68</f>
        <v>87.858218371281254</v>
      </c>
      <c r="AI68" s="210"/>
      <c r="AJ68" s="175"/>
    </row>
    <row r="69" spans="1:44" ht="15" customHeight="1" x14ac:dyDescent="0.2">
      <c r="A69" s="1010"/>
      <c r="B69" s="1018"/>
      <c r="C69" s="1018"/>
      <c r="D69" s="1018"/>
      <c r="E69" s="1018"/>
      <c r="F69" s="1018"/>
      <c r="G69" s="1018"/>
      <c r="H69" s="1018"/>
      <c r="I69" s="1018"/>
      <c r="J69" s="1018"/>
      <c r="K69" s="1018"/>
      <c r="L69" s="1018"/>
      <c r="M69" s="1018"/>
      <c r="N69" s="1018"/>
      <c r="O69" s="1018"/>
      <c r="P69" s="1018"/>
      <c r="Q69" s="1018"/>
      <c r="R69" s="1018"/>
      <c r="S69" s="1018"/>
      <c r="T69" s="1018"/>
      <c r="U69" s="1019"/>
      <c r="V69" s="152"/>
      <c r="W69" s="168"/>
      <c r="X69" s="43">
        <f>D8</f>
        <v>2014</v>
      </c>
      <c r="Y69" s="43">
        <f>E8</f>
        <v>2015</v>
      </c>
      <c r="Z69" s="43">
        <f>F8</f>
        <v>2016</v>
      </c>
      <c r="AA69" s="43">
        <f>G8</f>
        <v>2017</v>
      </c>
      <c r="AB69" s="43">
        <f>H8</f>
        <v>2018</v>
      </c>
      <c r="AI69" s="210"/>
      <c r="AJ69" s="175"/>
    </row>
    <row r="70" spans="1:44" ht="11.25" customHeight="1" x14ac:dyDescent="0.2">
      <c r="A70" s="1020" t="str">
        <f>Home!$A$35</f>
        <v>LA's provide quarterly data on the condition that it is used by the benchmarking group for internal reporting only. Please DO NOT share other LA's data with any external partners or the public</v>
      </c>
      <c r="B70" s="1021"/>
      <c r="C70" s="1021"/>
      <c r="D70" s="1021"/>
      <c r="E70" s="1021"/>
      <c r="F70" s="1021"/>
      <c r="G70" s="1021"/>
      <c r="H70" s="1021"/>
      <c r="I70" s="1022"/>
      <c r="J70" s="1021"/>
      <c r="K70" s="1021"/>
      <c r="L70" s="1021"/>
      <c r="M70" s="1021"/>
      <c r="N70" s="1021"/>
      <c r="O70" s="1021"/>
      <c r="P70" s="1021"/>
      <c r="Q70" s="1021"/>
      <c r="R70" s="1021"/>
      <c r="S70" s="1022"/>
      <c r="T70" s="1021"/>
      <c r="U70" s="1023"/>
      <c r="V70" s="152"/>
      <c r="W70" s="168"/>
      <c r="X70" s="47" t="e">
        <f ca="1">IF(OFFSET(K8,$X$4,0)=0,NA(),OFFSET(K8,$X$4,0))</f>
        <v>#N/A</v>
      </c>
      <c r="Y70" s="248" t="e">
        <f ca="1">IF(OFFSET(L8,$X$4,0)=0,NA(),OFFSET(L8,$X$4,0))</f>
        <v>#N/A</v>
      </c>
      <c r="Z70" s="47" t="e">
        <f ca="1">IF(OFFSET(M8,$X$4,0)=0,NA(),OFFSET(M8,$X$4,0))</f>
        <v>#N/A</v>
      </c>
      <c r="AA70" s="47" t="e">
        <f ca="1">IF(OFFSET(N8,$X$4,0)=0,NA(),OFFSET(N8,$X$4,0))</f>
        <v>#N/A</v>
      </c>
      <c r="AB70" s="47" t="e">
        <f ca="1">IF(OFFSET(O8,$X$4,0)=0,NA(),OFFSET(O8,$X$4,0))</f>
        <v>#N/A</v>
      </c>
      <c r="AI70" s="210"/>
      <c r="AJ70" s="175"/>
    </row>
    <row r="71" spans="1:44" ht="11.25" customHeight="1" x14ac:dyDescent="0.2">
      <c r="A71" s="129"/>
      <c r="B71" s="130"/>
      <c r="C71" s="130"/>
      <c r="D71" s="130"/>
      <c r="E71" s="130"/>
      <c r="F71" s="130"/>
      <c r="G71" s="130"/>
      <c r="H71" s="130"/>
      <c r="I71" s="130"/>
      <c r="J71" s="131"/>
      <c r="K71" s="130"/>
      <c r="L71" s="130"/>
      <c r="M71" s="130"/>
      <c r="N71" s="130"/>
      <c r="O71" s="130"/>
      <c r="P71" s="130"/>
      <c r="Q71" s="130"/>
      <c r="R71" s="130"/>
      <c r="S71" s="130"/>
      <c r="T71" s="130"/>
      <c r="U71" s="132"/>
      <c r="V71" s="152"/>
      <c r="W71" s="168"/>
      <c r="X71" s="215"/>
      <c r="Y71" s="215"/>
      <c r="Z71" s="215"/>
      <c r="AI71" s="210"/>
      <c r="AJ71" s="175"/>
    </row>
    <row r="72" spans="1:44" s="82" customFormat="1" ht="15" customHeight="1" x14ac:dyDescent="0.2">
      <c r="A72" s="136"/>
      <c r="B72" s="60"/>
      <c r="C72" s="414"/>
      <c r="D72" s="414"/>
      <c r="E72" s="414"/>
      <c r="F72" s="414"/>
      <c r="G72" s="414"/>
      <c r="H72" s="414"/>
      <c r="I72" s="414"/>
      <c r="J72" s="70"/>
      <c r="K72" s="70"/>
      <c r="L72" s="70"/>
      <c r="M72" s="70"/>
      <c r="N72" s="409"/>
      <c r="O72" s="70"/>
      <c r="P72" s="70"/>
      <c r="Q72" s="70"/>
      <c r="R72" s="70"/>
      <c r="S72" s="70"/>
      <c r="T72" s="70"/>
      <c r="U72" s="137"/>
      <c r="V72" s="153"/>
      <c r="W72" s="169"/>
      <c r="X72" s="215"/>
      <c r="Y72" s="215"/>
      <c r="Z72" s="215"/>
      <c r="AA72" s="215"/>
      <c r="AB72" s="215"/>
      <c r="AC72" s="215"/>
      <c r="AD72" s="215"/>
      <c r="AE72" s="215"/>
      <c r="AF72" s="215"/>
      <c r="AG72" s="215"/>
      <c r="AH72" s="215"/>
      <c r="AI72" s="215"/>
      <c r="AJ72" s="176"/>
    </row>
    <row r="73" spans="1:44" ht="13.5" customHeight="1" x14ac:dyDescent="0.2">
      <c r="A73" s="135"/>
      <c r="B73" s="414"/>
      <c r="C73" s="414"/>
      <c r="D73" s="414"/>
      <c r="E73" s="414"/>
      <c r="F73" s="414"/>
      <c r="G73" s="414"/>
      <c r="H73" s="414"/>
      <c r="I73" s="414"/>
      <c r="J73" s="70"/>
      <c r="K73" s="70"/>
      <c r="L73" s="70"/>
      <c r="M73" s="70"/>
      <c r="N73" s="409"/>
      <c r="O73" s="70"/>
      <c r="P73" s="70"/>
      <c r="Q73" s="10"/>
      <c r="R73" s="70"/>
      <c r="S73" s="70"/>
      <c r="T73" s="70"/>
      <c r="U73" s="134"/>
      <c r="V73" s="152"/>
      <c r="W73" s="168"/>
      <c r="X73" s="215"/>
      <c r="Y73" s="215"/>
      <c r="Z73" s="223"/>
      <c r="AA73" s="223"/>
      <c r="AB73" s="224"/>
      <c r="AC73" s="224"/>
      <c r="AI73" s="210"/>
      <c r="AJ73" s="175"/>
    </row>
    <row r="74" spans="1:44" s="101" customFormat="1" ht="12" customHeight="1" x14ac:dyDescent="0.2">
      <c r="A74" s="138"/>
      <c r="B74" s="414"/>
      <c r="C74" s="414"/>
      <c r="D74" s="414"/>
      <c r="E74" s="414"/>
      <c r="F74" s="414"/>
      <c r="G74" s="414"/>
      <c r="H74" s="414"/>
      <c r="I74" s="115"/>
      <c r="J74" s="115"/>
      <c r="K74" s="62"/>
      <c r="L74" s="62"/>
      <c r="M74" s="62"/>
      <c r="N74" s="62"/>
      <c r="O74" s="62"/>
      <c r="P74" s="417"/>
      <c r="Q74" s="417"/>
      <c r="R74" s="177"/>
      <c r="S74" s="177"/>
      <c r="T74" s="418"/>
      <c r="U74" s="139"/>
      <c r="V74" s="154"/>
      <c r="W74" s="170"/>
      <c r="X74" s="215"/>
      <c r="Y74" s="215"/>
      <c r="Z74" s="223"/>
      <c r="AA74" s="223"/>
      <c r="AB74" s="224"/>
      <c r="AC74" s="224"/>
      <c r="AD74" s="226"/>
      <c r="AE74" s="217"/>
      <c r="AF74" s="217"/>
      <c r="AG74" s="217"/>
      <c r="AH74" s="217"/>
      <c r="AI74" s="232"/>
      <c r="AJ74" s="178"/>
    </row>
    <row r="75" spans="1:44" s="101" customFormat="1" ht="24" customHeight="1" x14ac:dyDescent="0.2">
      <c r="A75" s="138"/>
      <c r="B75" s="414"/>
      <c r="C75" s="414"/>
      <c r="D75" s="414"/>
      <c r="E75" s="414"/>
      <c r="F75" s="414"/>
      <c r="G75" s="414"/>
      <c r="H75" s="414"/>
      <c r="I75" s="115"/>
      <c r="J75" s="115"/>
      <c r="K75" s="186"/>
      <c r="L75" s="186"/>
      <c r="M75" s="186"/>
      <c r="N75" s="186"/>
      <c r="O75" s="186"/>
      <c r="P75" s="186"/>
      <c r="Q75" s="187"/>
      <c r="R75" s="177"/>
      <c r="S75" s="177"/>
      <c r="T75" s="186"/>
      <c r="U75" s="139"/>
      <c r="V75" s="154"/>
      <c r="W75" s="170"/>
      <c r="Y75" s="403" t="s">
        <v>133</v>
      </c>
      <c r="Z75" s="404" t="s">
        <v>134</v>
      </c>
      <c r="AA75" s="223"/>
      <c r="AB75" s="224"/>
      <c r="AC75" s="224"/>
      <c r="AD75" s="226"/>
      <c r="AE75" s="217"/>
      <c r="AF75" s="217"/>
      <c r="AG75" s="217"/>
      <c r="AH75" s="217"/>
      <c r="AI75" s="232"/>
      <c r="AJ75" s="178"/>
    </row>
    <row r="76" spans="1:44" s="101" customFormat="1" ht="12.75" customHeight="1" x14ac:dyDescent="0.2">
      <c r="A76" s="138"/>
      <c r="B76" s="414"/>
      <c r="C76" s="414"/>
      <c r="D76" s="414"/>
      <c r="E76" s="414"/>
      <c r="F76" s="414"/>
      <c r="G76" s="414"/>
      <c r="H76" s="414"/>
      <c r="I76" s="115"/>
      <c r="J76" s="115"/>
      <c r="K76" s="186"/>
      <c r="L76" s="186"/>
      <c r="M76" s="186"/>
      <c r="N76" s="186"/>
      <c r="O76" s="186"/>
      <c r="P76" s="186"/>
      <c r="Q76" s="187"/>
      <c r="R76" s="177"/>
      <c r="S76" s="177"/>
      <c r="T76" s="186"/>
      <c r="U76" s="139"/>
      <c r="V76" s="154"/>
      <c r="W76" s="170"/>
      <c r="X76" s="405" t="str">
        <f>B9</f>
        <v>Bracknell Forest</v>
      </c>
      <c r="Y76" s="406" t="e">
        <f>IF(X76=$Y$4,I9,#N/A)</f>
        <v>#N/A</v>
      </c>
      <c r="Z76" s="406" t="e">
        <f>IF(X76=$Y$4,T9,#N/A)</f>
        <v>#N/A</v>
      </c>
      <c r="AA76" s="223"/>
      <c r="AB76" s="224"/>
      <c r="AC76" s="224"/>
      <c r="AD76" s="226"/>
      <c r="AE76" s="217"/>
      <c r="AF76" s="217"/>
      <c r="AG76" s="217"/>
      <c r="AH76" s="217"/>
      <c r="AI76" s="232"/>
      <c r="AJ76" s="178"/>
    </row>
    <row r="77" spans="1:44" s="101" customFormat="1" ht="12.75" customHeight="1" x14ac:dyDescent="0.2">
      <c r="A77" s="138"/>
      <c r="B77" s="414"/>
      <c r="C77" s="414"/>
      <c r="D77" s="414"/>
      <c r="E77" s="414"/>
      <c r="F77" s="414"/>
      <c r="G77" s="414"/>
      <c r="H77" s="414"/>
      <c r="I77" s="115"/>
      <c r="J77" s="115"/>
      <c r="K77" s="186"/>
      <c r="L77" s="186"/>
      <c r="M77" s="186"/>
      <c r="N77" s="186"/>
      <c r="O77" s="186"/>
      <c r="P77" s="186"/>
      <c r="Q77" s="187"/>
      <c r="R77" s="177"/>
      <c r="S77" s="177"/>
      <c r="T77" s="186"/>
      <c r="U77" s="139"/>
      <c r="V77" s="154"/>
      <c r="W77" s="170"/>
      <c r="X77" s="405" t="str">
        <f t="shared" ref="X77:X97" si="21">B10</f>
        <v>Brighton &amp; Hove</v>
      </c>
      <c r="Y77" s="406" t="e">
        <f t="shared" ref="Y77:Y99" si="22">IF(X77=$Y$4,I10,#N/A)</f>
        <v>#N/A</v>
      </c>
      <c r="Z77" s="406" t="e">
        <f t="shared" ref="Z77:Z99" si="23">IF(X77=$Y$4,T10,#N/A)</f>
        <v>#N/A</v>
      </c>
      <c r="AA77" s="223"/>
      <c r="AB77" s="224"/>
      <c r="AC77" s="224"/>
      <c r="AD77" s="226"/>
      <c r="AE77" s="217"/>
      <c r="AF77" s="217"/>
      <c r="AG77" s="217"/>
      <c r="AH77" s="217"/>
      <c r="AI77" s="232"/>
      <c r="AJ77" s="178"/>
    </row>
    <row r="78" spans="1:44" s="101" customFormat="1" ht="12.75" customHeight="1" x14ac:dyDescent="0.2">
      <c r="A78" s="138"/>
      <c r="B78" s="414"/>
      <c r="C78" s="414"/>
      <c r="D78" s="414"/>
      <c r="E78" s="414"/>
      <c r="F78" s="414"/>
      <c r="G78" s="414"/>
      <c r="H78" s="414"/>
      <c r="I78" s="115"/>
      <c r="J78" s="115"/>
      <c r="K78" s="186"/>
      <c r="L78" s="186"/>
      <c r="M78" s="186"/>
      <c r="N78" s="186"/>
      <c r="O78" s="186"/>
      <c r="P78" s="186"/>
      <c r="Q78" s="187"/>
      <c r="R78" s="177"/>
      <c r="S78" s="177"/>
      <c r="T78" s="186"/>
      <c r="U78" s="139"/>
      <c r="V78" s="154"/>
      <c r="W78" s="170"/>
      <c r="X78" s="405" t="str">
        <f t="shared" si="21"/>
        <v>Buckinghamshire</v>
      </c>
      <c r="Y78" s="406" t="e">
        <f t="shared" si="22"/>
        <v>#N/A</v>
      </c>
      <c r="Z78" s="406" t="e">
        <f t="shared" si="23"/>
        <v>#N/A</v>
      </c>
      <c r="AA78" s="223"/>
      <c r="AB78" s="224"/>
      <c r="AC78" s="224"/>
      <c r="AD78" s="226"/>
      <c r="AE78" s="217"/>
      <c r="AF78" s="217"/>
      <c r="AG78" s="217"/>
      <c r="AH78" s="217"/>
      <c r="AI78" s="232"/>
      <c r="AJ78" s="178"/>
    </row>
    <row r="79" spans="1:44" s="101" customFormat="1" ht="12.75" customHeight="1" x14ac:dyDescent="0.2">
      <c r="A79" s="138"/>
      <c r="B79" s="414"/>
      <c r="C79" s="414"/>
      <c r="D79" s="414"/>
      <c r="E79" s="414"/>
      <c r="F79" s="414"/>
      <c r="G79" s="414"/>
      <c r="H79" s="414"/>
      <c r="I79" s="115"/>
      <c r="J79" s="115"/>
      <c r="K79" s="186"/>
      <c r="L79" s="186"/>
      <c r="M79" s="186"/>
      <c r="N79" s="186"/>
      <c r="O79" s="186"/>
      <c r="P79" s="186"/>
      <c r="Q79" s="187"/>
      <c r="R79" s="177"/>
      <c r="S79" s="177"/>
      <c r="T79" s="186"/>
      <c r="U79" s="139"/>
      <c r="V79" s="154"/>
      <c r="W79" s="170"/>
      <c r="X79" s="405" t="str">
        <f t="shared" si="21"/>
        <v>East Sussex</v>
      </c>
      <c r="Y79" s="406" t="e">
        <f t="shared" si="22"/>
        <v>#N/A</v>
      </c>
      <c r="Z79" s="406" t="e">
        <f t="shared" si="23"/>
        <v>#N/A</v>
      </c>
      <c r="AA79" s="223"/>
      <c r="AB79" s="224"/>
      <c r="AC79" s="224"/>
      <c r="AD79" s="226"/>
      <c r="AE79" s="217"/>
      <c r="AF79" s="217"/>
      <c r="AG79" s="217"/>
      <c r="AH79" s="217"/>
      <c r="AI79" s="232"/>
      <c r="AJ79" s="178"/>
    </row>
    <row r="80" spans="1:44" s="101" customFormat="1" ht="12.75" customHeight="1" x14ac:dyDescent="0.2">
      <c r="A80" s="138"/>
      <c r="B80" s="414"/>
      <c r="C80" s="414"/>
      <c r="D80" s="414"/>
      <c r="E80" s="414"/>
      <c r="F80" s="414"/>
      <c r="G80" s="414"/>
      <c r="H80" s="414"/>
      <c r="I80" s="115"/>
      <c r="J80" s="115"/>
      <c r="K80" s="186"/>
      <c r="L80" s="186"/>
      <c r="M80" s="186"/>
      <c r="N80" s="186"/>
      <c r="O80" s="186"/>
      <c r="P80" s="186"/>
      <c r="Q80" s="187"/>
      <c r="R80" s="177"/>
      <c r="S80" s="177"/>
      <c r="T80" s="186"/>
      <c r="U80" s="139"/>
      <c r="V80" s="154"/>
      <c r="W80" s="170"/>
      <c r="X80" s="405" t="str">
        <f t="shared" si="21"/>
        <v>Hampshire</v>
      </c>
      <c r="Y80" s="406" t="e">
        <f t="shared" si="22"/>
        <v>#N/A</v>
      </c>
      <c r="Z80" s="406" t="e">
        <f t="shared" si="23"/>
        <v>#N/A</v>
      </c>
      <c r="AA80" s="223"/>
      <c r="AB80" s="224"/>
      <c r="AC80" s="224"/>
      <c r="AD80" s="226"/>
      <c r="AE80" s="217"/>
      <c r="AF80" s="217"/>
      <c r="AG80" s="217"/>
      <c r="AH80" s="217"/>
      <c r="AI80" s="232"/>
      <c r="AJ80" s="178"/>
      <c r="AR80" s="101" t="s">
        <v>104</v>
      </c>
    </row>
    <row r="81" spans="1:36" s="101" customFormat="1" ht="12.75" customHeight="1" x14ac:dyDescent="0.2">
      <c r="A81" s="138"/>
      <c r="B81" s="414"/>
      <c r="C81" s="414"/>
      <c r="D81" s="414"/>
      <c r="E81" s="414"/>
      <c r="F81" s="414"/>
      <c r="G81" s="414"/>
      <c r="H81" s="414"/>
      <c r="I81" s="115"/>
      <c r="J81" s="115"/>
      <c r="K81" s="186"/>
      <c r="L81" s="186"/>
      <c r="M81" s="186"/>
      <c r="N81" s="186"/>
      <c r="O81" s="186"/>
      <c r="P81" s="186"/>
      <c r="Q81" s="187"/>
      <c r="R81" s="177"/>
      <c r="S81" s="177"/>
      <c r="T81" s="186"/>
      <c r="U81" s="139"/>
      <c r="V81" s="154"/>
      <c r="W81" s="170"/>
      <c r="X81" s="405" t="str">
        <f t="shared" si="21"/>
        <v>Isle of Wight</v>
      </c>
      <c r="Y81" s="406" t="e">
        <f t="shared" si="22"/>
        <v>#N/A</v>
      </c>
      <c r="Z81" s="406" t="e">
        <f t="shared" si="23"/>
        <v>#N/A</v>
      </c>
      <c r="AA81" s="223"/>
      <c r="AB81" s="224"/>
      <c r="AC81" s="224"/>
      <c r="AD81" s="226"/>
      <c r="AE81" s="217"/>
      <c r="AF81" s="217"/>
      <c r="AG81" s="217"/>
      <c r="AH81" s="217"/>
      <c r="AI81" s="232"/>
      <c r="AJ81" s="178"/>
    </row>
    <row r="82" spans="1:36" s="101" customFormat="1" ht="12.75" customHeight="1" x14ac:dyDescent="0.2">
      <c r="A82" s="138"/>
      <c r="B82" s="414"/>
      <c r="C82" s="414"/>
      <c r="D82" s="414"/>
      <c r="E82" s="414"/>
      <c r="F82" s="414"/>
      <c r="G82" s="414"/>
      <c r="H82" s="414"/>
      <c r="I82" s="115"/>
      <c r="J82" s="115"/>
      <c r="K82" s="186"/>
      <c r="L82" s="186"/>
      <c r="M82" s="186"/>
      <c r="N82" s="186"/>
      <c r="O82" s="186"/>
      <c r="P82" s="186"/>
      <c r="Q82" s="187"/>
      <c r="R82" s="177"/>
      <c r="S82" s="177"/>
      <c r="T82" s="186"/>
      <c r="U82" s="139"/>
      <c r="V82" s="154"/>
      <c r="W82" s="170"/>
      <c r="X82" s="405" t="str">
        <f t="shared" si="21"/>
        <v>Kent</v>
      </c>
      <c r="Y82" s="406" t="e">
        <f t="shared" si="22"/>
        <v>#N/A</v>
      </c>
      <c r="Z82" s="406" t="e">
        <f t="shared" si="23"/>
        <v>#N/A</v>
      </c>
      <c r="AA82" s="223"/>
      <c r="AB82" s="224"/>
      <c r="AC82" s="224"/>
      <c r="AD82" s="226"/>
      <c r="AE82" s="217"/>
      <c r="AF82" s="217"/>
      <c r="AG82" s="217"/>
      <c r="AH82" s="217"/>
      <c r="AI82" s="232"/>
      <c r="AJ82" s="178"/>
    </row>
    <row r="83" spans="1:36" s="101" customFormat="1" ht="12.75" customHeight="1" x14ac:dyDescent="0.2">
      <c r="A83" s="138"/>
      <c r="B83" s="414"/>
      <c r="C83" s="414"/>
      <c r="D83" s="414"/>
      <c r="E83" s="414"/>
      <c r="F83" s="414"/>
      <c r="G83" s="414"/>
      <c r="H83" s="414"/>
      <c r="I83" s="115"/>
      <c r="J83" s="115"/>
      <c r="K83" s="186"/>
      <c r="L83" s="186"/>
      <c r="M83" s="186"/>
      <c r="N83" s="186"/>
      <c r="O83" s="186"/>
      <c r="P83" s="186"/>
      <c r="Q83" s="187"/>
      <c r="R83" s="177"/>
      <c r="S83" s="177"/>
      <c r="T83" s="186"/>
      <c r="U83" s="139"/>
      <c r="V83" s="154"/>
      <c r="W83" s="170"/>
      <c r="X83" s="405" t="str">
        <f t="shared" si="21"/>
        <v>Medway</v>
      </c>
      <c r="Y83" s="406" t="e">
        <f t="shared" si="22"/>
        <v>#N/A</v>
      </c>
      <c r="Z83" s="406" t="e">
        <f t="shared" si="23"/>
        <v>#N/A</v>
      </c>
      <c r="AA83" s="223"/>
      <c r="AB83" s="224"/>
      <c r="AC83" s="224"/>
      <c r="AD83" s="226"/>
      <c r="AE83" s="217"/>
      <c r="AF83" s="217"/>
      <c r="AG83" s="217"/>
      <c r="AH83" s="217"/>
      <c r="AI83" s="232"/>
      <c r="AJ83" s="178"/>
    </row>
    <row r="84" spans="1:36" s="101" customFormat="1" ht="12.75" customHeight="1" x14ac:dyDescent="0.2">
      <c r="A84" s="138"/>
      <c r="B84" s="414"/>
      <c r="C84" s="414"/>
      <c r="D84" s="414"/>
      <c r="E84" s="414"/>
      <c r="F84" s="414"/>
      <c r="G84" s="414"/>
      <c r="H84" s="414"/>
      <c r="I84" s="115"/>
      <c r="J84" s="115"/>
      <c r="K84" s="186"/>
      <c r="L84" s="186"/>
      <c r="M84" s="186"/>
      <c r="N84" s="186"/>
      <c r="O84" s="186"/>
      <c r="P84" s="186"/>
      <c r="Q84" s="187"/>
      <c r="R84" s="177"/>
      <c r="S84" s="177"/>
      <c r="T84" s="186"/>
      <c r="U84" s="139"/>
      <c r="V84" s="154"/>
      <c r="W84" s="170"/>
      <c r="X84" s="405" t="str">
        <f t="shared" si="21"/>
        <v>Milton Keynes</v>
      </c>
      <c r="Y84" s="406" t="e">
        <f t="shared" si="22"/>
        <v>#N/A</v>
      </c>
      <c r="Z84" s="406" t="e">
        <f t="shared" si="23"/>
        <v>#N/A</v>
      </c>
      <c r="AA84" s="223"/>
      <c r="AB84" s="224"/>
      <c r="AC84" s="224"/>
      <c r="AD84" s="226"/>
      <c r="AE84" s="217"/>
      <c r="AF84" s="217"/>
      <c r="AG84" s="217"/>
      <c r="AH84" s="217"/>
      <c r="AI84" s="232"/>
      <c r="AJ84" s="178"/>
    </row>
    <row r="85" spans="1:36" s="101" customFormat="1" ht="12.75" customHeight="1" x14ac:dyDescent="0.2">
      <c r="A85" s="138"/>
      <c r="B85" s="414"/>
      <c r="C85" s="414"/>
      <c r="D85" s="414"/>
      <c r="E85" s="414"/>
      <c r="F85" s="414"/>
      <c r="G85" s="414"/>
      <c r="H85" s="414"/>
      <c r="I85" s="115"/>
      <c r="J85" s="115"/>
      <c r="K85" s="186"/>
      <c r="L85" s="186"/>
      <c r="M85" s="186"/>
      <c r="N85" s="186"/>
      <c r="O85" s="186"/>
      <c r="P85" s="186"/>
      <c r="Q85" s="187"/>
      <c r="R85" s="177"/>
      <c r="S85" s="177"/>
      <c r="T85" s="186"/>
      <c r="U85" s="139"/>
      <c r="V85" s="154"/>
      <c r="W85" s="170"/>
      <c r="X85" s="405" t="str">
        <f t="shared" si="21"/>
        <v>Oxfordshire</v>
      </c>
      <c r="Y85" s="406" t="e">
        <f t="shared" si="22"/>
        <v>#N/A</v>
      </c>
      <c r="Z85" s="406" t="e">
        <f t="shared" si="23"/>
        <v>#N/A</v>
      </c>
      <c r="AA85" s="223"/>
      <c r="AB85" s="224"/>
      <c r="AC85" s="224"/>
      <c r="AD85" s="226"/>
      <c r="AE85" s="217"/>
      <c r="AF85" s="217"/>
      <c r="AG85" s="217"/>
      <c r="AH85" s="217"/>
      <c r="AI85" s="232"/>
      <c r="AJ85" s="178"/>
    </row>
    <row r="86" spans="1:36" s="101" customFormat="1" ht="12.75" customHeight="1" x14ac:dyDescent="0.2">
      <c r="A86" s="138"/>
      <c r="B86" s="414"/>
      <c r="C86" s="414"/>
      <c r="D86" s="414"/>
      <c r="E86" s="414"/>
      <c r="F86" s="414"/>
      <c r="G86" s="414"/>
      <c r="H86" s="414"/>
      <c r="I86" s="115"/>
      <c r="J86" s="115"/>
      <c r="K86" s="186"/>
      <c r="L86" s="186"/>
      <c r="M86" s="186"/>
      <c r="N86" s="186"/>
      <c r="O86" s="186"/>
      <c r="P86" s="186"/>
      <c r="Q86" s="187"/>
      <c r="R86" s="177"/>
      <c r="S86" s="177"/>
      <c r="T86" s="186"/>
      <c r="U86" s="139"/>
      <c r="V86" s="154"/>
      <c r="W86" s="170"/>
      <c r="X86" s="405" t="str">
        <f t="shared" si="21"/>
        <v>Portsmouth</v>
      </c>
      <c r="Y86" s="406" t="e">
        <f t="shared" si="22"/>
        <v>#N/A</v>
      </c>
      <c r="Z86" s="406" t="e">
        <f t="shared" si="23"/>
        <v>#N/A</v>
      </c>
      <c r="AA86" s="223"/>
      <c r="AB86" s="224"/>
      <c r="AC86" s="224"/>
      <c r="AD86" s="226"/>
      <c r="AE86" s="217"/>
      <c r="AF86" s="217"/>
      <c r="AG86" s="217"/>
      <c r="AH86" s="217"/>
      <c r="AI86" s="232"/>
      <c r="AJ86" s="178"/>
    </row>
    <row r="87" spans="1:36" s="101" customFormat="1" ht="12.75" customHeight="1" x14ac:dyDescent="0.2">
      <c r="A87" s="138"/>
      <c r="B87" s="414"/>
      <c r="C87" s="414"/>
      <c r="D87" s="414"/>
      <c r="E87" s="414"/>
      <c r="F87" s="414"/>
      <c r="G87" s="414"/>
      <c r="H87" s="414"/>
      <c r="I87" s="115"/>
      <c r="J87" s="115"/>
      <c r="K87" s="186"/>
      <c r="L87" s="186"/>
      <c r="M87" s="186"/>
      <c r="N87" s="186"/>
      <c r="O87" s="186"/>
      <c r="P87" s="186"/>
      <c r="Q87" s="187"/>
      <c r="R87" s="177"/>
      <c r="S87" s="177"/>
      <c r="T87" s="186"/>
      <c r="U87" s="139"/>
      <c r="V87" s="154"/>
      <c r="W87" s="170"/>
      <c r="X87" s="405" t="str">
        <f t="shared" si="21"/>
        <v>Reading</v>
      </c>
      <c r="Y87" s="406" t="e">
        <f t="shared" si="22"/>
        <v>#N/A</v>
      </c>
      <c r="Z87" s="406" t="e">
        <f t="shared" si="23"/>
        <v>#N/A</v>
      </c>
      <c r="AA87" s="223"/>
      <c r="AB87" s="224"/>
      <c r="AC87" s="224"/>
      <c r="AD87" s="226"/>
      <c r="AE87" s="217"/>
      <c r="AF87" s="217"/>
      <c r="AG87" s="217"/>
      <c r="AH87" s="217"/>
      <c r="AI87" s="232"/>
      <c r="AJ87" s="178"/>
    </row>
    <row r="88" spans="1:36" s="101" customFormat="1" ht="12.75" customHeight="1" x14ac:dyDescent="0.2">
      <c r="A88" s="138"/>
      <c r="B88" s="414"/>
      <c r="C88" s="414"/>
      <c r="D88" s="414"/>
      <c r="E88" s="414"/>
      <c r="F88" s="414"/>
      <c r="G88" s="414"/>
      <c r="H88" s="414"/>
      <c r="I88" s="115"/>
      <c r="J88" s="115"/>
      <c r="K88" s="186"/>
      <c r="L88" s="186"/>
      <c r="M88" s="186"/>
      <c r="N88" s="186"/>
      <c r="O88" s="186"/>
      <c r="P88" s="186"/>
      <c r="Q88" s="187"/>
      <c r="R88" s="177"/>
      <c r="S88" s="177"/>
      <c r="T88" s="186"/>
      <c r="U88" s="139"/>
      <c r="V88" s="154"/>
      <c r="W88" s="170"/>
      <c r="X88" s="405" t="str">
        <f t="shared" si="21"/>
        <v>Slough</v>
      </c>
      <c r="Y88" s="406" t="e">
        <f t="shared" si="22"/>
        <v>#N/A</v>
      </c>
      <c r="Z88" s="406" t="e">
        <f t="shared" si="23"/>
        <v>#N/A</v>
      </c>
      <c r="AA88" s="223"/>
      <c r="AB88" s="224"/>
      <c r="AC88" s="224"/>
      <c r="AD88" s="226"/>
      <c r="AE88" s="217"/>
      <c r="AF88" s="217"/>
      <c r="AG88" s="217"/>
      <c r="AH88" s="217"/>
      <c r="AI88" s="232"/>
      <c r="AJ88" s="178"/>
    </row>
    <row r="89" spans="1:36" s="101" customFormat="1" ht="12.75" customHeight="1" x14ac:dyDescent="0.2">
      <c r="A89" s="138"/>
      <c r="B89" s="414"/>
      <c r="C89" s="414"/>
      <c r="D89" s="414"/>
      <c r="E89" s="414"/>
      <c r="F89" s="414"/>
      <c r="G89" s="414"/>
      <c r="H89" s="414"/>
      <c r="I89" s="115"/>
      <c r="J89" s="115"/>
      <c r="K89" s="186"/>
      <c r="L89" s="186"/>
      <c r="M89" s="186"/>
      <c r="N89" s="186"/>
      <c r="O89" s="186"/>
      <c r="P89" s="186"/>
      <c r="Q89" s="187"/>
      <c r="R89" s="177"/>
      <c r="S89" s="177"/>
      <c r="T89" s="186"/>
      <c r="U89" s="139"/>
      <c r="V89" s="154"/>
      <c r="W89" s="170"/>
      <c r="X89" s="405" t="str">
        <f t="shared" si="21"/>
        <v>Somerset</v>
      </c>
      <c r="Y89" s="406" t="e">
        <f t="shared" si="22"/>
        <v>#N/A</v>
      </c>
      <c r="Z89" s="406" t="e">
        <f t="shared" si="23"/>
        <v>#N/A</v>
      </c>
      <c r="AA89" s="223"/>
      <c r="AB89" s="224"/>
      <c r="AC89" s="224"/>
      <c r="AD89" s="226"/>
      <c r="AE89" s="217"/>
      <c r="AF89" s="217"/>
      <c r="AG89" s="217"/>
      <c r="AH89" s="217"/>
      <c r="AI89" s="232"/>
      <c r="AJ89" s="178"/>
    </row>
    <row r="90" spans="1:36" s="101" customFormat="1" ht="12.75" customHeight="1" x14ac:dyDescent="0.2">
      <c r="A90" s="138"/>
      <c r="B90" s="414"/>
      <c r="C90" s="414"/>
      <c r="D90" s="414"/>
      <c r="E90" s="414"/>
      <c r="F90" s="414"/>
      <c r="G90" s="414"/>
      <c r="H90" s="414"/>
      <c r="I90" s="115"/>
      <c r="J90" s="115"/>
      <c r="K90" s="186"/>
      <c r="L90" s="186"/>
      <c r="M90" s="186"/>
      <c r="N90" s="186"/>
      <c r="O90" s="186"/>
      <c r="P90" s="186"/>
      <c r="Q90" s="187"/>
      <c r="R90" s="177"/>
      <c r="S90" s="177"/>
      <c r="T90" s="186"/>
      <c r="U90" s="139"/>
      <c r="V90" s="154"/>
      <c r="W90" s="170"/>
      <c r="X90" s="405" t="str">
        <f t="shared" si="21"/>
        <v>Southampton</v>
      </c>
      <c r="Y90" s="406" t="e">
        <f t="shared" si="22"/>
        <v>#N/A</v>
      </c>
      <c r="Z90" s="406" t="e">
        <f t="shared" si="23"/>
        <v>#N/A</v>
      </c>
      <c r="AA90" s="223"/>
      <c r="AB90" s="224"/>
      <c r="AC90" s="224"/>
      <c r="AD90" s="226"/>
      <c r="AE90" s="217"/>
      <c r="AF90" s="217"/>
      <c r="AG90" s="217"/>
      <c r="AH90" s="217"/>
      <c r="AI90" s="232"/>
      <c r="AJ90" s="178"/>
    </row>
    <row r="91" spans="1:36" s="101" customFormat="1" ht="12.75" customHeight="1" x14ac:dyDescent="0.2">
      <c r="A91" s="324"/>
      <c r="B91" s="414"/>
      <c r="C91" s="414"/>
      <c r="D91" s="414"/>
      <c r="E91" s="414"/>
      <c r="F91" s="414"/>
      <c r="G91" s="414"/>
      <c r="H91" s="414"/>
      <c r="I91" s="115"/>
      <c r="J91" s="115"/>
      <c r="K91" s="186"/>
      <c r="L91" s="186"/>
      <c r="M91" s="186"/>
      <c r="N91" s="186"/>
      <c r="O91" s="186"/>
      <c r="P91" s="186"/>
      <c r="Q91" s="187"/>
      <c r="R91" s="177"/>
      <c r="S91" s="177"/>
      <c r="T91" s="186"/>
      <c r="U91" s="139"/>
      <c r="V91" s="154"/>
      <c r="W91" s="170"/>
      <c r="X91" s="405" t="str">
        <f t="shared" si="21"/>
        <v>Surrey</v>
      </c>
      <c r="Y91" s="406" t="e">
        <f t="shared" si="22"/>
        <v>#N/A</v>
      </c>
      <c r="Z91" s="406" t="e">
        <f t="shared" si="23"/>
        <v>#N/A</v>
      </c>
      <c r="AA91" s="223"/>
      <c r="AB91" s="224"/>
      <c r="AC91" s="224"/>
      <c r="AD91" s="226"/>
      <c r="AE91" s="217"/>
      <c r="AF91" s="217"/>
      <c r="AG91" s="217"/>
      <c r="AH91" s="217"/>
      <c r="AI91" s="232"/>
      <c r="AJ91" s="178"/>
    </row>
    <row r="92" spans="1:36" s="101" customFormat="1" ht="12.75" customHeight="1" x14ac:dyDescent="0.2">
      <c r="A92" s="324"/>
      <c r="B92" s="414"/>
      <c r="C92" s="414"/>
      <c r="D92" s="414"/>
      <c r="E92" s="414"/>
      <c r="F92" s="414"/>
      <c r="G92" s="414"/>
      <c r="H92" s="414"/>
      <c r="I92" s="115"/>
      <c r="J92" s="115"/>
      <c r="K92" s="186"/>
      <c r="L92" s="186"/>
      <c r="M92" s="186"/>
      <c r="N92" s="186"/>
      <c r="O92" s="186"/>
      <c r="P92" s="186"/>
      <c r="Q92" s="187"/>
      <c r="R92" s="177"/>
      <c r="S92" s="177"/>
      <c r="T92" s="186"/>
      <c r="U92" s="139"/>
      <c r="V92" s="154"/>
      <c r="W92" s="170"/>
      <c r="X92" s="405" t="str">
        <f t="shared" si="21"/>
        <v>Swindon</v>
      </c>
      <c r="Y92" s="406" t="e">
        <f t="shared" si="22"/>
        <v>#N/A</v>
      </c>
      <c r="Z92" s="406" t="e">
        <f t="shared" si="23"/>
        <v>#N/A</v>
      </c>
      <c r="AA92" s="223"/>
      <c r="AB92" s="224"/>
      <c r="AC92" s="224"/>
      <c r="AD92" s="226"/>
      <c r="AE92" s="217"/>
      <c r="AF92" s="217"/>
      <c r="AG92" s="217"/>
      <c r="AH92" s="217"/>
      <c r="AI92" s="232"/>
      <c r="AJ92" s="178"/>
    </row>
    <row r="93" spans="1:36" s="101" customFormat="1" ht="12.75" customHeight="1" x14ac:dyDescent="0.2">
      <c r="A93" s="138"/>
      <c r="B93" s="414"/>
      <c r="C93" s="414"/>
      <c r="D93" s="414"/>
      <c r="E93" s="414"/>
      <c r="F93" s="414"/>
      <c r="G93" s="414"/>
      <c r="H93" s="414"/>
      <c r="I93" s="115"/>
      <c r="J93" s="115"/>
      <c r="K93" s="186"/>
      <c r="L93" s="186"/>
      <c r="M93" s="186"/>
      <c r="N93" s="186"/>
      <c r="O93" s="186"/>
      <c r="P93" s="186"/>
      <c r="Q93" s="187"/>
      <c r="R93" s="177"/>
      <c r="S93" s="177"/>
      <c r="T93" s="186"/>
      <c r="U93" s="139"/>
      <c r="V93" s="154"/>
      <c r="W93" s="170"/>
      <c r="X93" s="405" t="str">
        <f t="shared" si="21"/>
        <v>Torbay</v>
      </c>
      <c r="Y93" s="406" t="e">
        <f t="shared" si="22"/>
        <v>#N/A</v>
      </c>
      <c r="Z93" s="406" t="e">
        <f t="shared" si="23"/>
        <v>#N/A</v>
      </c>
      <c r="AA93" s="223"/>
      <c r="AB93" s="224"/>
      <c r="AC93" s="224"/>
      <c r="AD93" s="226"/>
      <c r="AE93" s="232"/>
      <c r="AF93" s="217"/>
      <c r="AG93" s="217"/>
      <c r="AH93" s="217"/>
      <c r="AI93" s="232"/>
      <c r="AJ93" s="178"/>
    </row>
    <row r="94" spans="1:36" s="101" customFormat="1" ht="12.75" customHeight="1" x14ac:dyDescent="0.2">
      <c r="A94" s="138"/>
      <c r="B94" s="414"/>
      <c r="C94" s="414"/>
      <c r="D94" s="414"/>
      <c r="E94" s="414"/>
      <c r="F94" s="414"/>
      <c r="G94" s="414"/>
      <c r="H94" s="414"/>
      <c r="I94" s="115"/>
      <c r="J94" s="115"/>
      <c r="K94" s="186"/>
      <c r="L94" s="186"/>
      <c r="M94" s="186"/>
      <c r="N94" s="186"/>
      <c r="O94" s="186"/>
      <c r="P94" s="186"/>
      <c r="Q94" s="187"/>
      <c r="R94" s="177"/>
      <c r="S94" s="177"/>
      <c r="T94" s="186"/>
      <c r="U94" s="139"/>
      <c r="V94" s="154"/>
      <c r="W94" s="170"/>
      <c r="X94" s="405" t="str">
        <f t="shared" si="21"/>
        <v>West Berkshire</v>
      </c>
      <c r="Y94" s="406" t="e">
        <f t="shared" si="22"/>
        <v>#N/A</v>
      </c>
      <c r="Z94" s="406" t="e">
        <f t="shared" si="23"/>
        <v>#N/A</v>
      </c>
      <c r="AA94" s="223"/>
      <c r="AB94" s="224"/>
      <c r="AC94" s="224"/>
      <c r="AD94" s="226"/>
      <c r="AE94" s="232"/>
      <c r="AF94" s="217"/>
      <c r="AG94" s="217"/>
      <c r="AH94" s="217"/>
      <c r="AI94" s="232"/>
      <c r="AJ94" s="178"/>
    </row>
    <row r="95" spans="1:36" s="101" customFormat="1" ht="12.75" customHeight="1" x14ac:dyDescent="0.2">
      <c r="A95" s="138"/>
      <c r="B95" s="414"/>
      <c r="C95" s="414"/>
      <c r="D95" s="414"/>
      <c r="E95" s="414"/>
      <c r="F95" s="414"/>
      <c r="G95" s="414"/>
      <c r="H95" s="414"/>
      <c r="I95" s="115"/>
      <c r="J95" s="115"/>
      <c r="K95" s="186"/>
      <c r="L95" s="186"/>
      <c r="M95" s="186"/>
      <c r="N95" s="186"/>
      <c r="O95" s="186"/>
      <c r="P95" s="186"/>
      <c r="Q95" s="187"/>
      <c r="R95" s="177"/>
      <c r="S95" s="177"/>
      <c r="T95" s="186"/>
      <c r="U95" s="139"/>
      <c r="V95" s="154"/>
      <c r="W95" s="170"/>
      <c r="X95" s="405" t="str">
        <f t="shared" si="21"/>
        <v>West Sussex</v>
      </c>
      <c r="Y95" s="406" t="e">
        <f t="shared" si="22"/>
        <v>#N/A</v>
      </c>
      <c r="Z95" s="406" t="e">
        <f t="shared" si="23"/>
        <v>#N/A</v>
      </c>
      <c r="AA95" s="223"/>
      <c r="AB95" s="224"/>
      <c r="AC95" s="224"/>
      <c r="AD95" s="226"/>
      <c r="AE95" s="232"/>
      <c r="AF95" s="232"/>
      <c r="AG95" s="232"/>
      <c r="AH95" s="217"/>
      <c r="AI95" s="232"/>
      <c r="AJ95" s="178"/>
    </row>
    <row r="96" spans="1:36" s="101" customFormat="1" ht="12.75" customHeight="1" x14ac:dyDescent="0.2">
      <c r="A96" s="138"/>
      <c r="B96" s="414"/>
      <c r="C96" s="414"/>
      <c r="D96" s="414"/>
      <c r="E96" s="414"/>
      <c r="F96" s="414"/>
      <c r="G96" s="414"/>
      <c r="H96" s="414"/>
      <c r="I96" s="115"/>
      <c r="J96" s="115"/>
      <c r="K96" s="186"/>
      <c r="L96" s="186"/>
      <c r="M96" s="186"/>
      <c r="N96" s="186"/>
      <c r="O96" s="186"/>
      <c r="P96" s="186"/>
      <c r="Q96" s="187"/>
      <c r="R96" s="177"/>
      <c r="S96" s="177"/>
      <c r="T96" s="186"/>
      <c r="U96" s="139"/>
      <c r="V96" s="154"/>
      <c r="W96" s="170"/>
      <c r="X96" s="405" t="str">
        <f t="shared" si="21"/>
        <v>Windsor &amp; Maidenhead</v>
      </c>
      <c r="Y96" s="406" t="e">
        <f t="shared" si="22"/>
        <v>#N/A</v>
      </c>
      <c r="Z96" s="406" t="e">
        <f t="shared" si="23"/>
        <v>#N/A</v>
      </c>
      <c r="AA96" s="223"/>
      <c r="AB96" s="224"/>
      <c r="AC96" s="224"/>
      <c r="AD96" s="226"/>
      <c r="AE96" s="232"/>
      <c r="AF96" s="232"/>
      <c r="AG96" s="232"/>
      <c r="AH96" s="217"/>
      <c r="AI96" s="232"/>
      <c r="AJ96" s="178"/>
    </row>
    <row r="97" spans="1:45" s="101" customFormat="1" ht="12.75" customHeight="1" x14ac:dyDescent="0.2">
      <c r="A97" s="138"/>
      <c r="B97" s="414"/>
      <c r="C97" s="414"/>
      <c r="D97" s="414"/>
      <c r="E97" s="414"/>
      <c r="F97" s="414"/>
      <c r="G97" s="414"/>
      <c r="H97" s="414"/>
      <c r="I97" s="115"/>
      <c r="J97" s="115"/>
      <c r="K97" s="188"/>
      <c r="L97" s="188"/>
      <c r="M97" s="188"/>
      <c r="N97" s="188"/>
      <c r="O97" s="188"/>
      <c r="P97" s="188"/>
      <c r="Q97" s="189"/>
      <c r="R97" s="177"/>
      <c r="S97" s="177"/>
      <c r="T97" s="190"/>
      <c r="U97" s="139"/>
      <c r="V97" s="154"/>
      <c r="W97" s="170"/>
      <c r="X97" s="405" t="str">
        <f t="shared" si="21"/>
        <v>Wokingham</v>
      </c>
      <c r="Y97" s="406" t="e">
        <f t="shared" si="22"/>
        <v>#N/A</v>
      </c>
      <c r="Z97" s="406" t="e">
        <f t="shared" si="23"/>
        <v>#N/A</v>
      </c>
      <c r="AA97" s="223"/>
      <c r="AB97" s="224"/>
      <c r="AC97" s="224"/>
      <c r="AD97" s="226"/>
      <c r="AE97" s="232"/>
      <c r="AF97" s="232"/>
      <c r="AG97" s="232"/>
      <c r="AH97" s="217"/>
      <c r="AI97" s="232"/>
      <c r="AJ97" s="178"/>
    </row>
    <row r="98" spans="1:45" s="101" customFormat="1" ht="12.75" customHeight="1" x14ac:dyDescent="0.2">
      <c r="A98" s="138"/>
      <c r="B98" s="414"/>
      <c r="C98" s="414"/>
      <c r="D98" s="414"/>
      <c r="E98" s="414"/>
      <c r="F98" s="414"/>
      <c r="G98" s="414"/>
      <c r="H98" s="414"/>
      <c r="I98" s="115"/>
      <c r="J98" s="115"/>
      <c r="K98" s="188"/>
      <c r="L98" s="188"/>
      <c r="M98" s="188"/>
      <c r="N98" s="188"/>
      <c r="O98" s="188"/>
      <c r="P98" s="188"/>
      <c r="Q98" s="189"/>
      <c r="R98" s="177"/>
      <c r="S98" s="177"/>
      <c r="T98" s="190"/>
      <c r="U98" s="139"/>
      <c r="V98" s="154"/>
      <c r="W98" s="170"/>
      <c r="X98" s="405" t="str">
        <f>B31</f>
        <v>South East</v>
      </c>
      <c r="Y98" s="406" t="e">
        <f t="shared" si="22"/>
        <v>#N/A</v>
      </c>
      <c r="Z98" s="406" t="e">
        <f t="shared" si="23"/>
        <v>#N/A</v>
      </c>
      <c r="AA98" s="223"/>
      <c r="AB98" s="224"/>
      <c r="AC98" s="224"/>
      <c r="AD98" s="226"/>
      <c r="AE98" s="232"/>
      <c r="AF98" s="232"/>
      <c r="AG98" s="232"/>
      <c r="AH98" s="217"/>
      <c r="AI98" s="232"/>
      <c r="AJ98" s="178"/>
    </row>
    <row r="99" spans="1:45" s="101" customFormat="1" ht="11.25" customHeight="1" x14ac:dyDescent="0.2">
      <c r="A99" s="324"/>
      <c r="B99" s="414"/>
      <c r="C99" s="414"/>
      <c r="D99" s="414"/>
      <c r="E99" s="414"/>
      <c r="F99" s="414"/>
      <c r="G99" s="414"/>
      <c r="H99" s="414"/>
      <c r="I99" s="115"/>
      <c r="J99" s="115"/>
      <c r="K99" s="188"/>
      <c r="L99" s="188"/>
      <c r="M99" s="188"/>
      <c r="N99" s="188"/>
      <c r="O99" s="188"/>
      <c r="P99" s="188"/>
      <c r="Q99" s="189"/>
      <c r="R99" s="177"/>
      <c r="S99" s="177"/>
      <c r="T99" s="190"/>
      <c r="U99" s="139"/>
      <c r="V99" s="154"/>
      <c r="W99" s="170"/>
      <c r="X99" s="405" t="str">
        <f>B32</f>
        <v>England</v>
      </c>
      <c r="Y99" s="406" t="e">
        <f t="shared" si="22"/>
        <v>#N/A</v>
      </c>
      <c r="Z99" s="406" t="e">
        <f t="shared" si="23"/>
        <v>#N/A</v>
      </c>
      <c r="AA99" s="223"/>
      <c r="AB99" s="224"/>
      <c r="AC99" s="224"/>
      <c r="AD99" s="226"/>
      <c r="AE99" s="232"/>
      <c r="AF99" s="232"/>
      <c r="AG99" s="232"/>
      <c r="AH99" s="217"/>
      <c r="AI99" s="232"/>
      <c r="AJ99" s="178"/>
    </row>
    <row r="100" spans="1:45" s="88" customFormat="1" ht="42" customHeight="1" x14ac:dyDescent="0.2">
      <c r="A100" s="249"/>
      <c r="B100" s="414"/>
      <c r="C100" s="414"/>
      <c r="D100" s="414"/>
      <c r="E100" s="414"/>
      <c r="F100" s="414"/>
      <c r="G100" s="414"/>
      <c r="H100" s="414"/>
      <c r="I100" s="421"/>
      <c r="J100" s="192"/>
      <c r="K100" s="192"/>
      <c r="L100" s="192"/>
      <c r="M100" s="192"/>
      <c r="N100" s="192"/>
      <c r="O100" s="192"/>
      <c r="P100" s="192"/>
      <c r="Q100" s="151"/>
      <c r="R100" s="192"/>
      <c r="S100" s="192"/>
      <c r="T100" s="192"/>
      <c r="U100" s="134"/>
      <c r="V100" s="152"/>
      <c r="W100" s="168"/>
      <c r="AC100" s="224"/>
      <c r="AD100" s="226"/>
      <c r="AE100" s="210"/>
      <c r="AF100" s="210"/>
      <c r="AG100" s="210"/>
      <c r="AI100" s="210"/>
      <c r="AJ100" s="179"/>
    </row>
    <row r="101" spans="1:45" s="88" customFormat="1" ht="42" customHeight="1" x14ac:dyDescent="0.2">
      <c r="A101" s="249"/>
      <c r="B101" s="414"/>
      <c r="C101" s="414"/>
      <c r="D101" s="414"/>
      <c r="E101" s="414"/>
      <c r="F101" s="414"/>
      <c r="G101" s="414"/>
      <c r="H101" s="414"/>
      <c r="I101" s="421"/>
      <c r="J101" s="192"/>
      <c r="K101" s="192"/>
      <c r="L101" s="192"/>
      <c r="M101" s="192"/>
      <c r="N101" s="192"/>
      <c r="O101" s="192"/>
      <c r="P101" s="192"/>
      <c r="Q101" s="151"/>
      <c r="R101" s="192"/>
      <c r="S101" s="192"/>
      <c r="T101" s="192"/>
      <c r="U101" s="134"/>
      <c r="V101" s="152"/>
      <c r="W101" s="168"/>
      <c r="Y101" s="217"/>
      <c r="AD101" s="226"/>
      <c r="AE101" s="210"/>
      <c r="AF101" s="210"/>
      <c r="AG101" s="210"/>
      <c r="AI101" s="210"/>
      <c r="AJ101" s="179"/>
    </row>
    <row r="102" spans="1:45" s="88" customFormat="1" ht="33" customHeight="1" x14ac:dyDescent="0.2">
      <c r="A102" s="249"/>
      <c r="B102" s="421"/>
      <c r="C102" s="421"/>
      <c r="D102" s="421"/>
      <c r="E102" s="421"/>
      <c r="F102" s="421"/>
      <c r="G102" s="421"/>
      <c r="H102" s="421"/>
      <c r="I102" s="421"/>
      <c r="J102" s="192"/>
      <c r="K102" s="192"/>
      <c r="L102" s="192"/>
      <c r="M102" s="192"/>
      <c r="N102" s="192"/>
      <c r="O102" s="192"/>
      <c r="P102" s="192"/>
      <c r="Q102" s="151"/>
      <c r="R102" s="192"/>
      <c r="S102" s="192"/>
      <c r="T102" s="192"/>
      <c r="U102" s="134"/>
      <c r="V102" s="152"/>
      <c r="W102" s="168"/>
      <c r="Y102" s="217"/>
      <c r="AD102" s="226"/>
      <c r="AE102" s="210"/>
      <c r="AF102" s="210"/>
      <c r="AG102" s="210"/>
      <c r="AI102" s="210"/>
      <c r="AJ102" s="179"/>
    </row>
    <row r="103" spans="1:45" s="88" customFormat="1" ht="7.5" customHeight="1" x14ac:dyDescent="0.2">
      <c r="A103" s="135"/>
      <c r="B103" s="18"/>
      <c r="C103" s="18"/>
      <c r="D103" s="17"/>
      <c r="E103" s="17"/>
      <c r="F103" s="17"/>
      <c r="G103" s="17"/>
      <c r="H103" s="17"/>
      <c r="I103" s="17"/>
      <c r="J103" s="13"/>
      <c r="K103" s="19"/>
      <c r="L103" s="19"/>
      <c r="M103" s="19"/>
      <c r="N103" s="19"/>
      <c r="O103" s="19"/>
      <c r="P103" s="19"/>
      <c r="Q103" s="19"/>
      <c r="R103" s="19"/>
      <c r="S103" s="19"/>
      <c r="T103" s="20"/>
      <c r="U103" s="134"/>
      <c r="V103" s="152"/>
      <c r="W103" s="168"/>
      <c r="Y103" s="217"/>
      <c r="AI103" s="210"/>
      <c r="AJ103" s="175"/>
      <c r="AK103" s="80"/>
      <c r="AL103" s="80"/>
      <c r="AM103" s="80"/>
      <c r="AN103" s="80"/>
      <c r="AO103" s="80"/>
      <c r="AP103" s="80"/>
      <c r="AQ103" s="80"/>
    </row>
    <row r="104" spans="1:45" s="88" customFormat="1" ht="15" customHeight="1" x14ac:dyDescent="0.2">
      <c r="A104" s="1010"/>
      <c r="B104" s="1018"/>
      <c r="C104" s="1018"/>
      <c r="D104" s="1018"/>
      <c r="E104" s="1018"/>
      <c r="F104" s="1018"/>
      <c r="G104" s="1018"/>
      <c r="H104" s="1018"/>
      <c r="I104" s="1018"/>
      <c r="J104" s="1018"/>
      <c r="K104" s="1018"/>
      <c r="L104" s="1018"/>
      <c r="M104" s="1018"/>
      <c r="N104" s="1018"/>
      <c r="O104" s="1018"/>
      <c r="P104" s="1018"/>
      <c r="Q104" s="1018"/>
      <c r="R104" s="1018"/>
      <c r="S104" s="1018"/>
      <c r="T104" s="1018"/>
      <c r="U104" s="1019"/>
      <c r="V104" s="152"/>
      <c r="W104" s="168"/>
      <c r="X104" s="215"/>
      <c r="Y104" s="215"/>
      <c r="AJ104" s="179"/>
      <c r="AS104" s="80"/>
    </row>
    <row r="105" spans="1:45" s="88" customFormat="1" ht="11.25" customHeight="1" x14ac:dyDescent="0.2">
      <c r="A105" s="1020" t="str">
        <f>Home!$A$35</f>
        <v>LA's provide quarterly data on the condition that it is used by the benchmarking group for internal reporting only. Please DO NOT share other LA's data with any external partners or the public</v>
      </c>
      <c r="B105" s="1021"/>
      <c r="C105" s="1021"/>
      <c r="D105" s="1021"/>
      <c r="E105" s="1021"/>
      <c r="F105" s="1021"/>
      <c r="G105" s="1021"/>
      <c r="H105" s="1021"/>
      <c r="I105" s="1022"/>
      <c r="J105" s="1021"/>
      <c r="K105" s="1021"/>
      <c r="L105" s="1021"/>
      <c r="M105" s="1021"/>
      <c r="N105" s="1021"/>
      <c r="O105" s="1021"/>
      <c r="P105" s="1021"/>
      <c r="Q105" s="1021"/>
      <c r="R105" s="1021"/>
      <c r="S105" s="1022"/>
      <c r="T105" s="1021"/>
      <c r="U105" s="1023"/>
      <c r="V105" s="152"/>
      <c r="W105" s="168"/>
      <c r="X105" s="215"/>
      <c r="Y105" s="215"/>
      <c r="AI105" s="210"/>
      <c r="AJ105" s="178"/>
      <c r="AK105" s="101"/>
      <c r="AS105" s="80"/>
    </row>
    <row r="106" spans="1:45" ht="11.25" customHeight="1" x14ac:dyDescent="0.2">
      <c r="A106" s="129"/>
      <c r="B106" s="130"/>
      <c r="C106" s="130"/>
      <c r="D106" s="130"/>
      <c r="E106" s="130"/>
      <c r="F106" s="130"/>
      <c r="G106" s="130"/>
      <c r="H106" s="130"/>
      <c r="I106" s="130"/>
      <c r="J106" s="131"/>
      <c r="K106" s="130"/>
      <c r="L106" s="130"/>
      <c r="M106" s="130"/>
      <c r="N106" s="130"/>
      <c r="O106" s="130"/>
      <c r="P106" s="130"/>
      <c r="Q106" s="130"/>
      <c r="R106" s="130"/>
      <c r="S106" s="130"/>
      <c r="T106" s="130"/>
      <c r="U106" s="132"/>
      <c r="V106" s="152"/>
      <c r="W106" s="168"/>
      <c r="X106" s="215"/>
      <c r="Y106" s="215"/>
      <c r="AI106" s="210"/>
      <c r="AJ106" s="175"/>
    </row>
    <row r="107" spans="1:45" s="82" customFormat="1" ht="15" customHeight="1" x14ac:dyDescent="0.2">
      <c r="A107" s="136"/>
      <c r="B107" s="1099" t="s">
        <v>151</v>
      </c>
      <c r="C107" s="1099"/>
      <c r="D107" s="1099"/>
      <c r="E107" s="1099"/>
      <c r="F107" s="1099"/>
      <c r="G107" s="1099"/>
      <c r="H107" s="1099"/>
      <c r="I107" s="1099"/>
      <c r="J107" s="70"/>
      <c r="K107" s="70"/>
      <c r="L107" s="70"/>
      <c r="M107" s="70"/>
      <c r="N107" s="409"/>
      <c r="O107" s="70"/>
      <c r="P107" s="70"/>
      <c r="Q107" s="70"/>
      <c r="R107" s="70"/>
      <c r="S107" s="70"/>
      <c r="T107" s="70"/>
      <c r="U107" s="137"/>
      <c r="V107" s="153"/>
      <c r="W107" s="169"/>
      <c r="X107" s="215"/>
      <c r="Y107" s="215"/>
      <c r="Z107" s="88"/>
      <c r="AA107" s="88"/>
      <c r="AB107" s="88"/>
      <c r="AC107" s="88"/>
      <c r="AD107" s="88"/>
      <c r="AE107" s="215"/>
      <c r="AF107" s="215"/>
      <c r="AG107" s="215"/>
      <c r="AH107" s="215"/>
      <c r="AI107" s="215"/>
      <c r="AJ107" s="176"/>
    </row>
    <row r="108" spans="1:45" ht="15" customHeight="1" x14ac:dyDescent="0.2">
      <c r="A108" s="135"/>
      <c r="B108" s="1099"/>
      <c r="C108" s="1099"/>
      <c r="D108" s="1099"/>
      <c r="E108" s="1099"/>
      <c r="F108" s="1099"/>
      <c r="G108" s="1099"/>
      <c r="H108" s="1099"/>
      <c r="I108" s="1099"/>
      <c r="J108" s="70"/>
      <c r="K108" s="70"/>
      <c r="L108" s="70"/>
      <c r="M108" s="70"/>
      <c r="N108" s="409"/>
      <c r="O108" s="70"/>
      <c r="P108" s="70"/>
      <c r="Q108" s="10"/>
      <c r="R108" s="70"/>
      <c r="S108" s="70"/>
      <c r="T108" s="70"/>
      <c r="U108" s="134"/>
      <c r="V108" s="152"/>
      <c r="W108" s="168"/>
      <c r="X108" s="215"/>
      <c r="Y108" s="215"/>
      <c r="AI108" s="210"/>
      <c r="AJ108" s="175"/>
    </row>
    <row r="109" spans="1:45" s="101" customFormat="1" ht="27" customHeight="1" x14ac:dyDescent="0.2">
      <c r="A109" s="138"/>
      <c r="B109" s="540" t="s">
        <v>215</v>
      </c>
      <c r="C109" s="97"/>
      <c r="D109" s="393">
        <f>D8</f>
        <v>2014</v>
      </c>
      <c r="E109" s="393">
        <f t="shared" ref="E109:H109" si="24">E8</f>
        <v>2015</v>
      </c>
      <c r="F109" s="393">
        <f t="shared" si="24"/>
        <v>2016</v>
      </c>
      <c r="G109" s="393">
        <f t="shared" si="24"/>
        <v>2017</v>
      </c>
      <c r="H109" s="394">
        <f t="shared" si="24"/>
        <v>2018</v>
      </c>
      <c r="I109" s="115"/>
      <c r="J109" s="115"/>
      <c r="K109" s="62"/>
      <c r="L109" s="62"/>
      <c r="M109" s="62"/>
      <c r="N109" s="62"/>
      <c r="O109" s="62"/>
      <c r="P109" s="417"/>
      <c r="Q109" s="417"/>
      <c r="R109" s="177"/>
      <c r="S109" s="177"/>
      <c r="T109" s="418"/>
      <c r="U109" s="139"/>
      <c r="V109" s="154"/>
      <c r="W109" s="170"/>
      <c r="X109" s="215"/>
      <c r="Y109" s="215"/>
      <c r="Z109" s="88"/>
      <c r="AA109" s="88"/>
      <c r="AB109" s="88"/>
      <c r="AC109" s="88"/>
      <c r="AD109" s="88"/>
      <c r="AE109" s="217"/>
      <c r="AF109" s="217"/>
      <c r="AG109" s="217"/>
      <c r="AH109" s="217"/>
      <c r="AI109" s="232"/>
      <c r="AJ109" s="178"/>
    </row>
    <row r="110" spans="1:45" s="101" customFormat="1" ht="12.75" customHeight="1" x14ac:dyDescent="0.2">
      <c r="A110" s="533">
        <f>VLOOKUP(B110,Sheet1!$B$4:$C$25,2,FALSE)</f>
        <v>0</v>
      </c>
      <c r="B110" s="112" t="str">
        <f>B9</f>
        <v>Bracknell Forest</v>
      </c>
      <c r="C110" s="97"/>
      <c r="D110" s="182">
        <f>IF(OR(ISBLANK(D9),ISBLANK('Section 47 Enquiries'!D9)),NA(),D9/'Section 47 Enquiries'!D9)</f>
        <v>0.41176470588235292</v>
      </c>
      <c r="E110" s="182">
        <f>IF(OR(ISBLANK(E9),ISBLANK('Section 47 Enquiries'!E9)),NA(),E9/'Section 47 Enquiries'!E9)</f>
        <v>0.38717339667458434</v>
      </c>
      <c r="F110" s="182">
        <f>IF(OR(ISBLANK(F9),ISBLANK('Section 47 Enquiries'!F9)),NA(),F9/'Section 47 Enquiries'!F9)</f>
        <v>0.40101522842639592</v>
      </c>
      <c r="G110" s="182">
        <f>IF(OR(ISBLANK(G9),ISBLANK('Section 47 Enquiries'!G9)),NA(),G9/'Section 47 Enquiries'!G9)</f>
        <v>0.46607142857142858</v>
      </c>
      <c r="H110" s="184">
        <f>IF(OR(ISBLANK(H9),ISBLANK('Section 47 Enquiries'!H9)),NA(),H9/'Section 47 Enquiries'!H9)</f>
        <v>0.37183544303797467</v>
      </c>
      <c r="I110" s="115"/>
      <c r="J110" s="115"/>
      <c r="K110" s="186"/>
      <c r="L110" s="186"/>
      <c r="M110" s="186"/>
      <c r="N110" s="186"/>
      <c r="O110" s="186"/>
      <c r="P110" s="186"/>
      <c r="Q110" s="187"/>
      <c r="R110" s="177"/>
      <c r="S110" s="177"/>
      <c r="T110" s="186"/>
      <c r="U110" s="139"/>
      <c r="V110" s="154"/>
      <c r="W110" s="170"/>
      <c r="X110" s="215"/>
      <c r="Y110" s="215"/>
      <c r="Z110" s="88"/>
      <c r="AA110" s="88"/>
      <c r="AB110" s="88"/>
      <c r="AC110" s="88"/>
      <c r="AD110" s="88"/>
      <c r="AE110" s="217"/>
      <c r="AF110" s="217"/>
      <c r="AG110" s="217"/>
      <c r="AH110" s="217"/>
      <c r="AI110" s="232"/>
      <c r="AJ110" s="178"/>
    </row>
    <row r="111" spans="1:45" s="101" customFormat="1" ht="12.75" customHeight="1" x14ac:dyDescent="0.2">
      <c r="A111" s="533">
        <f>VLOOKUP(B111,Sheet1!$B$4:$C$25,2,FALSE)</f>
        <v>0</v>
      </c>
      <c r="B111" s="112" t="str">
        <f t="shared" ref="B111:B133" si="25">B10</f>
        <v>Brighton &amp; Hove</v>
      </c>
      <c r="C111" s="97"/>
      <c r="D111" s="182">
        <f>IF(OR(ISBLANK(D10),ISBLANK('Section 47 Enquiries'!D10)),NA(),D10/'Section 47 Enquiries'!D10)</f>
        <v>0.50353773584905659</v>
      </c>
      <c r="E111" s="182">
        <f>IF(OR(ISBLANK(E10),ISBLANK('Section 47 Enquiries'!E10)),NA(),E10/'Section 47 Enquiries'!E10)</f>
        <v>0.45472061657032753</v>
      </c>
      <c r="F111" s="182">
        <f>IF(OR(ISBLANK(F10),ISBLANK('Section 47 Enquiries'!F10)),NA(),F10/'Section 47 Enquiries'!F10)</f>
        <v>0.4759405074365704</v>
      </c>
      <c r="G111" s="182">
        <f>IF(OR(ISBLANK(G10),ISBLANK('Section 47 Enquiries'!G10)),NA(),G10/'Section 47 Enquiries'!G10)</f>
        <v>0.54577056778679023</v>
      </c>
      <c r="H111" s="184">
        <f>IF(OR(ISBLANK(H10),ISBLANK('Section 47 Enquiries'!H10)),NA(),H10/'Section 47 Enquiries'!H10)</f>
        <v>0.54721274175199086</v>
      </c>
      <c r="I111" s="115"/>
      <c r="J111" s="115"/>
      <c r="K111" s="186"/>
      <c r="L111" s="186"/>
      <c r="M111" s="186"/>
      <c r="N111" s="186"/>
      <c r="O111" s="186"/>
      <c r="P111" s="186"/>
      <c r="Q111" s="187"/>
      <c r="R111" s="177"/>
      <c r="S111" s="177"/>
      <c r="T111" s="186"/>
      <c r="U111" s="139"/>
      <c r="V111" s="154"/>
      <c r="W111" s="170"/>
      <c r="X111" s="215"/>
      <c r="Y111" s="215"/>
      <c r="Z111" s="88"/>
      <c r="AA111" s="88"/>
      <c r="AB111" s="88"/>
      <c r="AC111" s="88"/>
      <c r="AD111" s="88"/>
      <c r="AE111" s="217"/>
      <c r="AF111" s="217"/>
      <c r="AG111" s="217"/>
      <c r="AH111" s="217"/>
      <c r="AI111" s="232"/>
      <c r="AJ111" s="178"/>
    </row>
    <row r="112" spans="1:45" s="101" customFormat="1" ht="12.75" customHeight="1" x14ac:dyDescent="0.2">
      <c r="A112" s="533">
        <f>VLOOKUP(B112,Sheet1!$B$4:$C$25,2,FALSE)</f>
        <v>0</v>
      </c>
      <c r="B112" s="112" t="str">
        <f t="shared" si="25"/>
        <v>Buckinghamshire</v>
      </c>
      <c r="C112" s="97"/>
      <c r="D112" s="182">
        <f>IF(OR(ISBLANK(D11),ISBLANK('Section 47 Enquiries'!D11)),NA(),D11/'Section 47 Enquiries'!D11)</f>
        <v>0.36978579481397972</v>
      </c>
      <c r="E112" s="182">
        <f>IF(OR(ISBLANK(E11),ISBLANK('Section 47 Enquiries'!E11)),NA(),E11/'Section 47 Enquiries'!E11)</f>
        <v>0.29067121729237771</v>
      </c>
      <c r="F112" s="182">
        <f>IF(OR(ISBLANK(F11),ISBLANK('Section 47 Enquiries'!F11)),NA(),F11/'Section 47 Enquiries'!F11)</f>
        <v>0.3892931392931393</v>
      </c>
      <c r="G112" s="182">
        <f>IF(OR(ISBLANK(G11),ISBLANK('Section 47 Enquiries'!G11)),NA(),G11/'Section 47 Enquiries'!G11)</f>
        <v>0.33618012422360249</v>
      </c>
      <c r="H112" s="184">
        <f>IF(OR(ISBLANK(H11),ISBLANK('Section 47 Enquiries'!H11)),NA(),H11/'Section 47 Enquiries'!H11)</f>
        <v>0.34870550161812297</v>
      </c>
      <c r="I112" s="115"/>
      <c r="J112" s="115"/>
      <c r="K112" s="186"/>
      <c r="L112" s="186"/>
      <c r="M112" s="186"/>
      <c r="N112" s="186"/>
      <c r="O112" s="186"/>
      <c r="P112" s="186"/>
      <c r="Q112" s="187"/>
      <c r="R112" s="177"/>
      <c r="S112" s="177"/>
      <c r="T112" s="186"/>
      <c r="U112" s="139"/>
      <c r="V112" s="154"/>
      <c r="W112" s="170"/>
      <c r="X112" s="215"/>
      <c r="Y112" s="215"/>
      <c r="Z112" s="88"/>
      <c r="AA112" s="88"/>
      <c r="AB112" s="88"/>
      <c r="AC112" s="88"/>
      <c r="AD112" s="88"/>
      <c r="AE112" s="217"/>
      <c r="AF112" s="217"/>
      <c r="AG112" s="217"/>
      <c r="AH112" s="217"/>
      <c r="AI112" s="232"/>
      <c r="AJ112" s="178"/>
    </row>
    <row r="113" spans="1:44" s="101" customFormat="1" ht="12.75" customHeight="1" x14ac:dyDescent="0.2">
      <c r="A113" s="533">
        <f>VLOOKUP(B113,Sheet1!$B$4:$C$25,2,FALSE)</f>
        <v>0</v>
      </c>
      <c r="B113" s="112" t="str">
        <f t="shared" si="25"/>
        <v>East Sussex</v>
      </c>
      <c r="C113" s="97"/>
      <c r="D113" s="182">
        <f>IF(OR(ISBLANK(D12),ISBLANK('Section 47 Enquiries'!D12)),NA(),D12/'Section 47 Enquiries'!D12)</f>
        <v>0.46554252199413487</v>
      </c>
      <c r="E113" s="182">
        <f>IF(OR(ISBLANK(E12),ISBLANK('Section 47 Enquiries'!E12)),NA(),E12/'Section 47 Enquiries'!E12)</f>
        <v>0.62814070351758799</v>
      </c>
      <c r="F113" s="182">
        <f>IF(OR(ISBLANK(F12),ISBLANK('Section 47 Enquiries'!F12)),NA(),F12/'Section 47 Enquiries'!F12)</f>
        <v>0.55645161290322576</v>
      </c>
      <c r="G113" s="182">
        <f>IF(OR(ISBLANK(G12),ISBLANK('Section 47 Enquiries'!G12)),NA(),G12/'Section 47 Enquiries'!G12)</f>
        <v>0.55634427684117127</v>
      </c>
      <c r="H113" s="184">
        <f>IF(OR(ISBLANK(H12),ISBLANK('Section 47 Enquiries'!H12)),NA(),H12/'Section 47 Enquiries'!H12)</f>
        <v>0.53298350824587704</v>
      </c>
      <c r="I113" s="115"/>
      <c r="J113" s="115"/>
      <c r="K113" s="186"/>
      <c r="L113" s="186"/>
      <c r="M113" s="186"/>
      <c r="N113" s="186"/>
      <c r="O113" s="186"/>
      <c r="P113" s="186"/>
      <c r="Q113" s="187"/>
      <c r="R113" s="177"/>
      <c r="S113" s="177"/>
      <c r="T113" s="186"/>
      <c r="U113" s="139"/>
      <c r="V113" s="154"/>
      <c r="W113" s="170"/>
      <c r="X113" s="215"/>
      <c r="Y113" s="215"/>
      <c r="Z113" s="88"/>
      <c r="AA113" s="88"/>
      <c r="AB113" s="88"/>
      <c r="AC113" s="88"/>
      <c r="AD113" s="88"/>
      <c r="AE113" s="217"/>
      <c r="AF113" s="217"/>
      <c r="AG113" s="217"/>
      <c r="AH113" s="217"/>
      <c r="AI113" s="232"/>
      <c r="AJ113" s="178"/>
    </row>
    <row r="114" spans="1:44" s="101" customFormat="1" ht="12.75" customHeight="1" x14ac:dyDescent="0.2">
      <c r="A114" s="533">
        <f>VLOOKUP(B114,Sheet1!$B$4:$C$25,2,FALSE)</f>
        <v>0</v>
      </c>
      <c r="B114" s="112" t="str">
        <f t="shared" si="25"/>
        <v>Hampshire</v>
      </c>
      <c r="C114" s="97"/>
      <c r="D114" s="182">
        <f>IF(OR(ISBLANK(D13),ISBLANK('Section 47 Enquiries'!D13)),NA(),D13/'Section 47 Enquiries'!D13)</f>
        <v>0.55426497277676956</v>
      </c>
      <c r="E114" s="182">
        <f>IF(OR(ISBLANK(E13),ISBLANK('Section 47 Enquiries'!E13)),NA(),E13/'Section 47 Enquiries'!E13)</f>
        <v>0.45727882327492969</v>
      </c>
      <c r="F114" s="182">
        <f>IF(OR(ISBLANK(F13),ISBLANK('Section 47 Enquiries'!F13)),NA(),F13/'Section 47 Enquiries'!F13)</f>
        <v>0.45432807269249165</v>
      </c>
      <c r="G114" s="182">
        <f>IF(OR(ISBLANK(G13),ISBLANK('Section 47 Enquiries'!G13)),NA(),G13/'Section 47 Enquiries'!G13)</f>
        <v>0.44383756827356924</v>
      </c>
      <c r="H114" s="184">
        <f>IF(OR(ISBLANK(H13),ISBLANK('Section 47 Enquiries'!H13)),NA(),H13/'Section 47 Enquiries'!H13)</f>
        <v>0.46409989594172735</v>
      </c>
      <c r="I114" s="115"/>
      <c r="J114" s="115"/>
      <c r="K114" s="186"/>
      <c r="L114" s="186"/>
      <c r="M114" s="186"/>
      <c r="N114" s="186"/>
      <c r="O114" s="186"/>
      <c r="P114" s="186"/>
      <c r="Q114" s="187"/>
      <c r="R114" s="177"/>
      <c r="S114" s="177"/>
      <c r="T114" s="186"/>
      <c r="U114" s="139"/>
      <c r="V114" s="154"/>
      <c r="W114" s="170"/>
      <c r="X114" s="215"/>
      <c r="Y114" s="215"/>
      <c r="Z114" s="88"/>
      <c r="AA114" s="88"/>
      <c r="AB114" s="88"/>
      <c r="AC114" s="88"/>
      <c r="AD114" s="88"/>
      <c r="AE114" s="217"/>
      <c r="AF114" s="217"/>
      <c r="AG114" s="217"/>
      <c r="AH114" s="217"/>
      <c r="AI114" s="232"/>
      <c r="AJ114" s="178"/>
    </row>
    <row r="115" spans="1:44" s="101" customFormat="1" ht="12.75" customHeight="1" x14ac:dyDescent="0.2">
      <c r="A115" s="533">
        <f>VLOOKUP(B115,Sheet1!$B$4:$C$25,2,FALSE)</f>
        <v>0</v>
      </c>
      <c r="B115" s="112" t="str">
        <f t="shared" si="25"/>
        <v>Isle of Wight</v>
      </c>
      <c r="C115" s="97"/>
      <c r="D115" s="182">
        <f>IF(OR(ISBLANK(D14),ISBLANK('Section 47 Enquiries'!D14)),NA(),D14/'Section 47 Enquiries'!D14)</f>
        <v>0.50297029702970297</v>
      </c>
      <c r="E115" s="182">
        <f>IF(OR(ISBLANK(E14),ISBLANK('Section 47 Enquiries'!E14)),NA(),E14/'Section 47 Enquiries'!E14)</f>
        <v>0.4506849315068493</v>
      </c>
      <c r="F115" s="182">
        <f>IF(OR(ISBLANK(F14),ISBLANK('Section 47 Enquiries'!F14)),NA(),F14/'Section 47 Enquiries'!F14)</f>
        <v>0.55473372781065089</v>
      </c>
      <c r="G115" s="182">
        <f>IF(OR(ISBLANK(G14),ISBLANK('Section 47 Enquiries'!G14)),NA(),G14/'Section 47 Enquiries'!G14)</f>
        <v>0.52459016393442626</v>
      </c>
      <c r="H115" s="184">
        <f>IF(OR(ISBLANK(H14),ISBLANK('Section 47 Enquiries'!H14)),NA(),H14/'Section 47 Enquiries'!H14)</f>
        <v>0.48653500897666069</v>
      </c>
      <c r="I115" s="115"/>
      <c r="J115" s="115"/>
      <c r="K115" s="186"/>
      <c r="L115" s="186"/>
      <c r="M115" s="186"/>
      <c r="N115" s="186"/>
      <c r="O115" s="186"/>
      <c r="P115" s="186"/>
      <c r="Q115" s="187"/>
      <c r="R115" s="177"/>
      <c r="S115" s="177"/>
      <c r="T115" s="186"/>
      <c r="U115" s="139"/>
      <c r="V115" s="154"/>
      <c r="W115" s="170"/>
      <c r="X115" s="215"/>
      <c r="Y115" s="215"/>
      <c r="Z115" s="88"/>
      <c r="AA115" s="88"/>
      <c r="AB115" s="88"/>
      <c r="AC115" s="88"/>
      <c r="AD115" s="88"/>
      <c r="AE115" s="217"/>
      <c r="AF115" s="217"/>
      <c r="AG115" s="217"/>
      <c r="AH115" s="217"/>
      <c r="AI115" s="232"/>
      <c r="AJ115" s="178"/>
      <c r="AR115" s="101" t="s">
        <v>104</v>
      </c>
    </row>
    <row r="116" spans="1:44" s="101" customFormat="1" ht="12.75" customHeight="1" x14ac:dyDescent="0.2">
      <c r="A116" s="533">
        <f>VLOOKUP(B116,Sheet1!$B$4:$C$25,2,FALSE)</f>
        <v>0</v>
      </c>
      <c r="B116" s="112" t="str">
        <f t="shared" si="25"/>
        <v>Kent</v>
      </c>
      <c r="C116" s="97"/>
      <c r="D116" s="182">
        <f>IF(OR(ISBLANK(D15),ISBLANK('Section 47 Enquiries'!D15)),NA(),D15/'Section 47 Enquiries'!D15)</f>
        <v>0.38975888640318168</v>
      </c>
      <c r="E116" s="182">
        <f>IF(OR(ISBLANK(E15),ISBLANK('Section 47 Enquiries'!E15)),NA(),E15/'Section 47 Enquiries'!E15)</f>
        <v>0.4117242958552782</v>
      </c>
      <c r="F116" s="182">
        <f>IF(OR(ISBLANK(F15),ISBLANK('Section 47 Enquiries'!F15)),NA(),F15/'Section 47 Enquiries'!F15)</f>
        <v>0.3254201680672269</v>
      </c>
      <c r="G116" s="182">
        <f>IF(OR(ISBLANK(G15),ISBLANK('Section 47 Enquiries'!G15)),NA(),G15/'Section 47 Enquiries'!G15)</f>
        <v>0.30533415082771304</v>
      </c>
      <c r="H116" s="184">
        <f>IF(OR(ISBLANK(H15),ISBLANK('Section 47 Enquiries'!H15)),NA(),H15/'Section 47 Enquiries'!H15)</f>
        <v>0.28151461894871388</v>
      </c>
      <c r="I116" s="115"/>
      <c r="J116" s="115"/>
      <c r="K116" s="186"/>
      <c r="L116" s="186"/>
      <c r="M116" s="186"/>
      <c r="N116" s="186"/>
      <c r="O116" s="186"/>
      <c r="P116" s="186"/>
      <c r="Q116" s="187"/>
      <c r="R116" s="177"/>
      <c r="S116" s="177"/>
      <c r="T116" s="186"/>
      <c r="U116" s="139"/>
      <c r="V116" s="154"/>
      <c r="W116" s="170"/>
      <c r="X116" s="215"/>
      <c r="Y116" s="215"/>
      <c r="Z116" s="88"/>
      <c r="AA116" s="88"/>
      <c r="AB116" s="88"/>
      <c r="AC116" s="88"/>
      <c r="AD116" s="88"/>
      <c r="AE116" s="217"/>
      <c r="AF116" s="217"/>
      <c r="AG116" s="217"/>
      <c r="AH116" s="217"/>
      <c r="AI116" s="232"/>
      <c r="AJ116" s="178"/>
    </row>
    <row r="117" spans="1:44" s="101" customFormat="1" ht="12.75" customHeight="1" x14ac:dyDescent="0.2">
      <c r="A117" s="533">
        <f>VLOOKUP(B117,Sheet1!$B$4:$C$25,2,FALSE)</f>
        <v>0</v>
      </c>
      <c r="B117" s="112" t="str">
        <f t="shared" si="25"/>
        <v>Medway</v>
      </c>
      <c r="C117" s="97"/>
      <c r="D117" s="182">
        <f>IF(OR(ISBLANK(D16),ISBLANK('Section 47 Enquiries'!D16)),NA(),D16/'Section 47 Enquiries'!D16)</f>
        <v>0.49597238204833144</v>
      </c>
      <c r="E117" s="182">
        <f>IF(OR(ISBLANK(E16),ISBLANK('Section 47 Enquiries'!E16)),NA(),E16/'Section 47 Enquiries'!E16)</f>
        <v>0.40026420079260239</v>
      </c>
      <c r="F117" s="182">
        <f>IF(OR(ISBLANK(F16),ISBLANK('Section 47 Enquiries'!F16)),NA(),F16/'Section 47 Enquiries'!F16)</f>
        <v>0.37216431637032493</v>
      </c>
      <c r="G117" s="182">
        <f>IF(OR(ISBLANK(G16),ISBLANK('Section 47 Enquiries'!G16)),NA(),G16/'Section 47 Enquiries'!G16)</f>
        <v>0.32742537313432835</v>
      </c>
      <c r="H117" s="184">
        <f>IF(OR(ISBLANK(H16),ISBLANK('Section 47 Enquiries'!H16)),NA(),H16/'Section 47 Enquiries'!H16)</f>
        <v>0.34123624047417445</v>
      </c>
      <c r="I117" s="115"/>
      <c r="J117" s="115"/>
      <c r="K117" s="186"/>
      <c r="L117" s="186"/>
      <c r="M117" s="186"/>
      <c r="N117" s="186"/>
      <c r="O117" s="186"/>
      <c r="P117" s="186"/>
      <c r="Q117" s="187"/>
      <c r="R117" s="177"/>
      <c r="S117" s="177"/>
      <c r="T117" s="186"/>
      <c r="U117" s="139"/>
      <c r="V117" s="154"/>
      <c r="W117" s="170"/>
      <c r="X117" s="215"/>
      <c r="Y117" s="215"/>
      <c r="Z117" s="88"/>
      <c r="AA117" s="88"/>
      <c r="AB117" s="88"/>
      <c r="AC117" s="88"/>
      <c r="AD117" s="88"/>
      <c r="AE117" s="217"/>
      <c r="AF117" s="217"/>
      <c r="AG117" s="217"/>
      <c r="AH117" s="217"/>
      <c r="AI117" s="232"/>
      <c r="AJ117" s="178"/>
    </row>
    <row r="118" spans="1:44" s="101" customFormat="1" ht="12.75" customHeight="1" x14ac:dyDescent="0.2">
      <c r="A118" s="533">
        <f>VLOOKUP(B118,Sheet1!$B$4:$C$25,2,FALSE)</f>
        <v>0</v>
      </c>
      <c r="B118" s="112" t="str">
        <f t="shared" si="25"/>
        <v>Milton Keynes</v>
      </c>
      <c r="C118" s="97"/>
      <c r="D118" s="182">
        <f>IF(OR(ISBLANK(D17),ISBLANK('Section 47 Enquiries'!D17)),NA(),D17/'Section 47 Enquiries'!D17)</f>
        <v>0.13721804511278196</v>
      </c>
      <c r="E118" s="182">
        <f>IF(OR(ISBLANK(E17),ISBLANK('Section 47 Enquiries'!E17)),NA(),E17/'Section 47 Enquiries'!E17)</f>
        <v>0.2118491921005386</v>
      </c>
      <c r="F118" s="182">
        <f>IF(OR(ISBLANK(F17),ISBLANK('Section 47 Enquiries'!F17)),NA(),F17/'Section 47 Enquiries'!F17)</f>
        <v>0.210896309314587</v>
      </c>
      <c r="G118" s="182">
        <f>IF(OR(ISBLANK(G17),ISBLANK('Section 47 Enquiries'!G17)),NA(),G17/'Section 47 Enquiries'!G17)</f>
        <v>0.18943298969072164</v>
      </c>
      <c r="H118" s="184">
        <f>IF(OR(ISBLANK(H17),ISBLANK('Section 47 Enquiries'!H17)),NA(),H17/'Section 47 Enquiries'!H17)</f>
        <v>0.31362007168458783</v>
      </c>
      <c r="I118" s="115"/>
      <c r="J118" s="115"/>
      <c r="K118" s="186"/>
      <c r="L118" s="186"/>
      <c r="M118" s="186"/>
      <c r="N118" s="186"/>
      <c r="O118" s="186"/>
      <c r="P118" s="186"/>
      <c r="Q118" s="187"/>
      <c r="R118" s="177"/>
      <c r="S118" s="177"/>
      <c r="T118" s="186"/>
      <c r="U118" s="139"/>
      <c r="V118" s="154"/>
      <c r="W118" s="170"/>
      <c r="X118" s="215"/>
      <c r="Y118" s="215"/>
      <c r="Z118" s="88"/>
      <c r="AA118" s="88"/>
      <c r="AB118" s="88"/>
      <c r="AC118" s="88"/>
      <c r="AD118" s="88"/>
      <c r="AE118" s="217"/>
      <c r="AF118" s="217"/>
      <c r="AG118" s="217"/>
      <c r="AH118" s="217"/>
      <c r="AI118" s="232"/>
      <c r="AJ118" s="178"/>
    </row>
    <row r="119" spans="1:44" s="101" customFormat="1" ht="12.75" customHeight="1" x14ac:dyDescent="0.2">
      <c r="A119" s="533">
        <f>VLOOKUP(B119,Sheet1!$B$4:$C$25,2,FALSE)</f>
        <v>0</v>
      </c>
      <c r="B119" s="112" t="str">
        <f t="shared" si="25"/>
        <v>Oxfordshire</v>
      </c>
      <c r="C119" s="97"/>
      <c r="D119" s="182">
        <f>IF(OR(ISBLANK(D18),ISBLANK('Section 47 Enquiries'!D18)),NA(),D18/'Section 47 Enquiries'!D18)</f>
        <v>0.39001264222503162</v>
      </c>
      <c r="E119" s="182">
        <f>IF(OR(ISBLANK(E18),ISBLANK('Section 47 Enquiries'!E18)),NA(),E18/'Section 47 Enquiries'!E18)</f>
        <v>0.45719720989220036</v>
      </c>
      <c r="F119" s="182">
        <f>IF(OR(ISBLANK(F18),ISBLANK('Section 47 Enquiries'!F18)),NA(),F18/'Section 47 Enquiries'!F18)</f>
        <v>0.41738197424892703</v>
      </c>
      <c r="G119" s="182">
        <f>IF(OR(ISBLANK(G18),ISBLANK('Section 47 Enquiries'!G18)),NA(),G18/'Section 47 Enquiries'!G18)</f>
        <v>0.47767393561786087</v>
      </c>
      <c r="H119" s="184">
        <f>IF(OR(ISBLANK(H18),ISBLANK('Section 47 Enquiries'!H18)),NA(),H18/'Section 47 Enquiries'!H18)</f>
        <v>0.48642659279778394</v>
      </c>
      <c r="I119" s="115"/>
      <c r="J119" s="115"/>
      <c r="K119" s="186"/>
      <c r="L119" s="186"/>
      <c r="M119" s="186"/>
      <c r="N119" s="186"/>
      <c r="O119" s="186"/>
      <c r="P119" s="186"/>
      <c r="Q119" s="187"/>
      <c r="R119" s="177"/>
      <c r="S119" s="177"/>
      <c r="T119" s="186"/>
      <c r="U119" s="139"/>
      <c r="V119" s="154"/>
      <c r="W119" s="170"/>
      <c r="X119" s="215"/>
      <c r="Y119" s="215"/>
      <c r="Z119" s="88"/>
      <c r="AA119" s="88"/>
      <c r="AB119" s="88"/>
      <c r="AC119" s="88"/>
      <c r="AD119" s="88"/>
      <c r="AE119" s="217"/>
      <c r="AF119" s="217"/>
      <c r="AG119" s="217"/>
      <c r="AH119" s="217"/>
      <c r="AI119" s="232"/>
      <c r="AJ119" s="178"/>
    </row>
    <row r="120" spans="1:44" s="101" customFormat="1" ht="12.75" customHeight="1" x14ac:dyDescent="0.2">
      <c r="A120" s="533">
        <f>VLOOKUP(B120,Sheet1!$B$4:$C$25,2,FALSE)</f>
        <v>0</v>
      </c>
      <c r="B120" s="112" t="str">
        <f t="shared" si="25"/>
        <v>Portsmouth</v>
      </c>
      <c r="C120" s="97"/>
      <c r="D120" s="182">
        <f>IF(OR(ISBLANK(D19),ISBLANK('Section 47 Enquiries'!D19)),NA(),D19/'Section 47 Enquiries'!D19)</f>
        <v>0.26509723643807576</v>
      </c>
      <c r="E120" s="182">
        <f>IF(OR(ISBLANK(E19),ISBLANK('Section 47 Enquiries'!E19)),NA(),E19/'Section 47 Enquiries'!E19)</f>
        <v>0.26598702502316962</v>
      </c>
      <c r="F120" s="182">
        <f>IF(OR(ISBLANK(F19),ISBLANK('Section 47 Enquiries'!F19)),NA(),F19/'Section 47 Enquiries'!F19)</f>
        <v>0.29268292682926828</v>
      </c>
      <c r="G120" s="182">
        <f>IF(OR(ISBLANK(G19),ISBLANK('Section 47 Enquiries'!G19)),NA(),G19/'Section 47 Enquiries'!G19)</f>
        <v>0.24112903225806451</v>
      </c>
      <c r="H120" s="184">
        <f>IF(OR(ISBLANK(H19),ISBLANK('Section 47 Enquiries'!H19)),NA(),H19/'Section 47 Enquiries'!H19)</f>
        <v>0.30146341463414633</v>
      </c>
      <c r="I120" s="115"/>
      <c r="J120" s="115"/>
      <c r="K120" s="186"/>
      <c r="L120" s="186"/>
      <c r="M120" s="186"/>
      <c r="N120" s="186"/>
      <c r="O120" s="186"/>
      <c r="P120" s="186"/>
      <c r="Q120" s="187"/>
      <c r="R120" s="177"/>
      <c r="S120" s="177"/>
      <c r="T120" s="186"/>
      <c r="U120" s="139"/>
      <c r="V120" s="154"/>
      <c r="W120" s="170"/>
      <c r="X120" s="215"/>
      <c r="Y120" s="215"/>
      <c r="Z120" s="88"/>
      <c r="AA120" s="88"/>
      <c r="AB120" s="88"/>
      <c r="AC120" s="88"/>
      <c r="AD120" s="88"/>
      <c r="AE120" s="217"/>
      <c r="AF120" s="217"/>
      <c r="AG120" s="217"/>
      <c r="AH120" s="217"/>
      <c r="AI120" s="232"/>
      <c r="AJ120" s="178"/>
    </row>
    <row r="121" spans="1:44" s="101" customFormat="1" ht="12.75" customHeight="1" x14ac:dyDescent="0.2">
      <c r="A121" s="533">
        <f>VLOOKUP(B121,Sheet1!$B$4:$C$25,2,FALSE)</f>
        <v>0</v>
      </c>
      <c r="B121" s="112" t="str">
        <f t="shared" si="25"/>
        <v>Reading</v>
      </c>
      <c r="C121" s="97"/>
      <c r="D121" s="182">
        <f>IF(OR(ISBLANK(D20),ISBLANK('Section 47 Enquiries'!D20)),NA(),D20/'Section 47 Enquiries'!D20)</f>
        <v>0.4111310592459605</v>
      </c>
      <c r="E121" s="182">
        <f>IF(OR(ISBLANK(E20),ISBLANK('Section 47 Enquiries'!E20)),NA(),E20/'Section 47 Enquiries'!E20)</f>
        <v>0.51986183074265979</v>
      </c>
      <c r="F121" s="182">
        <f>IF(OR(ISBLANK(F20),ISBLANK('Section 47 Enquiries'!F20)),NA(),F20/'Section 47 Enquiries'!F20)</f>
        <v>0.44193216855087358</v>
      </c>
      <c r="G121" s="182">
        <f>IF(OR(ISBLANK(G20),ISBLANK('Section 47 Enquiries'!G20)),NA(),G20/'Section 47 Enquiries'!G20)</f>
        <v>0.48440366972477067</v>
      </c>
      <c r="H121" s="184">
        <f>IF(OR(ISBLANK(H20),ISBLANK('Section 47 Enquiries'!H20)),NA(),H20/'Section 47 Enquiries'!H20)</f>
        <v>0.49404761904761907</v>
      </c>
      <c r="I121" s="115"/>
      <c r="J121" s="115"/>
      <c r="K121" s="186"/>
      <c r="L121" s="186"/>
      <c r="M121" s="186"/>
      <c r="N121" s="186"/>
      <c r="O121" s="186"/>
      <c r="P121" s="186"/>
      <c r="Q121" s="187"/>
      <c r="R121" s="177"/>
      <c r="S121" s="177"/>
      <c r="T121" s="186"/>
      <c r="U121" s="139"/>
      <c r="V121" s="154"/>
      <c r="W121" s="170"/>
      <c r="X121" s="215"/>
      <c r="Y121" s="215"/>
      <c r="Z121" s="88"/>
      <c r="AA121" s="88"/>
      <c r="AB121" s="88"/>
      <c r="AC121" s="88"/>
      <c r="AD121" s="88"/>
      <c r="AE121" s="217"/>
      <c r="AF121" s="217"/>
      <c r="AG121" s="217"/>
      <c r="AH121" s="217"/>
      <c r="AI121" s="232"/>
      <c r="AJ121" s="178"/>
    </row>
    <row r="122" spans="1:44" s="101" customFormat="1" ht="12.75" customHeight="1" x14ac:dyDescent="0.2">
      <c r="A122" s="533">
        <f>VLOOKUP(B122,Sheet1!$B$4:$C$25,2,FALSE)</f>
        <v>0</v>
      </c>
      <c r="B122" s="112" t="str">
        <f t="shared" si="25"/>
        <v>Slough</v>
      </c>
      <c r="C122" s="97"/>
      <c r="D122" s="182">
        <f>IF(OR(ISBLANK(D21),ISBLANK('Section 47 Enquiries'!D21)),NA(),D21/'Section 47 Enquiries'!D21)</f>
        <v>0.43722466960352424</v>
      </c>
      <c r="E122" s="182">
        <f>IF(OR(ISBLANK(E21),ISBLANK('Section 47 Enquiries'!E21)),NA(),E21/'Section 47 Enquiries'!E21)</f>
        <v>0.4068157614483493</v>
      </c>
      <c r="F122" s="182">
        <f>IF(OR(ISBLANK(F21),ISBLANK('Section 47 Enquiries'!F21)),NA(),F21/'Section 47 Enquiries'!F21)</f>
        <v>0.39</v>
      </c>
      <c r="G122" s="182">
        <f>IF(OR(ISBLANK(G21),ISBLANK('Section 47 Enquiries'!G21)),NA(),G21/'Section 47 Enquiries'!G21)</f>
        <v>0.38584474885844749</v>
      </c>
      <c r="H122" s="184">
        <f>IF(OR(ISBLANK(H21),ISBLANK('Section 47 Enquiries'!H21)),NA(),H21/'Section 47 Enquiries'!H21)</f>
        <v>0.38700564971751411</v>
      </c>
      <c r="I122" s="115"/>
      <c r="J122" s="115"/>
      <c r="K122" s="186"/>
      <c r="L122" s="186"/>
      <c r="M122" s="186"/>
      <c r="N122" s="186"/>
      <c r="O122" s="186"/>
      <c r="P122" s="186"/>
      <c r="Q122" s="187"/>
      <c r="R122" s="177"/>
      <c r="S122" s="177"/>
      <c r="T122" s="186"/>
      <c r="U122" s="139"/>
      <c r="V122" s="154"/>
      <c r="W122" s="170"/>
      <c r="X122" s="215"/>
      <c r="Y122" s="215"/>
      <c r="Z122" s="88"/>
      <c r="AA122" s="88"/>
      <c r="AB122" s="88"/>
      <c r="AC122" s="88"/>
      <c r="AD122" s="88"/>
      <c r="AE122" s="217"/>
      <c r="AF122" s="217"/>
      <c r="AG122" s="217"/>
      <c r="AH122" s="217"/>
      <c r="AI122" s="232"/>
      <c r="AJ122" s="178"/>
    </row>
    <row r="123" spans="1:44" s="101" customFormat="1" ht="12.75" customHeight="1" x14ac:dyDescent="0.2">
      <c r="A123" s="533">
        <f>VLOOKUP(B123,Sheet1!$B$4:$C$25,2,FALSE)</f>
        <v>0</v>
      </c>
      <c r="B123" s="112" t="str">
        <f t="shared" si="25"/>
        <v>Somerset</v>
      </c>
      <c r="C123" s="97"/>
      <c r="D123" s="182">
        <f>IF(OR(ISBLANK(D22),ISBLANK('Section 47 Enquiries'!D22)),NA(),D22/'Section 47 Enquiries'!D22)</f>
        <v>0.35493827160493829</v>
      </c>
      <c r="E123" s="182">
        <f>IF(OR(ISBLANK(E22),ISBLANK('Section 47 Enquiries'!E22)),NA(),E22/'Section 47 Enquiries'!E22)</f>
        <v>0.34639882410583045</v>
      </c>
      <c r="F123" s="182">
        <f>IF(OR(ISBLANK(F22),ISBLANK('Section 47 Enquiries'!F22)),NA(),F22/'Section 47 Enquiries'!F22)</f>
        <v>0.36854279105628374</v>
      </c>
      <c r="G123" s="182">
        <f>IF(OR(ISBLANK(G22),ISBLANK('Section 47 Enquiries'!G22)),NA(),G22/'Section 47 Enquiries'!G22)</f>
        <v>0.41915028535193405</v>
      </c>
      <c r="H123" s="184">
        <f>IF(OR(ISBLANK(H22),ISBLANK('Section 47 Enquiries'!H22)),NA(),H22/'Section 47 Enquiries'!H22)</f>
        <v>0.3832570307390451</v>
      </c>
      <c r="I123" s="115"/>
      <c r="J123" s="115"/>
      <c r="K123" s="186"/>
      <c r="L123" s="186"/>
      <c r="M123" s="186"/>
      <c r="N123" s="186"/>
      <c r="O123" s="186"/>
      <c r="P123" s="186"/>
      <c r="Q123" s="187"/>
      <c r="R123" s="177"/>
      <c r="S123" s="177"/>
      <c r="T123" s="186"/>
      <c r="U123" s="139"/>
      <c r="V123" s="154"/>
      <c r="W123" s="170"/>
      <c r="X123" s="215"/>
      <c r="Y123" s="215"/>
      <c r="Z123" s="88"/>
      <c r="AA123" s="88"/>
      <c r="AB123" s="88"/>
      <c r="AC123" s="88"/>
      <c r="AD123" s="88"/>
      <c r="AE123" s="217"/>
      <c r="AF123" s="217"/>
      <c r="AG123" s="217"/>
      <c r="AH123" s="217"/>
      <c r="AI123" s="232"/>
      <c r="AJ123" s="178"/>
    </row>
    <row r="124" spans="1:44" s="101" customFormat="1" ht="12.75" customHeight="1" x14ac:dyDescent="0.2">
      <c r="A124" s="533">
        <f>VLOOKUP(B124,Sheet1!$B$4:$C$25,2,FALSE)</f>
        <v>0</v>
      </c>
      <c r="B124" s="112" t="str">
        <f t="shared" si="25"/>
        <v>Southampton</v>
      </c>
      <c r="C124" s="97"/>
      <c r="D124" s="182">
        <f>IF(OR(ISBLANK(D23),ISBLANK('Section 47 Enquiries'!D23)),NA(),D23/'Section 47 Enquiries'!D23)</f>
        <v>0.2977491961414791</v>
      </c>
      <c r="E124" s="182">
        <f>IF(OR(ISBLANK(E23),ISBLANK('Section 47 Enquiries'!E23)),NA(),E23/'Section 47 Enquiries'!E23)</f>
        <v>0.23349056603773585</v>
      </c>
      <c r="F124" s="182">
        <f>IF(OR(ISBLANK(F23),ISBLANK('Section 47 Enquiries'!F23)),NA(),F23/'Section 47 Enquiries'!F23)</f>
        <v>0.29396186440677968</v>
      </c>
      <c r="G124" s="182">
        <f>IF(OR(ISBLANK(G23),ISBLANK('Section 47 Enquiries'!G23)),NA(),G23/'Section 47 Enquiries'!G23)</f>
        <v>0.34245562130177515</v>
      </c>
      <c r="H124" s="184">
        <f>IF(OR(ISBLANK(H23),ISBLANK('Section 47 Enquiries'!H23)),NA(),H23/'Section 47 Enquiries'!H23)</f>
        <v>0.30378250591016548</v>
      </c>
      <c r="I124" s="115"/>
      <c r="J124" s="115"/>
      <c r="K124" s="186"/>
      <c r="L124" s="186"/>
      <c r="M124" s="186"/>
      <c r="N124" s="186"/>
      <c r="O124" s="186"/>
      <c r="P124" s="186"/>
      <c r="Q124" s="187"/>
      <c r="R124" s="177"/>
      <c r="S124" s="177"/>
      <c r="T124" s="186"/>
      <c r="U124" s="139"/>
      <c r="V124" s="154"/>
      <c r="W124" s="170"/>
      <c r="X124" s="215"/>
      <c r="Y124" s="215"/>
      <c r="Z124" s="88"/>
      <c r="AA124" s="88"/>
      <c r="AB124" s="88"/>
      <c r="AC124" s="88"/>
      <c r="AD124" s="88"/>
      <c r="AE124" s="217"/>
      <c r="AF124" s="217"/>
      <c r="AG124" s="217"/>
      <c r="AH124" s="217"/>
      <c r="AI124" s="232"/>
      <c r="AJ124" s="178"/>
    </row>
    <row r="125" spans="1:44" s="101" customFormat="1" ht="12.75" customHeight="1" x14ac:dyDescent="0.2">
      <c r="A125" s="533">
        <f>VLOOKUP(B125,Sheet1!$B$4:$C$25,2,FALSE)</f>
        <v>0</v>
      </c>
      <c r="B125" s="112" t="str">
        <f t="shared" si="25"/>
        <v>Surrey</v>
      </c>
      <c r="C125" s="97"/>
      <c r="D125" s="182">
        <f>IF(OR(ISBLANK(D24),ISBLANK('Section 47 Enquiries'!D24)),NA(),D24/'Section 47 Enquiries'!D24)</f>
        <v>0.42928134556574926</v>
      </c>
      <c r="E125" s="182">
        <f>IF(OR(ISBLANK(E24),ISBLANK('Section 47 Enquiries'!E24)),NA(),E24/'Section 47 Enquiries'!E24)</f>
        <v>0.37623152709359609</v>
      </c>
      <c r="F125" s="182">
        <f>IF(OR(ISBLANK(F24),ISBLANK('Section 47 Enquiries'!F24)),NA(),F24/'Section 47 Enquiries'!F24)</f>
        <v>0.27177545110269546</v>
      </c>
      <c r="G125" s="182">
        <f>IF(OR(ISBLANK(G24),ISBLANK('Section 47 Enquiries'!G24)),NA(),G24/'Section 47 Enquiries'!G24)</f>
        <v>0.316776007497657</v>
      </c>
      <c r="H125" s="184">
        <f>IF(OR(ISBLANK(H24),ISBLANK('Section 47 Enquiries'!H24)),NA(),H24/'Section 47 Enquiries'!H24)</f>
        <v>0.35654261704681872</v>
      </c>
      <c r="I125" s="115"/>
      <c r="J125" s="115"/>
      <c r="K125" s="186"/>
      <c r="L125" s="186"/>
      <c r="M125" s="186"/>
      <c r="N125" s="186"/>
      <c r="O125" s="186"/>
      <c r="P125" s="186"/>
      <c r="Q125" s="187"/>
      <c r="R125" s="177"/>
      <c r="S125" s="177"/>
      <c r="T125" s="186"/>
      <c r="U125" s="139"/>
      <c r="V125" s="154"/>
      <c r="W125" s="170"/>
      <c r="X125" s="215"/>
      <c r="Y125" s="215"/>
      <c r="Z125" s="88"/>
      <c r="AA125" s="88"/>
      <c r="AB125" s="88"/>
      <c r="AC125" s="88"/>
      <c r="AD125" s="88"/>
      <c r="AE125" s="217"/>
      <c r="AF125" s="217"/>
      <c r="AG125" s="217"/>
      <c r="AH125" s="217"/>
      <c r="AI125" s="232"/>
      <c r="AJ125" s="178"/>
    </row>
    <row r="126" spans="1:44" s="101" customFormat="1" ht="12.75" customHeight="1" x14ac:dyDescent="0.2">
      <c r="A126" s="533">
        <f>VLOOKUP(B126,Sheet1!$B$4:$C$25,2,FALSE)</f>
        <v>0</v>
      </c>
      <c r="B126" s="112" t="str">
        <f t="shared" si="25"/>
        <v>Swindon</v>
      </c>
      <c r="C126" s="97"/>
      <c r="D126" s="182">
        <f>IF(OR(ISBLANK(D25),ISBLANK('Section 47 Enquiries'!D25)),NA(),D25/'Section 47 Enquiries'!D25)</f>
        <v>0.59152215799614638</v>
      </c>
      <c r="E126" s="182">
        <f>IF(OR(ISBLANK(E25),ISBLANK('Section 47 Enquiries'!E25)),NA(),E25/'Section 47 Enquiries'!E25)</f>
        <v>0.53184165232358005</v>
      </c>
      <c r="F126" s="182">
        <f>IF(OR(ISBLANK(F25),ISBLANK('Section 47 Enquiries'!F25)),NA(),F25/'Section 47 Enquiries'!F25)</f>
        <v>0.4516971279373368</v>
      </c>
      <c r="G126" s="182">
        <f>IF(OR(ISBLANK(G25),ISBLANK('Section 47 Enquiries'!G25)),NA(),G25/'Section 47 Enquiries'!G25)</f>
        <v>0.42156862745098039</v>
      </c>
      <c r="H126" s="184">
        <f>IF(OR(ISBLANK(H25),ISBLANK('Section 47 Enquiries'!H25)),NA(),H25/'Section 47 Enquiries'!H25)</f>
        <v>0.56607495069033531</v>
      </c>
      <c r="I126" s="115"/>
      <c r="J126" s="115"/>
      <c r="K126" s="186"/>
      <c r="L126" s="186"/>
      <c r="M126" s="186"/>
      <c r="N126" s="186"/>
      <c r="O126" s="186"/>
      <c r="P126" s="186"/>
      <c r="Q126" s="187"/>
      <c r="R126" s="177"/>
      <c r="S126" s="177"/>
      <c r="T126" s="186"/>
      <c r="U126" s="139"/>
      <c r="V126" s="154"/>
      <c r="W126" s="170"/>
      <c r="X126" s="215"/>
      <c r="Y126" s="215"/>
      <c r="Z126" s="88"/>
      <c r="AA126" s="88"/>
      <c r="AB126" s="88"/>
      <c r="AC126" s="88"/>
      <c r="AD126" s="88"/>
      <c r="AE126" s="217"/>
      <c r="AF126" s="217"/>
      <c r="AG126" s="217"/>
      <c r="AH126" s="217"/>
      <c r="AI126" s="232"/>
      <c r="AJ126" s="178"/>
    </row>
    <row r="127" spans="1:44" s="101" customFormat="1" ht="12.75" customHeight="1" x14ac:dyDescent="0.2">
      <c r="A127" s="533">
        <f>VLOOKUP(B127,Sheet1!$B$4:$C$25,2,FALSE)</f>
        <v>0</v>
      </c>
      <c r="B127" s="112" t="str">
        <f t="shared" si="25"/>
        <v>Torbay</v>
      </c>
      <c r="C127" s="97"/>
      <c r="D127" s="182">
        <f>IF(OR(ISBLANK(D26),ISBLANK('Section 47 Enquiries'!D26)),NA(),D26/'Section 47 Enquiries'!D26)</f>
        <v>0.40204678362573099</v>
      </c>
      <c r="E127" s="182">
        <f>IF(OR(ISBLANK(E26),ISBLANK('Section 47 Enquiries'!E26)),NA(),E26/'Section 47 Enquiries'!E26)</f>
        <v>0.43396226415094341</v>
      </c>
      <c r="F127" s="182">
        <f>IF(OR(ISBLANK(F26),ISBLANK('Section 47 Enquiries'!F26)),NA(),F26/'Section 47 Enquiries'!F26)</f>
        <v>0.41191381495564006</v>
      </c>
      <c r="G127" s="182">
        <f>IF(OR(ISBLANK(G26),ISBLANK('Section 47 Enquiries'!G26)),NA(),G26/'Section 47 Enquiries'!G26)</f>
        <v>0.47631578947368419</v>
      </c>
      <c r="H127" s="184">
        <f>IF(OR(ISBLANK(H26),ISBLANK('Section 47 Enquiries'!H26)),NA(),H26/'Section 47 Enquiries'!H26)</f>
        <v>0.52312138728323698</v>
      </c>
      <c r="I127" s="115"/>
      <c r="J127" s="115"/>
      <c r="K127" s="186"/>
      <c r="L127" s="186"/>
      <c r="M127" s="186"/>
      <c r="N127" s="186"/>
      <c r="O127" s="186"/>
      <c r="P127" s="186"/>
      <c r="Q127" s="187"/>
      <c r="R127" s="177"/>
      <c r="S127" s="177"/>
      <c r="T127" s="186"/>
      <c r="U127" s="139"/>
      <c r="V127" s="154"/>
      <c r="W127" s="170"/>
      <c r="X127" s="215"/>
      <c r="Y127" s="215"/>
      <c r="Z127" s="88"/>
      <c r="AA127" s="88"/>
      <c r="AB127" s="88"/>
      <c r="AC127" s="88"/>
      <c r="AD127" s="88"/>
      <c r="AE127" s="217"/>
      <c r="AF127" s="217"/>
      <c r="AG127" s="217"/>
      <c r="AH127" s="217"/>
      <c r="AI127" s="232"/>
      <c r="AJ127" s="178"/>
    </row>
    <row r="128" spans="1:44" s="101" customFormat="1" ht="12.75" customHeight="1" x14ac:dyDescent="0.2">
      <c r="A128" s="533">
        <f>VLOOKUP(B128,Sheet1!$B$4:$C$25,2,FALSE)</f>
        <v>0</v>
      </c>
      <c r="B128" s="112" t="str">
        <f t="shared" si="25"/>
        <v>West Berkshire</v>
      </c>
      <c r="C128" s="97"/>
      <c r="D128" s="182">
        <f>IF(OR(ISBLANK(D27),ISBLANK('Section 47 Enquiries'!D27)),NA(),D27/'Section 47 Enquiries'!D27)</f>
        <v>0.40306122448979592</v>
      </c>
      <c r="E128" s="182">
        <f>IF(OR(ISBLANK(E27),ISBLANK('Section 47 Enquiries'!E27)),NA(),E27/'Section 47 Enquiries'!E27)</f>
        <v>0.41733870967741937</v>
      </c>
      <c r="F128" s="182">
        <f>IF(OR(ISBLANK(F27),ISBLANK('Section 47 Enquiries'!F27)),NA(),F27/'Section 47 Enquiries'!F27)</f>
        <v>0.37267080745341613</v>
      </c>
      <c r="G128" s="182">
        <f>IF(OR(ISBLANK(G27),ISBLANK('Section 47 Enquiries'!G27)),NA(),G27/'Section 47 Enquiries'!G27)</f>
        <v>0.44846292947558769</v>
      </c>
      <c r="H128" s="184">
        <f>IF(OR(ISBLANK(H27),ISBLANK('Section 47 Enquiries'!H27)),NA(),H27/'Section 47 Enquiries'!H27)</f>
        <v>0.44283413848631242</v>
      </c>
      <c r="I128" s="115"/>
      <c r="J128" s="115"/>
      <c r="K128" s="186"/>
      <c r="L128" s="186"/>
      <c r="M128" s="186"/>
      <c r="N128" s="186"/>
      <c r="O128" s="186"/>
      <c r="P128" s="186"/>
      <c r="Q128" s="187"/>
      <c r="R128" s="177"/>
      <c r="S128" s="177"/>
      <c r="T128" s="186"/>
      <c r="U128" s="139"/>
      <c r="V128" s="154"/>
      <c r="W128" s="170"/>
      <c r="X128" s="215"/>
      <c r="Y128" s="215"/>
      <c r="Z128" s="88"/>
      <c r="AA128" s="88"/>
      <c r="AB128" s="88"/>
      <c r="AC128" s="88"/>
      <c r="AD128" s="88"/>
      <c r="AE128" s="232"/>
      <c r="AF128" s="217"/>
      <c r="AG128" s="217"/>
      <c r="AH128" s="217"/>
      <c r="AI128" s="232"/>
      <c r="AJ128" s="178"/>
    </row>
    <row r="129" spans="1:45" s="101" customFormat="1" ht="12.75" customHeight="1" x14ac:dyDescent="0.2">
      <c r="A129" s="533">
        <f>VLOOKUP(B129,Sheet1!$B$4:$C$25,2,FALSE)</f>
        <v>0</v>
      </c>
      <c r="B129" s="112" t="str">
        <f t="shared" si="25"/>
        <v>West Sussex</v>
      </c>
      <c r="C129" s="97"/>
      <c r="D129" s="182">
        <f>IF(OR(ISBLANK(D28),ISBLANK('Section 47 Enquiries'!D28)),NA(),D28/'Section 47 Enquiries'!D28)</f>
        <v>0.41566985645933013</v>
      </c>
      <c r="E129" s="182">
        <f>IF(OR(ISBLANK(E28),ISBLANK('Section 47 Enquiries'!E28)),NA(),E28/'Section 47 Enquiries'!E28)</f>
        <v>0.43933265925176945</v>
      </c>
      <c r="F129" s="182">
        <f>IF(OR(ISBLANK(F28),ISBLANK('Section 47 Enquiries'!F28)),NA(),F28/'Section 47 Enquiries'!F28)</f>
        <v>0.37174515235457062</v>
      </c>
      <c r="G129" s="182">
        <f>IF(OR(ISBLANK(G28),ISBLANK('Section 47 Enquiries'!G28)),NA(),G28/'Section 47 Enquiries'!G28)</f>
        <v>0.31350852927616413</v>
      </c>
      <c r="H129" s="184">
        <f>IF(OR(ISBLANK(H28),ISBLANK('Section 47 Enquiries'!H28)),NA(),H28/'Section 47 Enquiries'!H28)</f>
        <v>0.3593073593073593</v>
      </c>
      <c r="I129" s="115"/>
      <c r="J129" s="115"/>
      <c r="K129" s="186"/>
      <c r="L129" s="186"/>
      <c r="M129" s="186"/>
      <c r="N129" s="186"/>
      <c r="O129" s="186"/>
      <c r="P129" s="186"/>
      <c r="Q129" s="187"/>
      <c r="R129" s="177"/>
      <c r="S129" s="177"/>
      <c r="T129" s="186"/>
      <c r="U129" s="139"/>
      <c r="V129" s="154"/>
      <c r="W129" s="170"/>
      <c r="X129" s="215"/>
      <c r="Y129" s="215"/>
      <c r="Z129" s="88"/>
      <c r="AA129" s="88"/>
      <c r="AB129" s="88"/>
      <c r="AC129" s="88"/>
      <c r="AD129" s="88"/>
      <c r="AE129" s="232"/>
      <c r="AF129" s="217"/>
      <c r="AG129" s="217"/>
      <c r="AH129" s="217"/>
      <c r="AI129" s="232"/>
      <c r="AJ129" s="178"/>
    </row>
    <row r="130" spans="1:45" s="101" customFormat="1" ht="12.75" customHeight="1" x14ac:dyDescent="0.2">
      <c r="A130" s="533">
        <f>VLOOKUP(B130,Sheet1!$B$4:$C$25,2,FALSE)</f>
        <v>0</v>
      </c>
      <c r="B130" s="112" t="str">
        <f t="shared" si="25"/>
        <v>Windsor &amp; Maidenhead</v>
      </c>
      <c r="C130" s="97"/>
      <c r="D130" s="182">
        <f>IF(OR(ISBLANK(D29),ISBLANK('Section 47 Enquiries'!D29)),NA(),D29/'Section 47 Enquiries'!D29)</f>
        <v>0.26943005181347152</v>
      </c>
      <c r="E130" s="182">
        <f>IF(OR(ISBLANK(E29),ISBLANK('Section 47 Enquiries'!E29)),NA(),E29/'Section 47 Enquiries'!E29)</f>
        <v>0.28615384615384615</v>
      </c>
      <c r="F130" s="182">
        <f>IF(OR(ISBLANK(F29),ISBLANK('Section 47 Enquiries'!F29)),NA(),F29/'Section 47 Enquiries'!F29)</f>
        <v>0.45766590389016021</v>
      </c>
      <c r="G130" s="182">
        <f>IF(OR(ISBLANK(G29),ISBLANK('Section 47 Enquiries'!G29)),NA(),G29/'Section 47 Enquiries'!G29)</f>
        <v>0.42450765864332601</v>
      </c>
      <c r="H130" s="184">
        <f>IF(OR(ISBLANK(H29),ISBLANK('Section 47 Enquiries'!H29)),NA(),H29/'Section 47 Enquiries'!H29)</f>
        <v>0.3914285714285714</v>
      </c>
      <c r="I130" s="115"/>
      <c r="J130" s="115"/>
      <c r="K130" s="186"/>
      <c r="L130" s="186"/>
      <c r="M130" s="186"/>
      <c r="N130" s="186"/>
      <c r="O130" s="186"/>
      <c r="P130" s="186"/>
      <c r="Q130" s="187"/>
      <c r="R130" s="177"/>
      <c r="S130" s="177"/>
      <c r="T130" s="186"/>
      <c r="U130" s="139"/>
      <c r="V130" s="154"/>
      <c r="W130" s="170"/>
      <c r="X130" s="215"/>
      <c r="Y130" s="215"/>
      <c r="Z130" s="88"/>
      <c r="AA130" s="88"/>
      <c r="AB130" s="88"/>
      <c r="AC130" s="88"/>
      <c r="AD130" s="88"/>
      <c r="AE130" s="232"/>
      <c r="AF130" s="232"/>
      <c r="AG130" s="232"/>
      <c r="AH130" s="217"/>
      <c r="AI130" s="232"/>
      <c r="AJ130" s="178"/>
    </row>
    <row r="131" spans="1:45" s="101" customFormat="1" ht="12.75" customHeight="1" x14ac:dyDescent="0.2">
      <c r="A131" s="533">
        <f>VLOOKUP(B131,Sheet1!$B$4:$C$25,2,FALSE)</f>
        <v>0</v>
      </c>
      <c r="B131" s="112" t="str">
        <f t="shared" si="25"/>
        <v>Wokingham</v>
      </c>
      <c r="C131" s="97"/>
      <c r="D131" s="182">
        <f>IF(OR(ISBLANK(D30),ISBLANK('Section 47 Enquiries'!D30)),NA(),D30/'Section 47 Enquiries'!D30)</f>
        <v>0.46564885496183206</v>
      </c>
      <c r="E131" s="182">
        <f>IF(OR(ISBLANK(E30),ISBLANK('Section 47 Enquiries'!E30)),NA(),E30/'Section 47 Enquiries'!E30)</f>
        <v>0.27272727272727271</v>
      </c>
      <c r="F131" s="182">
        <f>IF(OR(ISBLANK(F30),ISBLANK('Section 47 Enquiries'!F30)),NA(),F30/'Section 47 Enquiries'!F30)</f>
        <v>0.41907514450867051</v>
      </c>
      <c r="G131" s="182">
        <f>IF(OR(ISBLANK(G30),ISBLANK('Section 47 Enquiries'!G30)),NA(),G30/'Section 47 Enquiries'!G30)</f>
        <v>0.33840304182509506</v>
      </c>
      <c r="H131" s="184">
        <f>IF(OR(ISBLANK(H30),ISBLANK('Section 47 Enquiries'!H30)),NA(),H30/'Section 47 Enquiries'!H30)</f>
        <v>0.38428874734607221</v>
      </c>
      <c r="I131" s="115"/>
      <c r="J131" s="115"/>
      <c r="K131" s="186"/>
      <c r="L131" s="186"/>
      <c r="M131" s="186"/>
      <c r="N131" s="186"/>
      <c r="O131" s="186"/>
      <c r="P131" s="186"/>
      <c r="Q131" s="187"/>
      <c r="R131" s="177"/>
      <c r="S131" s="177"/>
      <c r="T131" s="186"/>
      <c r="U131" s="139"/>
      <c r="V131" s="154"/>
      <c r="W131" s="170"/>
      <c r="X131" s="215"/>
      <c r="Y131" s="215"/>
      <c r="Z131" s="88"/>
      <c r="AA131" s="88"/>
      <c r="AB131" s="88"/>
      <c r="AC131" s="88"/>
      <c r="AD131" s="88"/>
      <c r="AE131" s="232"/>
      <c r="AF131" s="232"/>
      <c r="AG131" s="232"/>
      <c r="AH131" s="217"/>
      <c r="AI131" s="232"/>
      <c r="AJ131" s="178"/>
    </row>
    <row r="132" spans="1:45" s="101" customFormat="1" ht="12.75" customHeight="1" x14ac:dyDescent="0.2">
      <c r="A132" s="138"/>
      <c r="B132" s="146" t="str">
        <f t="shared" si="25"/>
        <v>South East</v>
      </c>
      <c r="C132" s="97"/>
      <c r="D132" s="183">
        <f>IF(OR(ISBLANK(D31),ISBLANK('Section 47 Enquiries'!D31)),NA(),D31/'Section 47 Enquiries'!D31)</f>
        <v>0.41467650890143293</v>
      </c>
      <c r="E132" s="183">
        <f>IF(OR(ISBLANK(E31),ISBLANK('Section 47 Enquiries'!E31)),NA(),E31/'Section 47 Enquiries'!E31)</f>
        <v>0.39790209790209791</v>
      </c>
      <c r="F132" s="183">
        <f>IF(OR(ISBLANK(F31),ISBLANK('Section 47 Enquiries'!F31)),NA(),F31/'Section 47 Enquiries'!F31)</f>
        <v>0.37238903394255873</v>
      </c>
      <c r="G132" s="183">
        <f>IF(OR(ISBLANK(G31),ISBLANK('Section 47 Enquiries'!G31)),NA(),G31/'Section 47 Enquiries'!G31)</f>
        <v>0.37280986372485397</v>
      </c>
      <c r="H132" s="185">
        <f>IF(OR(ISBLANK(H31),ISBLANK('Section 47 Enquiries'!H31)),NA(),H31/'Section 47 Enquiries'!H31)</f>
        <v>0.37746913580246916</v>
      </c>
      <c r="I132" s="115"/>
      <c r="J132" s="115"/>
      <c r="K132" s="188"/>
      <c r="L132" s="188"/>
      <c r="M132" s="188"/>
      <c r="N132" s="188"/>
      <c r="O132" s="188"/>
      <c r="P132" s="188"/>
      <c r="Q132" s="189"/>
      <c r="R132" s="177"/>
      <c r="S132" s="177"/>
      <c r="T132" s="190"/>
      <c r="U132" s="139"/>
      <c r="V132" s="154"/>
      <c r="W132" s="170"/>
      <c r="X132" s="215"/>
      <c r="Y132" s="215"/>
      <c r="Z132" s="88"/>
      <c r="AA132" s="88"/>
      <c r="AB132" s="88"/>
      <c r="AC132" s="88"/>
      <c r="AD132" s="88"/>
      <c r="AE132" s="232"/>
      <c r="AF132" s="232"/>
      <c r="AG132" s="232"/>
      <c r="AH132" s="217"/>
      <c r="AI132" s="232"/>
      <c r="AJ132" s="178"/>
    </row>
    <row r="133" spans="1:45" s="101" customFormat="1" ht="12.75" customHeight="1" x14ac:dyDescent="0.2">
      <c r="A133" s="138"/>
      <c r="B133" s="370" t="str">
        <f t="shared" si="25"/>
        <v>England</v>
      </c>
      <c r="C133" s="97"/>
      <c r="D133" s="401">
        <f>IF(OR(ISBLANK(D32),ISBLANK('Section 47 Enquiries'!D32)),NA(),D32/'Section 47 Enquiries'!D32)</f>
        <v>0.45750578987999158</v>
      </c>
      <c r="E133" s="401">
        <f>IF(OR(ISBLANK(E32),ISBLANK('Section 47 Enquiries'!E32)),NA(),E32/'Section 47 Enquiries'!E32)</f>
        <v>0.44589447393068998</v>
      </c>
      <c r="F133" s="401">
        <f>IF(OR(ISBLANK(F32),ISBLANK('Section 47 Enquiries'!F32)),NA(),F32/'Section 47 Enquiries'!F32)</f>
        <v>0.42399442799930348</v>
      </c>
      <c r="G133" s="401">
        <f>IF(OR(ISBLANK(G32),ISBLANK('Section 47 Enquiries'!G32)),NA(),G32/'Section 47 Enquiries'!G32)</f>
        <v>0.41482879482340251</v>
      </c>
      <c r="H133" s="402">
        <f>IF(OR(ISBLANK(H32),ISBLANK('Section 47 Enquiries'!H32)),NA(),H32/'Section 47 Enquiries'!H32)</f>
        <v>0.40118128123580193</v>
      </c>
      <c r="I133" s="115"/>
      <c r="J133" s="115"/>
      <c r="K133" s="188"/>
      <c r="L133" s="188"/>
      <c r="M133" s="188"/>
      <c r="N133" s="188"/>
      <c r="O133" s="188"/>
      <c r="P133" s="188"/>
      <c r="Q133" s="189"/>
      <c r="R133" s="177"/>
      <c r="S133" s="177"/>
      <c r="T133" s="190"/>
      <c r="U133" s="139"/>
      <c r="V133" s="154"/>
      <c r="W133" s="170"/>
      <c r="X133" s="215"/>
      <c r="Y133" s="215"/>
      <c r="Z133" s="88"/>
      <c r="AA133" s="88"/>
      <c r="AB133" s="88"/>
      <c r="AC133" s="88"/>
      <c r="AD133" s="88"/>
      <c r="AE133" s="232"/>
      <c r="AF133" s="232"/>
      <c r="AG133" s="232"/>
      <c r="AH133" s="217"/>
      <c r="AI133" s="232"/>
      <c r="AJ133" s="178"/>
    </row>
    <row r="134" spans="1:45" s="101" customFormat="1" ht="7.5" customHeight="1" x14ac:dyDescent="0.2">
      <c r="A134" s="324"/>
      <c r="B134" s="115"/>
      <c r="C134" s="115"/>
      <c r="D134" s="115"/>
      <c r="E134" s="115"/>
      <c r="F134" s="115"/>
      <c r="G134" s="115"/>
      <c r="H134" s="115"/>
      <c r="I134" s="115"/>
      <c r="J134" s="115"/>
      <c r="K134" s="188"/>
      <c r="L134" s="188"/>
      <c r="M134" s="188"/>
      <c r="N134" s="188"/>
      <c r="O134" s="188"/>
      <c r="P134" s="188"/>
      <c r="Q134" s="189"/>
      <c r="R134" s="177"/>
      <c r="S134" s="177"/>
      <c r="T134" s="190"/>
      <c r="U134" s="139"/>
      <c r="V134" s="154"/>
      <c r="W134" s="170"/>
      <c r="X134" s="215"/>
      <c r="Y134" s="215"/>
      <c r="Z134" s="88"/>
      <c r="AA134" s="88"/>
      <c r="AB134" s="88"/>
      <c r="AC134" s="88"/>
      <c r="AD134" s="88"/>
      <c r="AE134" s="232"/>
      <c r="AF134" s="232"/>
      <c r="AG134" s="232"/>
      <c r="AH134" s="217"/>
      <c r="AI134" s="232"/>
      <c r="AJ134" s="178"/>
    </row>
    <row r="135" spans="1:45" s="88" customFormat="1" ht="38.25" customHeight="1" x14ac:dyDescent="0.2">
      <c r="A135" s="249"/>
      <c r="B135" s="421"/>
      <c r="C135" s="421"/>
      <c r="D135" s="421"/>
      <c r="E135" s="421"/>
      <c r="F135" s="421"/>
      <c r="G135" s="421"/>
      <c r="H135" s="421"/>
      <c r="I135" s="421"/>
      <c r="J135" s="192"/>
      <c r="K135" s="192"/>
      <c r="L135" s="192"/>
      <c r="M135" s="192"/>
      <c r="N135" s="192"/>
      <c r="O135" s="192"/>
      <c r="P135" s="192"/>
      <c r="Q135" s="151"/>
      <c r="R135" s="192"/>
      <c r="S135" s="192"/>
      <c r="T135" s="192"/>
      <c r="U135" s="134"/>
      <c r="V135" s="152"/>
      <c r="W135" s="168"/>
      <c r="AC135" s="224"/>
      <c r="AD135" s="226"/>
      <c r="AE135" s="210"/>
      <c r="AF135" s="210"/>
      <c r="AG135" s="210"/>
      <c r="AI135" s="210"/>
      <c r="AJ135" s="179"/>
    </row>
    <row r="136" spans="1:45" s="88" customFormat="1" ht="39" customHeight="1" x14ac:dyDescent="0.2">
      <c r="A136" s="249"/>
      <c r="B136" s="421"/>
      <c r="C136" s="421"/>
      <c r="D136" s="421"/>
      <c r="E136" s="421"/>
      <c r="F136" s="421"/>
      <c r="G136" s="421"/>
      <c r="H136" s="421"/>
      <c r="I136" s="421"/>
      <c r="J136" s="192"/>
      <c r="K136" s="192"/>
      <c r="L136" s="192"/>
      <c r="M136" s="192"/>
      <c r="N136" s="192"/>
      <c r="O136" s="192"/>
      <c r="P136" s="192"/>
      <c r="Q136" s="151"/>
      <c r="R136" s="192"/>
      <c r="S136" s="192"/>
      <c r="T136" s="192"/>
      <c r="U136" s="134"/>
      <c r="V136" s="152"/>
      <c r="W136" s="168"/>
      <c r="Y136" s="217"/>
      <c r="AD136" s="226"/>
      <c r="AE136" s="210"/>
      <c r="AF136" s="210"/>
      <c r="AG136" s="210"/>
      <c r="AI136" s="210"/>
      <c r="AJ136" s="179"/>
    </row>
    <row r="137" spans="1:45" s="88" customFormat="1" ht="38.25" customHeight="1" x14ac:dyDescent="0.2">
      <c r="A137" s="249"/>
      <c r="B137" s="421"/>
      <c r="C137" s="421"/>
      <c r="D137" s="421"/>
      <c r="E137" s="421"/>
      <c r="F137" s="421"/>
      <c r="G137" s="421"/>
      <c r="H137" s="421"/>
      <c r="I137" s="421"/>
      <c r="J137" s="192"/>
      <c r="K137" s="192"/>
      <c r="L137" s="192"/>
      <c r="M137" s="192"/>
      <c r="N137" s="192"/>
      <c r="O137" s="192"/>
      <c r="P137" s="192"/>
      <c r="Q137" s="151"/>
      <c r="R137" s="192"/>
      <c r="S137" s="192"/>
      <c r="T137" s="192"/>
      <c r="U137" s="134"/>
      <c r="V137" s="152"/>
      <c r="W137" s="168"/>
      <c r="Y137" s="217"/>
      <c r="AD137" s="226"/>
      <c r="AE137" s="210"/>
      <c r="AF137" s="210"/>
      <c r="AG137" s="210"/>
      <c r="AI137" s="210"/>
      <c r="AJ137" s="179"/>
    </row>
    <row r="138" spans="1:45" s="88" customFormat="1" ht="7.5" customHeight="1" x14ac:dyDescent="0.2">
      <c r="A138" s="135"/>
      <c r="B138" s="18"/>
      <c r="C138" s="18"/>
      <c r="D138" s="17"/>
      <c r="E138" s="17"/>
      <c r="F138" s="17"/>
      <c r="G138" s="17"/>
      <c r="H138" s="17"/>
      <c r="I138" s="17"/>
      <c r="J138" s="13"/>
      <c r="K138" s="19"/>
      <c r="L138" s="19"/>
      <c r="M138" s="19"/>
      <c r="N138" s="19"/>
      <c r="O138" s="19"/>
      <c r="P138" s="19"/>
      <c r="Q138" s="19"/>
      <c r="R138" s="19"/>
      <c r="S138" s="19"/>
      <c r="T138" s="20"/>
      <c r="U138" s="134"/>
      <c r="V138" s="152"/>
      <c r="W138" s="168"/>
      <c r="Y138" s="217"/>
      <c r="AI138" s="210"/>
      <c r="AJ138" s="175"/>
      <c r="AK138" s="80"/>
      <c r="AL138" s="80"/>
      <c r="AM138" s="80"/>
      <c r="AN138" s="80"/>
      <c r="AO138" s="80"/>
      <c r="AP138" s="80"/>
      <c r="AQ138" s="80"/>
    </row>
    <row r="139" spans="1:45" s="88" customFormat="1" ht="15" customHeight="1" x14ac:dyDescent="0.2">
      <c r="A139" s="1010"/>
      <c r="B139" s="1018"/>
      <c r="C139" s="1018"/>
      <c r="D139" s="1018"/>
      <c r="E139" s="1018"/>
      <c r="F139" s="1018"/>
      <c r="G139" s="1018"/>
      <c r="H139" s="1018"/>
      <c r="I139" s="1018"/>
      <c r="J139" s="1018"/>
      <c r="K139" s="1018"/>
      <c r="L139" s="1018"/>
      <c r="M139" s="1018"/>
      <c r="N139" s="1018"/>
      <c r="O139" s="1018"/>
      <c r="P139" s="1018"/>
      <c r="Q139" s="1018"/>
      <c r="R139" s="1018"/>
      <c r="S139" s="1018"/>
      <c r="T139" s="1018"/>
      <c r="U139" s="1019"/>
      <c r="V139" s="152"/>
      <c r="W139" s="168"/>
      <c r="AJ139" s="179"/>
      <c r="AS139" s="80"/>
    </row>
    <row r="140" spans="1:45" s="88" customFormat="1" ht="11.25" customHeight="1" x14ac:dyDescent="0.2">
      <c r="A140" s="1020" t="str">
        <f>Home!$A$35</f>
        <v>LA's provide quarterly data on the condition that it is used by the benchmarking group for internal reporting only. Please DO NOT share other LA's data with any external partners or the public</v>
      </c>
      <c r="B140" s="1021"/>
      <c r="C140" s="1021"/>
      <c r="D140" s="1021"/>
      <c r="E140" s="1021"/>
      <c r="F140" s="1021"/>
      <c r="G140" s="1021"/>
      <c r="H140" s="1021"/>
      <c r="I140" s="1022"/>
      <c r="J140" s="1021"/>
      <c r="K140" s="1021"/>
      <c r="L140" s="1021"/>
      <c r="M140" s="1021"/>
      <c r="N140" s="1021"/>
      <c r="O140" s="1021"/>
      <c r="P140" s="1021"/>
      <c r="Q140" s="1021"/>
      <c r="R140" s="1021"/>
      <c r="S140" s="1022"/>
      <c r="T140" s="1021"/>
      <c r="U140" s="1023"/>
      <c r="V140" s="152"/>
      <c r="W140" s="168"/>
      <c r="AI140" s="210"/>
      <c r="AJ140" s="178"/>
      <c r="AK140" s="101"/>
      <c r="AS140" s="80"/>
    </row>
    <row r="141" spans="1:45" ht="11.25" customHeight="1" x14ac:dyDescent="0.2">
      <c r="A141" s="129"/>
      <c r="B141" s="130"/>
      <c r="C141" s="130"/>
      <c r="D141" s="130"/>
      <c r="E141" s="130"/>
      <c r="F141" s="130"/>
      <c r="G141" s="130"/>
      <c r="H141" s="130"/>
      <c r="I141" s="130"/>
      <c r="J141" s="131"/>
      <c r="K141" s="130"/>
      <c r="L141" s="130"/>
      <c r="M141" s="130"/>
      <c r="N141" s="130"/>
      <c r="O141" s="130"/>
      <c r="P141" s="130"/>
      <c r="Q141" s="130"/>
      <c r="R141" s="130"/>
      <c r="S141" s="130"/>
      <c r="T141" s="130"/>
      <c r="U141" s="132"/>
      <c r="V141" s="152"/>
      <c r="W141" s="168"/>
      <c r="X141" s="225" t="s">
        <v>150</v>
      </c>
      <c r="Y141" s="223"/>
      <c r="Z141" s="215"/>
      <c r="AI141" s="210"/>
      <c r="AJ141" s="175"/>
    </row>
    <row r="142" spans="1:45" s="82" customFormat="1" ht="15" customHeight="1" x14ac:dyDescent="0.2">
      <c r="A142" s="136"/>
      <c r="B142" s="1099" t="s">
        <v>149</v>
      </c>
      <c r="C142" s="1099"/>
      <c r="D142" s="1099"/>
      <c r="E142" s="1099"/>
      <c r="F142" s="1099"/>
      <c r="G142" s="1099"/>
      <c r="H142" s="1099"/>
      <c r="I142" s="1099"/>
      <c r="J142" s="70"/>
      <c r="K142" s="70"/>
      <c r="L142" s="70"/>
      <c r="M142" s="70"/>
      <c r="N142" s="409"/>
      <c r="O142" s="70"/>
      <c r="P142" s="70"/>
      <c r="Q142" s="70"/>
      <c r="R142" s="70"/>
      <c r="S142" s="70"/>
      <c r="T142" s="70"/>
      <c r="U142" s="137"/>
      <c r="V142" s="153"/>
      <c r="W142" s="169"/>
      <c r="X142" s="219"/>
      <c r="Y142" s="489">
        <f t="shared" ref="Y142:AB142" si="26">D144</f>
        <v>2014</v>
      </c>
      <c r="Z142" s="489">
        <f t="shared" si="26"/>
        <v>2015</v>
      </c>
      <c r="AA142" s="489">
        <f t="shared" si="26"/>
        <v>2016</v>
      </c>
      <c r="AB142" s="489">
        <f t="shared" si="26"/>
        <v>2017</v>
      </c>
      <c r="AC142" s="489">
        <f>H144</f>
        <v>2018</v>
      </c>
      <c r="AD142" s="215"/>
      <c r="AE142" s="215"/>
      <c r="AF142" s="215"/>
      <c r="AG142" s="215"/>
      <c r="AH142" s="215"/>
      <c r="AI142" s="215"/>
      <c r="AJ142" s="176"/>
    </row>
    <row r="143" spans="1:45" ht="15" customHeight="1" x14ac:dyDescent="0.2">
      <c r="A143" s="135"/>
      <c r="B143" s="1099"/>
      <c r="C143" s="1099"/>
      <c r="D143" s="1099"/>
      <c r="E143" s="1099"/>
      <c r="F143" s="1099"/>
      <c r="G143" s="1099"/>
      <c r="H143" s="1099"/>
      <c r="I143" s="1099"/>
      <c r="J143" s="70"/>
      <c r="K143" s="70"/>
      <c r="L143" s="70"/>
      <c r="M143" s="70"/>
      <c r="N143" s="409"/>
      <c r="O143" s="70"/>
      <c r="P143" s="70"/>
      <c r="Q143" s="10"/>
      <c r="R143" s="70"/>
      <c r="S143" s="70"/>
      <c r="T143" s="70"/>
      <c r="U143" s="134"/>
      <c r="V143" s="152"/>
      <c r="W143" s="168"/>
      <c r="X143" s="488" t="str">
        <f t="shared" ref="X143:X166" si="27">B9</f>
        <v>Bracknell Forest</v>
      </c>
      <c r="Y143" s="118">
        <f>IF(Year1_Bracknell_Forest Year1_CP_Conference_within15days="","",Year1_Bracknell_Forest Year1_CP_Conference_within15days)</f>
        <v>72</v>
      </c>
      <c r="Z143" s="118">
        <f>IF(Year2_Bracknell_Forest Year2_CP_Conference_within15days="","",Year2_Bracknell_Forest Year2_CP_Conference_within15days)</f>
        <v>92</v>
      </c>
      <c r="AA143" s="118">
        <f>IF(Year3_Bracknell_Forest Year3_CP_Conference_within15days="","",Year3_Bracknell_Forest Year3_CP_Conference_within15days)</f>
        <v>105</v>
      </c>
      <c r="AB143" s="118">
        <f>IF(Year4_Bracknell_Forest Year4_CP_Conference_within15days="","",Year4_Bracknell_Forest Year4_CP_Conference_within15days)</f>
        <v>193</v>
      </c>
      <c r="AC143" s="645">
        <f>IF(Year5_Bracknell_Forest Year5_CP_Conference_within15days="","",Year5_Bracknell_Forest Year5_CP_Conference_within15days)</f>
        <v>194</v>
      </c>
      <c r="AI143" s="210"/>
      <c r="AJ143" s="175"/>
    </row>
    <row r="144" spans="1:45" s="101" customFormat="1" ht="27" customHeight="1" x14ac:dyDescent="0.2">
      <c r="A144" s="138"/>
      <c r="B144" s="540" t="s">
        <v>215</v>
      </c>
      <c r="C144" s="97"/>
      <c r="D144" s="393">
        <f>D8</f>
        <v>2014</v>
      </c>
      <c r="E144" s="393">
        <f t="shared" ref="E144:H144" si="28">E8</f>
        <v>2015</v>
      </c>
      <c r="F144" s="393">
        <f t="shared" si="28"/>
        <v>2016</v>
      </c>
      <c r="G144" s="393">
        <f t="shared" si="28"/>
        <v>2017</v>
      </c>
      <c r="H144" s="394">
        <f t="shared" si="28"/>
        <v>2018</v>
      </c>
      <c r="I144" s="115"/>
      <c r="J144" s="115"/>
      <c r="K144" s="62"/>
      <c r="L144" s="62"/>
      <c r="M144" s="62"/>
      <c r="N144" s="62"/>
      <c r="O144" s="62"/>
      <c r="P144" s="417"/>
      <c r="Q144" s="417"/>
      <c r="R144" s="177"/>
      <c r="S144" s="177"/>
      <c r="T144" s="418"/>
      <c r="U144" s="139"/>
      <c r="V144" s="154"/>
      <c r="W144" s="170"/>
      <c r="X144" s="488" t="str">
        <f t="shared" si="27"/>
        <v>Brighton &amp; Hove</v>
      </c>
      <c r="Y144" s="118">
        <f>IF(Year1_Brighton_Hove Year1_CP_Conference_within15days="","",Year1_Brighton_Hove Year1_CP_Conference_within15days)</f>
        <v>327</v>
      </c>
      <c r="Z144" s="118">
        <f>IF(Year2_Brighton_Hove Year2_CP_Conference_within15days="","",Year2_Brighton_Hove Year2_CP_Conference_within15days)</f>
        <v>283</v>
      </c>
      <c r="AA144" s="118">
        <f>IF(Year3_Brighton_Hove Year3_CP_Conference_within15days="","",Year3_Brighton_Hove Year3_CP_Conference_within15days)</f>
        <v>346</v>
      </c>
      <c r="AB144" s="118">
        <f>IF(Year4_Brighton_Hove Year4_CP_Conference_within15days="","",Year4_Brighton_Hove Year4_CP_Conference_within15days)</f>
        <v>311</v>
      </c>
      <c r="AC144" s="645">
        <f>IF(Year5_Brighton_Hove Year5_CP_Conference_within15days="","",Year5_Brighton_Hove Year5_CP_Conference_within15days)</f>
        <v>420</v>
      </c>
      <c r="AD144" s="226"/>
      <c r="AE144" s="217"/>
      <c r="AF144" s="217"/>
      <c r="AG144" s="217"/>
      <c r="AH144" s="217"/>
      <c r="AI144" s="232"/>
      <c r="AJ144" s="178"/>
    </row>
    <row r="145" spans="1:44" s="101" customFormat="1" ht="12.75" customHeight="1" x14ac:dyDescent="0.2">
      <c r="A145" s="533">
        <f>VLOOKUP(B145,Sheet1!$B$4:$C$25,2,FALSE)</f>
        <v>0</v>
      </c>
      <c r="B145" s="112" t="str">
        <f t="shared" ref="B145:B168" si="29">B9</f>
        <v>Bracknell Forest</v>
      </c>
      <c r="C145" s="97"/>
      <c r="D145" s="182">
        <f t="shared" ref="D145:D168" si="30">IF(OR(ISBLANK(D9),ISBLANK(Y143)),NA(),Y143/D9)</f>
        <v>0.51428571428571423</v>
      </c>
      <c r="E145" s="182">
        <f t="shared" ref="E145:E168" si="31">IF(OR(ISBLANK(E9),ISBLANK(Z143)),NA(),Z143/E9)</f>
        <v>0.56441717791411039</v>
      </c>
      <c r="F145" s="182">
        <f t="shared" ref="F145:F168" si="32">IF(OR(ISBLANK(F9),ISBLANK(AA143)),NA(),AA143/F9)</f>
        <v>0.66455696202531644</v>
      </c>
      <c r="G145" s="182">
        <f t="shared" ref="G145:G168" si="33">IF(OR(ISBLANK(G9),ISBLANK(AB143)),NA(),AB143/G9)</f>
        <v>0.73946360153256707</v>
      </c>
      <c r="H145" s="184">
        <f t="shared" ref="H145:H167" si="34">IF(OR(ISBLANK(H9),ISBLANK(AC143)),NA(),AC143/H9)</f>
        <v>0.82553191489361699</v>
      </c>
      <c r="I145" s="115"/>
      <c r="J145" s="115"/>
      <c r="K145" s="186"/>
      <c r="L145" s="186"/>
      <c r="M145" s="186"/>
      <c r="N145" s="186"/>
      <c r="O145" s="186"/>
      <c r="P145" s="186"/>
      <c r="Q145" s="187"/>
      <c r="R145" s="177"/>
      <c r="S145" s="177"/>
      <c r="T145" s="186"/>
      <c r="U145" s="139"/>
      <c r="V145" s="154"/>
      <c r="W145" s="170"/>
      <c r="X145" s="488" t="str">
        <f t="shared" si="27"/>
        <v>Buckinghamshire</v>
      </c>
      <c r="Y145" s="118">
        <f>IF(Year1_Buckinghamshire Year1_CP_Conference_within15days="","",Year1_Buckinghamshire Year1_CP_Conference_within15days)</f>
        <v>126</v>
      </c>
      <c r="Z145" s="118">
        <f>IF(Year2_Buckinghamshire Year2_CP_Conference_within15days="","",Year2_Buckinghamshire Year2_CP_Conference_within15days)</f>
        <v>221</v>
      </c>
      <c r="AA145" s="118">
        <f>IF(Year3_Buckinghamshire Year3_CP_Conference_within15days="","",Year3_Buckinghamshire Year3_CP_Conference_within15days)</f>
        <v>516</v>
      </c>
      <c r="AB145" s="118">
        <f>IF(Year4_Buckinghamshire Year4_CP_Conference_within15days="","",Year4_Buckinghamshire Year4_CP_Conference_within15days)</f>
        <v>603</v>
      </c>
      <c r="AC145" s="645">
        <f>IF(Year5_Buckinghamshire Year5_CP_Conference_within15days="","",Year5_Buckinghamshire Year5_CP_Conference_within15days)</f>
        <v>631</v>
      </c>
      <c r="AD145" s="226"/>
      <c r="AE145" s="217"/>
      <c r="AF145" s="217"/>
      <c r="AG145" s="217"/>
      <c r="AH145" s="217"/>
      <c r="AI145" s="232"/>
      <c r="AJ145" s="178"/>
    </row>
    <row r="146" spans="1:44" s="101" customFormat="1" ht="12.75" customHeight="1" x14ac:dyDescent="0.2">
      <c r="A146" s="533">
        <f>VLOOKUP(B146,Sheet1!$B$4:$C$25,2,FALSE)</f>
        <v>0</v>
      </c>
      <c r="B146" s="112" t="str">
        <f t="shared" si="29"/>
        <v>Brighton &amp; Hove</v>
      </c>
      <c r="C146" s="97"/>
      <c r="D146" s="182">
        <f t="shared" si="30"/>
        <v>0.76580796252927397</v>
      </c>
      <c r="E146" s="182">
        <f t="shared" si="31"/>
        <v>0.59957627118644063</v>
      </c>
      <c r="F146" s="182">
        <f t="shared" si="32"/>
        <v>0.63602941176470584</v>
      </c>
      <c r="G146" s="182">
        <f t="shared" si="33"/>
        <v>0.66029723991507427</v>
      </c>
      <c r="H146" s="184">
        <f t="shared" si="34"/>
        <v>0.87318087318087323</v>
      </c>
      <c r="I146" s="115"/>
      <c r="J146" s="115"/>
      <c r="K146" s="186"/>
      <c r="L146" s="186"/>
      <c r="M146" s="186"/>
      <c r="N146" s="186"/>
      <c r="O146" s="186"/>
      <c r="P146" s="186"/>
      <c r="Q146" s="187"/>
      <c r="R146" s="177"/>
      <c r="S146" s="177"/>
      <c r="T146" s="186"/>
      <c r="U146" s="139"/>
      <c r="V146" s="154"/>
      <c r="W146" s="170"/>
      <c r="X146" s="488" t="str">
        <f t="shared" si="27"/>
        <v>East Sussex</v>
      </c>
      <c r="Y146" s="118">
        <f>IF(Year1_East_Sussex Year1_CP_Conference_within15days="","",Year1_East_Sussex Year1_CP_Conference_within15days)</f>
        <v>354</v>
      </c>
      <c r="Z146" s="118">
        <f>IF(Year2_East_Sussex Year2_CP_Conference_within15days="","",Year2_East_Sussex Year2_CP_Conference_within15days)</f>
        <v>425</v>
      </c>
      <c r="AA146" s="118">
        <f>IF(Year3_East_Sussex Year3_CP_Conference_within15days="","",Year3_East_Sussex Year3_CP_Conference_within15days)</f>
        <v>292</v>
      </c>
      <c r="AB146" s="118">
        <f>IF(Year4_East_Sussex Year4_CP_Conference_within15days="","",Year4_East_Sussex Year4_CP_Conference_within15days)</f>
        <v>375</v>
      </c>
      <c r="AC146" s="645">
        <f>IF(Year5_East_Sussex Year5_CP_Conference_within15days="","",Year5_East_Sussex Year5_CP_Conference_within15days)</f>
        <v>410</v>
      </c>
      <c r="AD146" s="226"/>
      <c r="AE146" s="217"/>
      <c r="AF146" s="217"/>
      <c r="AG146" s="217"/>
      <c r="AH146" s="217"/>
      <c r="AI146" s="232"/>
      <c r="AJ146" s="178"/>
    </row>
    <row r="147" spans="1:44" s="101" customFormat="1" ht="12.75" customHeight="1" x14ac:dyDescent="0.2">
      <c r="A147" s="533">
        <f>VLOOKUP(B147,Sheet1!$B$4:$C$25,2,FALSE)</f>
        <v>0</v>
      </c>
      <c r="B147" s="112" t="str">
        <f t="shared" si="29"/>
        <v>Buckinghamshire</v>
      </c>
      <c r="C147" s="97"/>
      <c r="D147" s="182">
        <f t="shared" si="30"/>
        <v>0.38414634146341464</v>
      </c>
      <c r="E147" s="182">
        <f t="shared" si="31"/>
        <v>0.43248532289628178</v>
      </c>
      <c r="F147" s="182">
        <f t="shared" si="32"/>
        <v>0.68891855807743663</v>
      </c>
      <c r="G147" s="182">
        <f t="shared" si="33"/>
        <v>0.69630484988452657</v>
      </c>
      <c r="H147" s="184">
        <f t="shared" si="34"/>
        <v>0.73201856148491884</v>
      </c>
      <c r="I147" s="115"/>
      <c r="J147" s="115"/>
      <c r="K147" s="186"/>
      <c r="L147" s="186"/>
      <c r="M147" s="186"/>
      <c r="N147" s="186"/>
      <c r="O147" s="186"/>
      <c r="P147" s="186"/>
      <c r="Q147" s="187"/>
      <c r="R147" s="177"/>
      <c r="S147" s="177"/>
      <c r="T147" s="186"/>
      <c r="U147" s="139"/>
      <c r="V147" s="154"/>
      <c r="W147" s="170"/>
      <c r="X147" s="488" t="str">
        <f t="shared" si="27"/>
        <v>Hampshire</v>
      </c>
      <c r="Y147" s="118">
        <f>IF(Year1_Hampshire Year1_CP_Conference_within15days="","",Year1_Hampshire Year1_CP_Conference_within15days)</f>
        <v>1054</v>
      </c>
      <c r="Z147" s="118">
        <f>IF(Year2_Hampshire Year2_CP_Conference_within15days="","",Year2_Hampshire Year2_CP_Conference_within15days)</f>
        <v>1456</v>
      </c>
      <c r="AA147" s="658">
        <f>IF(Year3_Hampshire Year3_CP_Conference_within15days="","",Year3_Hampshire Year3_CP_Conference_within15days)</f>
        <v>1346</v>
      </c>
      <c r="AB147" s="658">
        <f>IF(Year4_Hampshire Year4_CP_Conference_within15days="","",Year4_Hampshire Year4_CP_Conference_within15days)</f>
        <v>1435</v>
      </c>
      <c r="AC147" s="645">
        <f>IF(Year5_Hampshire Year5_CP_Conference_within15days="","",Year5_Hampshire Year5_CP_Conference_within15days)</f>
        <v>1375</v>
      </c>
      <c r="AD147" s="226"/>
      <c r="AE147" s="217"/>
      <c r="AF147" s="217"/>
      <c r="AG147" s="217"/>
      <c r="AH147" s="217"/>
      <c r="AI147" s="232"/>
      <c r="AJ147" s="178"/>
    </row>
    <row r="148" spans="1:44" s="101" customFormat="1" ht="12.75" customHeight="1" x14ac:dyDescent="0.2">
      <c r="A148" s="533">
        <f>VLOOKUP(B148,Sheet1!$B$4:$C$25,2,FALSE)</f>
        <v>0</v>
      </c>
      <c r="B148" s="112" t="str">
        <f t="shared" si="29"/>
        <v>East Sussex</v>
      </c>
      <c r="C148" s="97"/>
      <c r="D148" s="182">
        <f t="shared" si="30"/>
        <v>0.55748031496062989</v>
      </c>
      <c r="E148" s="182">
        <f t="shared" si="31"/>
        <v>0.68</v>
      </c>
      <c r="F148" s="182">
        <f t="shared" si="32"/>
        <v>0.6045548654244306</v>
      </c>
      <c r="G148" s="182">
        <f t="shared" si="33"/>
        <v>0.59808612440191389</v>
      </c>
      <c r="H148" s="184">
        <f t="shared" si="34"/>
        <v>0.57665260196905765</v>
      </c>
      <c r="I148" s="115"/>
      <c r="J148" s="115"/>
      <c r="K148" s="186"/>
      <c r="L148" s="186"/>
      <c r="M148" s="186"/>
      <c r="N148" s="186"/>
      <c r="O148" s="186"/>
      <c r="P148" s="186"/>
      <c r="Q148" s="187"/>
      <c r="R148" s="177"/>
      <c r="S148" s="177"/>
      <c r="T148" s="186"/>
      <c r="U148" s="139"/>
      <c r="V148" s="154"/>
      <c r="W148" s="170"/>
      <c r="X148" s="488" t="str">
        <f t="shared" si="27"/>
        <v>Isle of Wight</v>
      </c>
      <c r="Y148" s="118">
        <f>IF(Year1_Isle_of_Wight Year1_CP_Conference_within15days="","",Year1_Isle_of_Wight Year1_CP_Conference_within15days)</f>
        <v>63</v>
      </c>
      <c r="Z148" s="118">
        <f>IF(Year2_Isle_of_Wight Year2_CP_Conference_within15days="","",Year2_Isle_of_Wight Year2_CP_Conference_within15days)</f>
        <v>212</v>
      </c>
      <c r="AA148" s="118">
        <f>IF(Year3_Isle_of_Wight Year3_CP_Conference_within15days="","",Year3_Isle_of_Wight Year3_CP_Conference_within15days)</f>
        <v>214</v>
      </c>
      <c r="AB148" s="118">
        <f>IF(Year4_Isle_of_Wight Year4_CP_Conference_within15days="","",Year4_Isle_of_Wight Year4_CP_Conference_within15days)</f>
        <v>218</v>
      </c>
      <c r="AC148" s="645">
        <f>IF(Year5_Isle_of_Wight Year5_CP_Conference_within15days="","",Year5_Isle_of_Wight Year5_CP_Conference_within15days)</f>
        <v>230</v>
      </c>
      <c r="AD148" s="226"/>
      <c r="AE148" s="217"/>
      <c r="AF148" s="217"/>
      <c r="AG148" s="217"/>
      <c r="AH148" s="217"/>
      <c r="AI148" s="232"/>
      <c r="AJ148" s="178"/>
    </row>
    <row r="149" spans="1:44" s="101" customFormat="1" ht="12.75" customHeight="1" x14ac:dyDescent="0.2">
      <c r="A149" s="533">
        <f>VLOOKUP(B149,Sheet1!$B$4:$C$25,2,FALSE)</f>
        <v>0</v>
      </c>
      <c r="B149" s="112" t="str">
        <f t="shared" si="29"/>
        <v>Hampshire</v>
      </c>
      <c r="C149" s="97"/>
      <c r="D149" s="182">
        <f t="shared" si="30"/>
        <v>0.6902423051735429</v>
      </c>
      <c r="E149" s="182">
        <f t="shared" si="31"/>
        <v>0.6887417218543046</v>
      </c>
      <c r="F149" s="182">
        <f t="shared" si="32"/>
        <v>0.70842105263157895</v>
      </c>
      <c r="G149" s="182">
        <f t="shared" si="33"/>
        <v>0.76779026217228463</v>
      </c>
      <c r="H149" s="184">
        <f t="shared" si="34"/>
        <v>0.77073991031390132</v>
      </c>
      <c r="I149" s="115"/>
      <c r="J149" s="115"/>
      <c r="K149" s="186"/>
      <c r="L149" s="186"/>
      <c r="M149" s="186"/>
      <c r="N149" s="186"/>
      <c r="O149" s="186"/>
      <c r="P149" s="186"/>
      <c r="Q149" s="187"/>
      <c r="R149" s="177"/>
      <c r="S149" s="177"/>
      <c r="T149" s="186"/>
      <c r="U149" s="139"/>
      <c r="V149" s="154"/>
      <c r="W149" s="170"/>
      <c r="X149" s="488" t="str">
        <f t="shared" si="27"/>
        <v>Kent</v>
      </c>
      <c r="Y149" s="118">
        <f>IF(Year1_Kent Year1_CP_Conference_within15days="","",Year1_Kent Year1_CP_Conference_within15days)</f>
        <v>963</v>
      </c>
      <c r="Z149" s="118">
        <f>IF(Year2_Kent Year2_CP_Conference_within15days="","",Year2_Kent Year2_CP_Conference_within15days)</f>
        <v>1410</v>
      </c>
      <c r="AA149" s="118">
        <f>IF(Year3_Kent Year3_CP_Conference_within15days="","",Year3_Kent Year3_CP_Conference_within15days)</f>
        <v>1285</v>
      </c>
      <c r="AB149" s="118">
        <f>IF(Year4_Kent Year4_CP_Conference_within15days="","",Year4_Kent Year4_CP_Conference_within15days)</f>
        <v>1260</v>
      </c>
      <c r="AC149" s="645">
        <f>IF(Year5_Kent Year5_CP_Conference_within15days="","",Year5_Kent Year5_CP_Conference_within15days)</f>
        <v>1320</v>
      </c>
      <c r="AD149" s="226"/>
      <c r="AE149" s="217"/>
      <c r="AF149" s="217"/>
      <c r="AG149" s="217"/>
      <c r="AH149" s="217"/>
      <c r="AI149" s="232"/>
      <c r="AJ149" s="178"/>
    </row>
    <row r="150" spans="1:44" s="101" customFormat="1" ht="12.75" customHeight="1" x14ac:dyDescent="0.2">
      <c r="A150" s="533">
        <f>VLOOKUP(B150,Sheet1!$B$4:$C$25,2,FALSE)</f>
        <v>0</v>
      </c>
      <c r="B150" s="112" t="str">
        <f t="shared" si="29"/>
        <v>Isle of Wight</v>
      </c>
      <c r="C150" s="97"/>
      <c r="D150" s="182">
        <f t="shared" si="30"/>
        <v>0.24803149606299213</v>
      </c>
      <c r="E150" s="182">
        <f t="shared" si="31"/>
        <v>0.64437689969604861</v>
      </c>
      <c r="F150" s="182">
        <f t="shared" si="32"/>
        <v>0.57066666666666666</v>
      </c>
      <c r="G150" s="182">
        <f t="shared" si="33"/>
        <v>0.75694444444444442</v>
      </c>
      <c r="H150" s="184">
        <f t="shared" si="34"/>
        <v>0.8487084870848709</v>
      </c>
      <c r="I150" s="115"/>
      <c r="J150" s="115"/>
      <c r="K150" s="186"/>
      <c r="L150" s="186"/>
      <c r="M150" s="186"/>
      <c r="N150" s="186"/>
      <c r="O150" s="186"/>
      <c r="P150" s="186"/>
      <c r="Q150" s="187"/>
      <c r="R150" s="177"/>
      <c r="S150" s="177"/>
      <c r="T150" s="186"/>
      <c r="U150" s="139"/>
      <c r="V150" s="154"/>
      <c r="W150" s="170"/>
      <c r="X150" s="488" t="str">
        <f t="shared" si="27"/>
        <v>Medway</v>
      </c>
      <c r="Y150" s="118">
        <f>IF(Year1_Medway Year1_CP_Conference_within15days="","",Year1_Medway Year1_CP_Conference_within15days)</f>
        <v>236</v>
      </c>
      <c r="Z150" s="118">
        <f>IF(Year2_Medway Year2_CP_Conference_within15days="","",Year2_Medway Year2_CP_Conference_within15days)</f>
        <v>358</v>
      </c>
      <c r="AA150" s="118">
        <f>IF(Year3_Medway Year3_CP_Conference_within15days="","",Year3_Medway Year3_CP_Conference_within15days)</f>
        <v>539</v>
      </c>
      <c r="AB150" s="118">
        <f>IF(Year4_Medway Year4_CP_Conference_within15days="","",Year4_Medway Year4_CP_Conference_within15days)</f>
        <v>310</v>
      </c>
      <c r="AC150" s="645">
        <f>IF(Year5_Medway Year5_CP_Conference_within15days="","",Year5_Medway Year5_CP_Conference_within15days)</f>
        <v>353</v>
      </c>
      <c r="AD150" s="226"/>
      <c r="AE150" s="217"/>
      <c r="AF150" s="217"/>
      <c r="AG150" s="217"/>
      <c r="AH150" s="217"/>
      <c r="AI150" s="232"/>
      <c r="AJ150" s="178"/>
      <c r="AR150" s="101" t="s">
        <v>104</v>
      </c>
    </row>
    <row r="151" spans="1:44" s="101" customFormat="1" ht="12.75" customHeight="1" x14ac:dyDescent="0.2">
      <c r="A151" s="533">
        <f>VLOOKUP(B151,Sheet1!$B$4:$C$25,2,FALSE)</f>
        <v>0</v>
      </c>
      <c r="B151" s="112" t="str">
        <f t="shared" si="29"/>
        <v>Kent</v>
      </c>
      <c r="C151" s="97"/>
      <c r="D151" s="182">
        <f t="shared" si="30"/>
        <v>0.61415816326530615</v>
      </c>
      <c r="E151" s="182">
        <f t="shared" si="31"/>
        <v>0.78420467185761955</v>
      </c>
      <c r="F151" s="182">
        <f t="shared" si="32"/>
        <v>0.82956746287927696</v>
      </c>
      <c r="G151" s="182">
        <f t="shared" si="33"/>
        <v>0.84337349397590367</v>
      </c>
      <c r="H151" s="184">
        <f t="shared" si="34"/>
        <v>0.74914869466515321</v>
      </c>
      <c r="I151" s="115"/>
      <c r="J151" s="115"/>
      <c r="K151" s="186"/>
      <c r="L151" s="186"/>
      <c r="M151" s="186"/>
      <c r="N151" s="186"/>
      <c r="O151" s="186"/>
      <c r="P151" s="186"/>
      <c r="Q151" s="187"/>
      <c r="R151" s="177"/>
      <c r="S151" s="177"/>
      <c r="T151" s="186"/>
      <c r="U151" s="139"/>
      <c r="V151" s="154"/>
      <c r="W151" s="170"/>
      <c r="X151" s="488" t="str">
        <f t="shared" si="27"/>
        <v>Milton Keynes</v>
      </c>
      <c r="Y151" s="118">
        <f>IF(Year1_Milton_Keynes Year1_CP_Conference_within15days="","",Year1_Milton_Keynes Year1_CP_Conference_within15days)</f>
        <v>64</v>
      </c>
      <c r="Z151" s="118">
        <f>IF(Year2_Milton_Keynes Year2_CP_Conference_within15days="","",Year2_Milton_Keynes Year2_CP_Conference_within15days)</f>
        <v>115</v>
      </c>
      <c r="AA151" s="118">
        <f>IF(Year3_Milton_Keynes Year3_CP_Conference_within15days="","",Year3_Milton_Keynes Year3_CP_Conference_within15days)</f>
        <v>112</v>
      </c>
      <c r="AB151" s="118">
        <f>IF(Year4_Milton_Keynes Year4_CP_Conference_within15days="","",Year4_Milton_Keynes Year4_CP_Conference_within15days)</f>
        <v>128</v>
      </c>
      <c r="AC151" s="645">
        <f>IF(Year5_Milton_Keynes Year5_CP_Conference_within15days="","",Year5_Milton_Keynes Year5_CP_Conference_within15days)</f>
        <v>166</v>
      </c>
      <c r="AD151" s="226"/>
      <c r="AE151" s="217"/>
      <c r="AF151" s="217"/>
      <c r="AG151" s="217"/>
      <c r="AH151" s="217"/>
      <c r="AI151" s="232"/>
      <c r="AJ151" s="178"/>
    </row>
    <row r="152" spans="1:44" s="101" customFormat="1" ht="12.75" customHeight="1" x14ac:dyDescent="0.2">
      <c r="A152" s="533">
        <f>VLOOKUP(B152,Sheet1!$B$4:$C$25,2,FALSE)</f>
        <v>0</v>
      </c>
      <c r="B152" s="112" t="str">
        <f t="shared" si="29"/>
        <v>Medway</v>
      </c>
      <c r="C152" s="97"/>
      <c r="D152" s="182">
        <f t="shared" si="30"/>
        <v>0.54756380510440839</v>
      </c>
      <c r="E152" s="182">
        <f t="shared" si="31"/>
        <v>0.5907590759075908</v>
      </c>
      <c r="F152" s="182">
        <f t="shared" si="32"/>
        <v>0.88797364085667219</v>
      </c>
      <c r="G152" s="182">
        <f t="shared" si="33"/>
        <v>0.88319088319088324</v>
      </c>
      <c r="H152" s="184">
        <f t="shared" si="34"/>
        <v>0.87593052109181146</v>
      </c>
      <c r="I152" s="115"/>
      <c r="J152" s="115"/>
      <c r="K152" s="186"/>
      <c r="L152" s="186"/>
      <c r="M152" s="186"/>
      <c r="N152" s="186"/>
      <c r="O152" s="186"/>
      <c r="P152" s="186"/>
      <c r="Q152" s="187"/>
      <c r="R152" s="177"/>
      <c r="S152" s="177"/>
      <c r="T152" s="186"/>
      <c r="U152" s="139"/>
      <c r="V152" s="154"/>
      <c r="W152" s="170"/>
      <c r="X152" s="488" t="str">
        <f t="shared" si="27"/>
        <v>Oxfordshire</v>
      </c>
      <c r="Y152" s="118">
        <f>IF(Year1_Oxfordshire Year1_CP_Conference_within15days="","",Year1_Oxfordshire Year1_CP_Conference_within15days)</f>
        <v>524</v>
      </c>
      <c r="Z152" s="118">
        <f>IF(Year2_Oxfordshire Year2_CP_Conference_within15days="","",Year2_Oxfordshire Year2_CP_Conference_within15days)</f>
        <v>539</v>
      </c>
      <c r="AA152" s="118">
        <f>IF(Year3_Oxfordshire Year3_CP_Conference_within15days="","",Year3_Oxfordshire Year3_CP_Conference_within15days)</f>
        <v>637</v>
      </c>
      <c r="AB152" s="118">
        <f>IF(Year4_Oxfordshire Year4_CP_Conference_within15days="","",Year4_Oxfordshire Year4_CP_Conference_within15days)</f>
        <v>822</v>
      </c>
      <c r="AC152" s="645">
        <f>IF(Year5_Oxfordshire Year5_CP_Conference_within15days="","",Year5_Oxfordshire Year5_CP_Conference_within15days)</f>
        <v>781</v>
      </c>
      <c r="AD152" s="226"/>
      <c r="AE152" s="217"/>
      <c r="AF152" s="217"/>
      <c r="AG152" s="217"/>
      <c r="AH152" s="217"/>
      <c r="AI152" s="232"/>
      <c r="AJ152" s="178"/>
    </row>
    <row r="153" spans="1:44" s="101" customFormat="1" ht="12.75" customHeight="1" x14ac:dyDescent="0.2">
      <c r="A153" s="533">
        <f>VLOOKUP(B153,Sheet1!$B$4:$C$25,2,FALSE)</f>
        <v>0</v>
      </c>
      <c r="B153" s="112" t="str">
        <f t="shared" si="29"/>
        <v>Milton Keynes</v>
      </c>
      <c r="C153" s="97"/>
      <c r="D153" s="182">
        <f t="shared" si="30"/>
        <v>0.87671232876712324</v>
      </c>
      <c r="E153" s="182">
        <f t="shared" si="31"/>
        <v>0.97457627118644063</v>
      </c>
      <c r="F153" s="182">
        <f t="shared" si="32"/>
        <v>0.93333333333333335</v>
      </c>
      <c r="G153" s="182">
        <f t="shared" si="33"/>
        <v>0.87074829931972786</v>
      </c>
      <c r="H153" s="184">
        <f t="shared" si="34"/>
        <v>0.94857142857142862</v>
      </c>
      <c r="I153" s="115"/>
      <c r="J153" s="115"/>
      <c r="K153" s="186"/>
      <c r="L153" s="186"/>
      <c r="M153" s="186"/>
      <c r="N153" s="186"/>
      <c r="O153" s="186"/>
      <c r="P153" s="186"/>
      <c r="Q153" s="187"/>
      <c r="R153" s="177"/>
      <c r="S153" s="177"/>
      <c r="T153" s="186"/>
      <c r="U153" s="139"/>
      <c r="V153" s="154"/>
      <c r="W153" s="170"/>
      <c r="X153" s="488" t="str">
        <f t="shared" si="27"/>
        <v>Portsmouth</v>
      </c>
      <c r="Y153" s="118">
        <f>IF(Year1_Portsmouth Year1_CP_Conference_within15days="","",Year1_Portsmouth Year1_CP_Conference_within15days)</f>
        <v>178</v>
      </c>
      <c r="Z153" s="118">
        <f>IF(Year2_Portsmouth Year2_CP_Conference_within15days="","",Year2_Portsmouth Year2_CP_Conference_within15days)</f>
        <v>194</v>
      </c>
      <c r="AA153" s="118">
        <f>IF(Year3_Portsmouth Year3_CP_Conference_within15days="","",Year3_Portsmouth Year3_CP_Conference_within15days)</f>
        <v>226</v>
      </c>
      <c r="AB153" s="118">
        <f>IF(Year4_Portsmouth Year4_CP_Conference_within15days="","",Year4_Portsmouth Year4_CP_Conference_within15days)</f>
        <v>232</v>
      </c>
      <c r="AC153" s="645">
        <f>IF(Year5_Portsmouth Year5_CP_Conference_within15days="","",Year5_Portsmouth Year5_CP_Conference_within15days)</f>
        <v>222</v>
      </c>
      <c r="AD153" s="226"/>
      <c r="AE153" s="217"/>
      <c r="AF153" s="217"/>
      <c r="AG153" s="217"/>
      <c r="AH153" s="217"/>
      <c r="AI153" s="232"/>
      <c r="AJ153" s="178"/>
    </row>
    <row r="154" spans="1:44" s="101" customFormat="1" ht="12.75" customHeight="1" x14ac:dyDescent="0.2">
      <c r="A154" s="533">
        <f>VLOOKUP(B154,Sheet1!$B$4:$C$25,2,FALSE)</f>
        <v>0</v>
      </c>
      <c r="B154" s="112" t="str">
        <f t="shared" si="29"/>
        <v>Oxfordshire</v>
      </c>
      <c r="C154" s="97"/>
      <c r="D154" s="182">
        <f t="shared" si="30"/>
        <v>0.84927066450567257</v>
      </c>
      <c r="E154" s="182">
        <f t="shared" si="31"/>
        <v>0.74757281553398058</v>
      </c>
      <c r="F154" s="182">
        <f t="shared" si="32"/>
        <v>0.81876606683804631</v>
      </c>
      <c r="G154" s="182">
        <f t="shared" si="33"/>
        <v>0.89347826086956517</v>
      </c>
      <c r="H154" s="184">
        <f t="shared" si="34"/>
        <v>0.88952164009111623</v>
      </c>
      <c r="I154" s="115"/>
      <c r="J154" s="115"/>
      <c r="K154" s="186"/>
      <c r="L154" s="186"/>
      <c r="M154" s="186"/>
      <c r="N154" s="186"/>
      <c r="O154" s="186"/>
      <c r="P154" s="186"/>
      <c r="Q154" s="187"/>
      <c r="R154" s="177"/>
      <c r="S154" s="177"/>
      <c r="T154" s="186"/>
      <c r="U154" s="139"/>
      <c r="V154" s="154"/>
      <c r="W154" s="170"/>
      <c r="X154" s="488" t="str">
        <f t="shared" si="27"/>
        <v>Reading</v>
      </c>
      <c r="Y154" s="118">
        <f>IF(Year1_Reading Year1_CP_Conference_within15days="","",Year1_Reading Year1_CP_Conference_within15days)</f>
        <v>192</v>
      </c>
      <c r="Z154" s="118">
        <f>IF(Year2_Reading Year2_CP_Conference_within15days="","",Year2_Reading Year2_CP_Conference_within15days)</f>
        <v>257</v>
      </c>
      <c r="AA154" s="118">
        <f>IF(Year3_Reading Year3_CP_Conference_within15days="","",Year3_Reading Year3_CP_Conference_within15days)</f>
        <v>290</v>
      </c>
      <c r="AB154" s="118">
        <f>IF(Year4_Reading Year4_CP_Conference_within15days="","",Year4_Reading Year4_CP_Conference_within15days)</f>
        <v>447</v>
      </c>
      <c r="AC154" s="645">
        <f>IF(Year5_Reading Year5_CP_Conference_within15days="","",Year5_Reading Year5_CP_Conference_within15days)</f>
        <v>313</v>
      </c>
      <c r="AD154" s="226"/>
      <c r="AE154" s="217"/>
      <c r="AF154" s="217"/>
      <c r="AG154" s="217"/>
      <c r="AH154" s="217"/>
      <c r="AI154" s="232"/>
      <c r="AJ154" s="178"/>
    </row>
    <row r="155" spans="1:44" s="101" customFormat="1" ht="12.75" customHeight="1" x14ac:dyDescent="0.2">
      <c r="A155" s="533">
        <f>VLOOKUP(B155,Sheet1!$B$4:$C$25,2,FALSE)</f>
        <v>0</v>
      </c>
      <c r="B155" s="112" t="str">
        <f t="shared" si="29"/>
        <v>Portsmouth</v>
      </c>
      <c r="C155" s="97"/>
      <c r="D155" s="182">
        <f t="shared" si="30"/>
        <v>0.68725868725868722</v>
      </c>
      <c r="E155" s="182">
        <f t="shared" si="31"/>
        <v>0.6759581881533101</v>
      </c>
      <c r="F155" s="182">
        <f t="shared" si="32"/>
        <v>0.67261904761904767</v>
      </c>
      <c r="G155" s="182">
        <f t="shared" si="33"/>
        <v>0.77591973244147161</v>
      </c>
      <c r="H155" s="184">
        <f t="shared" si="34"/>
        <v>0.71844660194174759</v>
      </c>
      <c r="I155" s="115"/>
      <c r="J155" s="115"/>
      <c r="K155" s="186"/>
      <c r="L155" s="186"/>
      <c r="M155" s="186"/>
      <c r="N155" s="186"/>
      <c r="O155" s="186"/>
      <c r="P155" s="186"/>
      <c r="Q155" s="187"/>
      <c r="R155" s="177"/>
      <c r="S155" s="177"/>
      <c r="T155" s="186"/>
      <c r="U155" s="139"/>
      <c r="V155" s="154"/>
      <c r="W155" s="170"/>
      <c r="X155" s="488" t="str">
        <f t="shared" si="27"/>
        <v>Slough</v>
      </c>
      <c r="Y155" s="118">
        <f>IF(Year1_Slough Year1_CP_Conference_within15days="","",Year1_Slough Year1_CP_Conference_within15days)</f>
        <v>295</v>
      </c>
      <c r="Z155" s="118">
        <f>IF(Year2_Slough Year2_CP_Conference_within15days="","",Year2_Slough Year2_CP_Conference_within15days)</f>
        <v>305</v>
      </c>
      <c r="AA155" s="118">
        <f>IF(Year3_Slough Year3_CP_Conference_within15days="","",Year3_Slough Year3_CP_Conference_within15days)</f>
        <v>286</v>
      </c>
      <c r="AB155" s="118">
        <f>IF(Year4_Slough Year4_CP_Conference_within15days="","",Year4_Slough Year4_CP_Conference_within15days)</f>
        <v>276</v>
      </c>
      <c r="AC155" s="645">
        <f>IF(Year5_Slough Year5_CP_Conference_within15days="","",Year5_Slough Year5_CP_Conference_within15days)</f>
        <v>207</v>
      </c>
      <c r="AD155" s="226"/>
      <c r="AE155" s="217"/>
      <c r="AF155" s="217"/>
      <c r="AG155" s="217"/>
      <c r="AH155" s="217"/>
      <c r="AI155" s="232"/>
      <c r="AJ155" s="178"/>
    </row>
    <row r="156" spans="1:44" s="101" customFormat="1" ht="12.75" customHeight="1" x14ac:dyDescent="0.2">
      <c r="A156" s="533">
        <f>VLOOKUP(B156,Sheet1!$B$4:$C$25,2,FALSE)</f>
        <v>0</v>
      </c>
      <c r="B156" s="112" t="str">
        <f t="shared" si="29"/>
        <v>Reading</v>
      </c>
      <c r="C156" s="97"/>
      <c r="D156" s="182">
        <f t="shared" si="30"/>
        <v>0.83842794759825323</v>
      </c>
      <c r="E156" s="182">
        <f t="shared" si="31"/>
        <v>0.85382059800664456</v>
      </c>
      <c r="F156" s="182">
        <f t="shared" si="32"/>
        <v>0.67441860465116277</v>
      </c>
      <c r="G156" s="182">
        <f t="shared" si="33"/>
        <v>0.84659090909090906</v>
      </c>
      <c r="H156" s="184">
        <f t="shared" si="34"/>
        <v>0.75421686746987948</v>
      </c>
      <c r="I156" s="115"/>
      <c r="J156" s="115"/>
      <c r="K156" s="186"/>
      <c r="L156" s="186"/>
      <c r="M156" s="186"/>
      <c r="N156" s="186"/>
      <c r="O156" s="186"/>
      <c r="P156" s="186"/>
      <c r="Q156" s="187"/>
      <c r="R156" s="177"/>
      <c r="S156" s="177"/>
      <c r="T156" s="186"/>
      <c r="U156" s="139"/>
      <c r="V156" s="154"/>
      <c r="W156" s="170"/>
      <c r="X156" s="488" t="str">
        <f t="shared" si="27"/>
        <v>Somerset</v>
      </c>
      <c r="Y156" s="118">
        <f>IF(Year1_Somerset Year1_CP_Conference_within15days="","",Year1_Somerset Year1_CP_Conference_within15days)</f>
        <v>554</v>
      </c>
      <c r="Z156" s="118">
        <f>IF(Year2_Somerset Year2_CP_Conference_within15days="","",Year2_Somerset Year2_CP_Conference_within15days)</f>
        <v>637</v>
      </c>
      <c r="AA156" s="118">
        <f>IF(Year3_Somerset Year3_CP_Conference_within15days="","",Year3_Somerset Year3_CP_Conference_within15days)</f>
        <v>461</v>
      </c>
      <c r="AB156" s="118">
        <f>IF(Year4_Somerset Year4_CP_Conference_within15days="","",Year4_Somerset Year4_CP_Conference_within15days)</f>
        <v>622</v>
      </c>
      <c r="AC156" s="645">
        <f>IF(Year5_Somerset Year5_CP_Conference_within15days="","",Year5_Somerset Year5_CP_Conference_within15days)</f>
        <v>547</v>
      </c>
      <c r="AD156" s="226"/>
      <c r="AE156" s="217"/>
      <c r="AF156" s="217"/>
      <c r="AG156" s="217"/>
      <c r="AH156" s="217"/>
      <c r="AI156" s="232"/>
      <c r="AJ156" s="178"/>
    </row>
    <row r="157" spans="1:44" s="101" customFormat="1" ht="12.75" customHeight="1" x14ac:dyDescent="0.2">
      <c r="A157" s="533">
        <f>VLOOKUP(B157,Sheet1!$B$4:$C$25,2,FALSE)</f>
        <v>0</v>
      </c>
      <c r="B157" s="112" t="str">
        <f t="shared" si="29"/>
        <v>Slough</v>
      </c>
      <c r="C157" s="97"/>
      <c r="D157" s="182">
        <f t="shared" si="30"/>
        <v>0.74307304785894202</v>
      </c>
      <c r="E157" s="182">
        <f t="shared" si="31"/>
        <v>0.79842931937172779</v>
      </c>
      <c r="F157" s="182">
        <f t="shared" si="32"/>
        <v>0.81481481481481477</v>
      </c>
      <c r="G157" s="182">
        <f t="shared" si="33"/>
        <v>0.81656804733727806</v>
      </c>
      <c r="H157" s="184">
        <f t="shared" si="34"/>
        <v>0.75547445255474455</v>
      </c>
      <c r="I157" s="115"/>
      <c r="J157" s="115"/>
      <c r="K157" s="186"/>
      <c r="L157" s="186"/>
      <c r="M157" s="186"/>
      <c r="N157" s="186"/>
      <c r="O157" s="186"/>
      <c r="P157" s="186"/>
      <c r="Q157" s="187"/>
      <c r="R157" s="177"/>
      <c r="S157" s="177"/>
      <c r="T157" s="186"/>
      <c r="U157" s="139"/>
      <c r="V157" s="154"/>
      <c r="W157" s="170"/>
      <c r="X157" s="488" t="str">
        <f t="shared" si="27"/>
        <v>Southampton</v>
      </c>
      <c r="Y157" s="118">
        <f>IF(Year1_Southampton Year1_CP_Conference_within15days="","",Year1_Southampton Year1_CP_Conference_within15days)</f>
        <v>382</v>
      </c>
      <c r="Z157" s="118">
        <f>IF(Year2_Southampton Year2_CP_Conference_within15days="","",Year2_Southampton Year2_CP_Conference_within15days)</f>
        <v>351</v>
      </c>
      <c r="AA157" s="118">
        <f>IF(Year3_Southampton Year3_CP_Conference_within15days="","",Year3_Southampton Year3_CP_Conference_within15days)</f>
        <v>343</v>
      </c>
      <c r="AB157" s="118">
        <f>IF(Year4_Southampton Year4_CP_Conference_within15days="","",Year4_Southampton Year4_CP_Conference_within15days)</f>
        <v>315</v>
      </c>
      <c r="AC157" s="645">
        <f>IF(Year5_Southampton Year5_CP_Conference_within15days="","",Year5_Southampton Year5_CP_Conference_within15days)</f>
        <v>380</v>
      </c>
      <c r="AD157" s="226"/>
      <c r="AE157" s="217"/>
      <c r="AF157" s="217"/>
      <c r="AG157" s="217"/>
      <c r="AH157" s="217"/>
      <c r="AI157" s="232"/>
      <c r="AJ157" s="178"/>
    </row>
    <row r="158" spans="1:44" s="101" customFormat="1" ht="12.75" customHeight="1" x14ac:dyDescent="0.2">
      <c r="A158" s="533">
        <f>VLOOKUP(B158,Sheet1!$B$4:$C$25,2,FALSE)</f>
        <v>0</v>
      </c>
      <c r="B158" s="112" t="str">
        <f t="shared" si="29"/>
        <v>Somerset</v>
      </c>
      <c r="C158" s="97"/>
      <c r="D158" s="182">
        <f t="shared" si="30"/>
        <v>0.96347826086956523</v>
      </c>
      <c r="E158" s="182">
        <f t="shared" si="31"/>
        <v>0.90099009900990101</v>
      </c>
      <c r="F158" s="182">
        <f t="shared" si="32"/>
        <v>0.96443514644351469</v>
      </c>
      <c r="G158" s="182">
        <f t="shared" si="33"/>
        <v>0.94099848714069589</v>
      </c>
      <c r="H158" s="184">
        <f t="shared" si="34"/>
        <v>0.93344709897610922</v>
      </c>
      <c r="I158" s="115"/>
      <c r="J158" s="115"/>
      <c r="K158" s="186"/>
      <c r="L158" s="186"/>
      <c r="M158" s="186"/>
      <c r="N158" s="186"/>
      <c r="O158" s="186"/>
      <c r="P158" s="186"/>
      <c r="Q158" s="187"/>
      <c r="R158" s="177"/>
      <c r="S158" s="177"/>
      <c r="T158" s="186"/>
      <c r="U158" s="139"/>
      <c r="V158" s="154"/>
      <c r="W158" s="170"/>
      <c r="X158" s="488" t="str">
        <f t="shared" si="27"/>
        <v>Surrey</v>
      </c>
      <c r="Y158" s="118">
        <f>IF(Year1_Surrey Year1_CP_Conference_within15days="","",Year1_Surrey Year1_CP_Conference_within15days)</f>
        <v>806</v>
      </c>
      <c r="Z158" s="118">
        <f>IF(Year2_Surrey Year2_CP_Conference_within15days="","",Year2_Surrey Year2_CP_Conference_within15days)</f>
        <v>653</v>
      </c>
      <c r="AA158" s="118">
        <f>IF(Year3_Surrey Year3_CP_Conference_within15days="","",Year3_Surrey Year3_CP_Conference_within15days)</f>
        <v>810</v>
      </c>
      <c r="AB158" s="118">
        <f>IF(Year4_Surrey Year4_CP_Conference_within15days="","",Year4_Surrey Year4_CP_Conference_within15days)</f>
        <v>925</v>
      </c>
      <c r="AC158" s="645">
        <f>IF(Year5_Surrey Year5_CP_Conference_within15days="","",Year5_Surrey Year5_CP_Conference_within15days)</f>
        <v>764</v>
      </c>
      <c r="AD158" s="226"/>
      <c r="AE158" s="217"/>
      <c r="AF158" s="217"/>
      <c r="AG158" s="217"/>
      <c r="AH158" s="217"/>
      <c r="AI158" s="232"/>
      <c r="AJ158" s="178"/>
    </row>
    <row r="159" spans="1:44" s="101" customFormat="1" ht="12.75" customHeight="1" x14ac:dyDescent="0.2">
      <c r="A159" s="533">
        <f>VLOOKUP(B159,Sheet1!$B$4:$C$25,2,FALSE)</f>
        <v>0</v>
      </c>
      <c r="B159" s="112" t="str">
        <f t="shared" si="29"/>
        <v>Southampton</v>
      </c>
      <c r="C159" s="97"/>
      <c r="D159" s="182">
        <f t="shared" si="30"/>
        <v>0.82505399568034554</v>
      </c>
      <c r="E159" s="182">
        <f t="shared" si="31"/>
        <v>0.70909090909090911</v>
      </c>
      <c r="F159" s="182">
        <f t="shared" si="32"/>
        <v>0.61801801801801803</v>
      </c>
      <c r="G159" s="182">
        <f t="shared" si="33"/>
        <v>0.68034557235421167</v>
      </c>
      <c r="H159" s="184">
        <f t="shared" si="34"/>
        <v>0.73929961089494167</v>
      </c>
      <c r="I159" s="115"/>
      <c r="J159" s="115"/>
      <c r="K159" s="186"/>
      <c r="L159" s="186"/>
      <c r="M159" s="186"/>
      <c r="N159" s="186"/>
      <c r="O159" s="186"/>
      <c r="P159" s="186"/>
      <c r="Q159" s="187"/>
      <c r="R159" s="177"/>
      <c r="S159" s="177"/>
      <c r="T159" s="186"/>
      <c r="U159" s="139"/>
      <c r="V159" s="154"/>
      <c r="W159" s="170"/>
      <c r="X159" s="488" t="str">
        <f t="shared" si="27"/>
        <v>Swindon</v>
      </c>
      <c r="Y159" s="118">
        <f>IF(Year1_Swindon Year1_CP_Conference_within15days="","",Year1_Swindon Year1_CP_Conference_within15days)</f>
        <v>237</v>
      </c>
      <c r="Z159" s="118">
        <f>IF(Year2_Swindon Year2_CP_Conference_within15days="","",Year2_Swindon Year2_CP_Conference_within15days)</f>
        <v>215</v>
      </c>
      <c r="AA159" s="118">
        <f>IF(Year3_Swindon Year3_CP_Conference_within15days="","",Year3_Swindon Year3_CP_Conference_within15days)</f>
        <v>270</v>
      </c>
      <c r="AB159" s="118">
        <f>IF(Year4_Swindon Year4_CP_Conference_within15days="","",Year4_Swindon Year4_CP_Conference_within15days)</f>
        <v>253</v>
      </c>
      <c r="AC159" s="645">
        <f>IF(Year5_Swindon Year5_CP_Conference_within15days="","",Year5_Swindon Year5_CP_Conference_within15days)</f>
        <v>486</v>
      </c>
      <c r="AD159" s="226"/>
      <c r="AE159" s="217"/>
      <c r="AF159" s="217"/>
      <c r="AG159" s="217"/>
      <c r="AH159" s="217"/>
      <c r="AI159" s="232"/>
      <c r="AJ159" s="178"/>
    </row>
    <row r="160" spans="1:44" s="101" customFormat="1" ht="12.75" customHeight="1" x14ac:dyDescent="0.2">
      <c r="A160" s="533">
        <f>VLOOKUP(B160,Sheet1!$B$4:$C$25,2,FALSE)</f>
        <v>0</v>
      </c>
      <c r="B160" s="112" t="str">
        <f t="shared" si="29"/>
        <v>Surrey</v>
      </c>
      <c r="C160" s="97"/>
      <c r="D160" s="182">
        <f t="shared" si="30"/>
        <v>0.71772039180765801</v>
      </c>
      <c r="E160" s="182">
        <f t="shared" si="31"/>
        <v>0.53436988543371522</v>
      </c>
      <c r="F160" s="182">
        <f t="shared" si="32"/>
        <v>0.66393442622950816</v>
      </c>
      <c r="G160" s="182">
        <f t="shared" si="33"/>
        <v>0.68417159763313606</v>
      </c>
      <c r="H160" s="184">
        <f t="shared" si="34"/>
        <v>0.51447811447811442</v>
      </c>
      <c r="I160" s="115"/>
      <c r="J160" s="115"/>
      <c r="K160" s="186"/>
      <c r="L160" s="186"/>
      <c r="M160" s="186"/>
      <c r="N160" s="186"/>
      <c r="O160" s="186"/>
      <c r="P160" s="186"/>
      <c r="Q160" s="187"/>
      <c r="R160" s="177"/>
      <c r="S160" s="177"/>
      <c r="T160" s="186"/>
      <c r="U160" s="139"/>
      <c r="V160" s="154"/>
      <c r="W160" s="170"/>
      <c r="X160" s="488" t="str">
        <f t="shared" si="27"/>
        <v>Torbay</v>
      </c>
      <c r="Y160" s="118">
        <f>IF(Year1_Torbay Year1_CP_Conference_within15days="","",Year1_Torbay Year1_CP_Conference_within15days)</f>
        <v>139</v>
      </c>
      <c r="Z160" s="118">
        <f>IF(Year2_Torbay Year2_CP_Conference_within15days="","",Year2_Torbay Year2_CP_Conference_within15days)</f>
        <v>137</v>
      </c>
      <c r="AA160" s="118">
        <f>IF(Year3_Torbay Year3_CP_Conference_within15days="","",Year3_Torbay Year3_CP_Conference_within15days)</f>
        <v>262</v>
      </c>
      <c r="AB160" s="118">
        <f>IF(Year4_Torbay Year4_CP_Conference_within15days="","",Year4_Torbay Year4_CP_Conference_within15days)</f>
        <v>326</v>
      </c>
      <c r="AC160" s="645">
        <f>IF(Year5_Torbay Year5_CP_Conference_within15days="","",Year5_Torbay Year5_CP_Conference_within15days)</f>
        <v>242</v>
      </c>
      <c r="AD160" s="226"/>
      <c r="AE160" s="217"/>
      <c r="AF160" s="217"/>
      <c r="AG160" s="217"/>
      <c r="AH160" s="217"/>
      <c r="AI160" s="232"/>
      <c r="AJ160" s="178"/>
    </row>
    <row r="161" spans="1:45" s="101" customFormat="1" ht="12.75" customHeight="1" x14ac:dyDescent="0.2">
      <c r="A161" s="533">
        <f>VLOOKUP(B161,Sheet1!$B$4:$C$25,2,FALSE)</f>
        <v>0</v>
      </c>
      <c r="B161" s="112" t="str">
        <f t="shared" si="29"/>
        <v>Swindon</v>
      </c>
      <c r="C161" s="97"/>
      <c r="D161" s="182">
        <f t="shared" si="30"/>
        <v>0.7719869706840391</v>
      </c>
      <c r="E161" s="182">
        <f t="shared" si="31"/>
        <v>0.69579288025889963</v>
      </c>
      <c r="F161" s="182">
        <f t="shared" si="32"/>
        <v>0.78034682080924855</v>
      </c>
      <c r="G161" s="182">
        <f t="shared" si="33"/>
        <v>0.65374677002583981</v>
      </c>
      <c r="H161" s="184">
        <f t="shared" si="34"/>
        <v>0.84668989547038331</v>
      </c>
      <c r="I161" s="115"/>
      <c r="J161" s="115"/>
      <c r="K161" s="186"/>
      <c r="L161" s="186"/>
      <c r="M161" s="186"/>
      <c r="N161" s="186"/>
      <c r="O161" s="186"/>
      <c r="P161" s="186"/>
      <c r="Q161" s="187"/>
      <c r="R161" s="177"/>
      <c r="S161" s="177"/>
      <c r="T161" s="186"/>
      <c r="U161" s="139"/>
      <c r="V161" s="154"/>
      <c r="W161" s="170"/>
      <c r="X161" s="488" t="str">
        <f t="shared" si="27"/>
        <v>West Berkshire</v>
      </c>
      <c r="Y161" s="118">
        <f>IF(Year1_West_Berkshire Year1_CP_Conference_within15days="","",Year1_West_Berkshire Year1_CP_Conference_within15days)</f>
        <v>103</v>
      </c>
      <c r="Z161" s="118">
        <f>IF(Year2_West_Berkshire Year2_CP_Conference_within15days="","",Year2_West_Berkshire Year2_CP_Conference_within15days)</f>
        <v>178</v>
      </c>
      <c r="AA161" s="118">
        <f>IF(Year3_West_Berkshire Year3_CP_Conference_within15days="","",Year3_West_Berkshire Year3_CP_Conference_within15days)</f>
        <v>226</v>
      </c>
      <c r="AB161" s="118">
        <f>IF(Year4_West_Berkshire Year4_CP_Conference_within15days="","",Year4_West_Berkshire Year4_CP_Conference_within15days)</f>
        <v>240</v>
      </c>
      <c r="AC161" s="645">
        <f>IF(Year5_West_Berkshire Year5_CP_Conference_within15days="","",Year5_West_Berkshire Year5_CP_Conference_within15days)</f>
        <v>265</v>
      </c>
      <c r="AD161" s="226"/>
      <c r="AE161" s="217"/>
      <c r="AF161" s="217"/>
      <c r="AG161" s="217"/>
      <c r="AH161" s="217"/>
      <c r="AI161" s="232"/>
      <c r="AJ161" s="178"/>
    </row>
    <row r="162" spans="1:45" s="101" customFormat="1" ht="12.75" customHeight="1" x14ac:dyDescent="0.2">
      <c r="A162" s="533">
        <f>VLOOKUP(B162,Sheet1!$B$4:$C$25,2,FALSE)</f>
        <v>0</v>
      </c>
      <c r="B162" s="112" t="str">
        <f t="shared" si="29"/>
        <v>Torbay</v>
      </c>
      <c r="C162" s="97"/>
      <c r="D162" s="182">
        <f t="shared" si="30"/>
        <v>0.50545454545454549</v>
      </c>
      <c r="E162" s="182">
        <f t="shared" si="31"/>
        <v>0.45819397993311034</v>
      </c>
      <c r="F162" s="182">
        <f t="shared" si="32"/>
        <v>0.80615384615384611</v>
      </c>
      <c r="G162" s="182">
        <f t="shared" si="33"/>
        <v>0.90055248618784534</v>
      </c>
      <c r="H162" s="184">
        <f t="shared" si="34"/>
        <v>0.66850828729281764</v>
      </c>
      <c r="I162" s="115"/>
      <c r="J162" s="115"/>
      <c r="K162" s="186"/>
      <c r="L162" s="186"/>
      <c r="M162" s="186"/>
      <c r="N162" s="186"/>
      <c r="O162" s="186"/>
      <c r="P162" s="186"/>
      <c r="Q162" s="187"/>
      <c r="R162" s="177"/>
      <c r="S162" s="177"/>
      <c r="T162" s="186"/>
      <c r="U162" s="139"/>
      <c r="V162" s="154"/>
      <c r="W162" s="170"/>
      <c r="X162" s="488" t="str">
        <f t="shared" si="27"/>
        <v>West Sussex</v>
      </c>
      <c r="Y162" s="118">
        <f>IF(Year1_West_Sussex Year1_CP_Conference_within15days="","",Year1_West_Sussex Year1_CP_Conference_within15days)</f>
        <v>322</v>
      </c>
      <c r="Z162" s="118">
        <f>IF(Year2_West_Sussex Year2_CP_Conference_within15days="","",Year2_West_Sussex Year2_CP_Conference_within15days)</f>
        <v>510</v>
      </c>
      <c r="AA162" s="118">
        <f>IF(Year3_West_Sussex Year3_CP_Conference_within15days="","",Year3_West_Sussex Year3_CP_Conference_within15days)</f>
        <v>355</v>
      </c>
      <c r="AB162" s="118">
        <f>IF(Year4_West_Sussex Year4_CP_Conference_within15days="","",Year4_West_Sussex Year4_CP_Conference_within15days)</f>
        <v>291</v>
      </c>
      <c r="AC162" s="645">
        <f>IF(Year5_West_Sussex Year5_CP_Conference_within15days="","",Year5_West_Sussex Year5_CP_Conference_within15days)</f>
        <v>918</v>
      </c>
      <c r="AD162" s="226"/>
      <c r="AE162" s="217"/>
      <c r="AF162" s="217"/>
      <c r="AG162" s="217"/>
      <c r="AH162" s="217"/>
      <c r="AI162" s="232"/>
      <c r="AJ162" s="178"/>
    </row>
    <row r="163" spans="1:45" s="101" customFormat="1" ht="12.75" customHeight="1" x14ac:dyDescent="0.2">
      <c r="A163" s="533">
        <f>VLOOKUP(B163,Sheet1!$B$4:$C$25,2,FALSE)</f>
        <v>0</v>
      </c>
      <c r="B163" s="112" t="str">
        <f t="shared" si="29"/>
        <v>West Berkshire</v>
      </c>
      <c r="C163" s="97"/>
      <c r="D163" s="182">
        <f t="shared" si="30"/>
        <v>0.65189873417721522</v>
      </c>
      <c r="E163" s="182">
        <f t="shared" si="31"/>
        <v>0.85990338164251212</v>
      </c>
      <c r="F163" s="182">
        <f t="shared" si="32"/>
        <v>0.94166666666666665</v>
      </c>
      <c r="G163" s="182">
        <f t="shared" si="33"/>
        <v>0.967741935483871</v>
      </c>
      <c r="H163" s="184">
        <f t="shared" si="34"/>
        <v>0.96363636363636362</v>
      </c>
      <c r="I163" s="115"/>
      <c r="J163" s="115"/>
      <c r="K163" s="186"/>
      <c r="L163" s="186"/>
      <c r="M163" s="186"/>
      <c r="N163" s="186"/>
      <c r="O163" s="186"/>
      <c r="P163" s="186"/>
      <c r="Q163" s="187"/>
      <c r="R163" s="177"/>
      <c r="S163" s="177"/>
      <c r="T163" s="186"/>
      <c r="U163" s="139"/>
      <c r="V163" s="154"/>
      <c r="W163" s="170"/>
      <c r="X163" s="488" t="str">
        <f t="shared" si="27"/>
        <v>Windsor &amp; Maidenhead</v>
      </c>
      <c r="Y163" s="118">
        <f>IF(Year1_Windsor_Maidenhead Year1_CP_Conference_within15days="","",Year1_Windsor_Maidenhead Year1_CP_Conference_within15days)</f>
        <v>83</v>
      </c>
      <c r="Z163" s="118">
        <f>IF(Year2_Windsor_Maidenhead Year2_CP_Conference_within15days="","",Year2_Windsor_Maidenhead Year2_CP_Conference_within15days)</f>
        <v>73</v>
      </c>
      <c r="AA163" s="118">
        <f>IF(Year3_Windsor_Maidenhead Year3_CP_Conference_within15days="","",Year3_Windsor_Maidenhead Year3_CP_Conference_within15days)</f>
        <v>172</v>
      </c>
      <c r="AB163" s="118">
        <f>IF(Year4_Windsor_Maidenhead Year4_CP_Conference_within15days="","",Year4_Windsor_Maidenhead Year4_CP_Conference_within15days)</f>
        <v>161</v>
      </c>
      <c r="AC163" s="645">
        <f>IF(Year5_Windsor_Maidenhead Year5_CP_Conference_within15days="","",Year5_Windsor_Maidenhead Year5_CP_Conference_within15days)</f>
        <v>73</v>
      </c>
      <c r="AD163" s="226"/>
      <c r="AE163" s="232"/>
      <c r="AF163" s="217"/>
      <c r="AG163" s="217"/>
      <c r="AH163" s="217"/>
      <c r="AI163" s="232"/>
      <c r="AJ163" s="178"/>
    </row>
    <row r="164" spans="1:45" s="101" customFormat="1" ht="12.75" customHeight="1" x14ac:dyDescent="0.2">
      <c r="A164" s="533">
        <f>VLOOKUP(B164,Sheet1!$B$4:$C$25,2,FALSE)</f>
        <v>0</v>
      </c>
      <c r="B164" s="112" t="str">
        <f t="shared" si="29"/>
        <v>West Sussex</v>
      </c>
      <c r="C164" s="97"/>
      <c r="D164" s="182">
        <f t="shared" si="30"/>
        <v>0.46330935251798561</v>
      </c>
      <c r="E164" s="182">
        <f t="shared" si="31"/>
        <v>0.58688147295742232</v>
      </c>
      <c r="F164" s="182">
        <f t="shared" si="32"/>
        <v>0.52906110283159469</v>
      </c>
      <c r="G164" s="182">
        <f t="shared" si="33"/>
        <v>0.42794117647058821</v>
      </c>
      <c r="H164" s="184">
        <f t="shared" si="34"/>
        <v>0.85078776645041709</v>
      </c>
      <c r="I164" s="115"/>
      <c r="J164" s="115"/>
      <c r="K164" s="186"/>
      <c r="L164" s="186"/>
      <c r="M164" s="186"/>
      <c r="N164" s="186"/>
      <c r="O164" s="186"/>
      <c r="P164" s="186"/>
      <c r="Q164" s="187"/>
      <c r="R164" s="177"/>
      <c r="S164" s="177"/>
      <c r="T164" s="186"/>
      <c r="U164" s="139"/>
      <c r="V164" s="154"/>
      <c r="W164" s="170"/>
      <c r="X164" s="488" t="str">
        <f t="shared" si="27"/>
        <v>Wokingham</v>
      </c>
      <c r="Y164" s="118">
        <f>IF(Year1_Wokingham Year1_CP_Conference_within15days="","",Year1_Wokingham Year1_CP_Conference_within15days)</f>
        <v>106</v>
      </c>
      <c r="Z164" s="118">
        <f>IF(Year2_Wokingham Year2_CP_Conference_within15days="","",Year2_Wokingham Year2_CP_Conference_within15days)</f>
        <v>63</v>
      </c>
      <c r="AA164" s="118">
        <f>IF(Year3_Wokingham Year3_CP_Conference_within15days="","",Year3_Wokingham Year3_CP_Conference_within15days)</f>
        <v>140</v>
      </c>
      <c r="AB164" s="118">
        <f>IF(Year4_Wokingham Year4_CP_Conference_within15days="","",Year4_Wokingham Year4_CP_Conference_within15days)</f>
        <v>71</v>
      </c>
      <c r="AC164" s="645">
        <f>IF(Year5_Wokingham Year5_CP_Conference_within15days="","",Year5_Wokingham Year5_CP_Conference_within15days)</f>
        <v>149</v>
      </c>
      <c r="AD164" s="226"/>
      <c r="AE164" s="232"/>
      <c r="AF164" s="217"/>
      <c r="AG164" s="217"/>
      <c r="AH164" s="217"/>
      <c r="AI164" s="232"/>
      <c r="AJ164" s="178"/>
    </row>
    <row r="165" spans="1:45" s="101" customFormat="1" ht="12.75" customHeight="1" x14ac:dyDescent="0.2">
      <c r="A165" s="533">
        <f>VLOOKUP(B165,Sheet1!$B$4:$C$25,2,FALSE)</f>
        <v>0</v>
      </c>
      <c r="B165" s="112" t="str">
        <f t="shared" si="29"/>
        <v>Windsor &amp; Maidenhead</v>
      </c>
      <c r="C165" s="97"/>
      <c r="D165" s="182">
        <f t="shared" si="30"/>
        <v>0.79807692307692313</v>
      </c>
      <c r="E165" s="182">
        <f t="shared" si="31"/>
        <v>0.78494623655913975</v>
      </c>
      <c r="F165" s="182">
        <f t="shared" si="32"/>
        <v>0.86</v>
      </c>
      <c r="G165" s="182">
        <f t="shared" si="33"/>
        <v>0.82989690721649489</v>
      </c>
      <c r="H165" s="184">
        <f t="shared" si="34"/>
        <v>0.53284671532846717</v>
      </c>
      <c r="I165" s="115"/>
      <c r="J165" s="115"/>
      <c r="K165" s="186"/>
      <c r="L165" s="186"/>
      <c r="M165" s="186"/>
      <c r="N165" s="186"/>
      <c r="O165" s="186"/>
      <c r="P165" s="186"/>
      <c r="Q165" s="187"/>
      <c r="R165" s="177"/>
      <c r="S165" s="177"/>
      <c r="T165" s="186"/>
      <c r="U165" s="139"/>
      <c r="V165" s="154"/>
      <c r="W165" s="170"/>
      <c r="X165" s="488" t="str">
        <f t="shared" si="27"/>
        <v>South East</v>
      </c>
      <c r="Y165" s="118">
        <f>IF(Year1_SouthEast Year1_CP_Conference_within15days="","",Year1_SouthEast Year1_CP_Conference_within15days)</f>
        <v>6250</v>
      </c>
      <c r="Z165" s="118">
        <f>IF(Year2_SouthEast Year2_CP_Conference_within15days="","",Year2_SouthEast Year2_CP_Conference_within15days)</f>
        <v>7690</v>
      </c>
      <c r="AA165" s="118">
        <f>IF(Year3_SouthEast Year3_CP_Conference_within15days="","",Year3_SouthEast Year3_CP_Conference_within15days)</f>
        <v>8240</v>
      </c>
      <c r="AB165" s="118">
        <f>IF(Year4_SouthEast Year4_CP_Conference_within15days="","",Year4_SouthEast Year4_CP_Conference_within15days)</f>
        <v>8620</v>
      </c>
      <c r="AC165" s="645">
        <f>IF(Year5_SouthEast Year5_CP_Conference_within15days="","",Year5_SouthEast Year5_CP_Conference_within15days)</f>
        <v>9170</v>
      </c>
      <c r="AD165" s="226"/>
      <c r="AE165" s="232"/>
      <c r="AF165" s="232"/>
      <c r="AG165" s="232"/>
      <c r="AH165" s="217"/>
      <c r="AI165" s="232"/>
      <c r="AJ165" s="178"/>
    </row>
    <row r="166" spans="1:45" s="101" customFormat="1" ht="12.75" customHeight="1" x14ac:dyDescent="0.2">
      <c r="A166" s="533">
        <f>VLOOKUP(B166,Sheet1!$B$4:$C$25,2,FALSE)</f>
        <v>0</v>
      </c>
      <c r="B166" s="112" t="str">
        <f t="shared" si="29"/>
        <v>Wokingham</v>
      </c>
      <c r="C166" s="97"/>
      <c r="D166" s="182">
        <f t="shared" si="30"/>
        <v>0.86885245901639341</v>
      </c>
      <c r="E166" s="182">
        <f t="shared" si="31"/>
        <v>0.91304347826086951</v>
      </c>
      <c r="F166" s="182">
        <f t="shared" si="32"/>
        <v>0.96551724137931039</v>
      </c>
      <c r="G166" s="182">
        <f t="shared" si="33"/>
        <v>0.797752808988764</v>
      </c>
      <c r="H166" s="184">
        <f t="shared" si="34"/>
        <v>0.82320441988950277</v>
      </c>
      <c r="I166" s="115"/>
      <c r="J166" s="115"/>
      <c r="K166" s="186"/>
      <c r="L166" s="186"/>
      <c r="M166" s="186"/>
      <c r="N166" s="186"/>
      <c r="O166" s="186"/>
      <c r="P166" s="186"/>
      <c r="Q166" s="187"/>
      <c r="R166" s="177"/>
      <c r="S166" s="177"/>
      <c r="T166" s="186"/>
      <c r="U166" s="139"/>
      <c r="V166" s="154"/>
      <c r="W166" s="170"/>
      <c r="X166" s="488" t="str">
        <f t="shared" si="27"/>
        <v>England</v>
      </c>
      <c r="Y166" s="711">
        <f>IF(Year1_England Year1_CP_Conference_within15days="","",Year1_England Year1_CP_Conference_within15days)</f>
        <v>45170</v>
      </c>
      <c r="Z166" s="711">
        <f>IF(Year2_England Year2_CP_Conference_within15days="","",Year2_England Year2_CP_Conference_within15days)</f>
        <v>53370</v>
      </c>
      <c r="AA166" s="711">
        <f>IF(Year3_England Year3_CP_Conference_within15days="","",Year3_England Year3_CP_Conference_within15days)</f>
        <v>56000</v>
      </c>
      <c r="AB166" s="711">
        <f>IF(Year4_England Year4_CP_Conference_within15days="","",Year4_England Year4_CP_Conference_within15days)</f>
        <v>59410</v>
      </c>
      <c r="AC166" s="712">
        <f>IF(Year5_England Year5_CP_Conference_within15days="","",Year5_England Year5_CP_Conference_within15days)</f>
        <v>61150</v>
      </c>
      <c r="AD166" s="226"/>
      <c r="AE166" s="232"/>
      <c r="AF166" s="232"/>
      <c r="AG166" s="232"/>
      <c r="AH166" s="217"/>
      <c r="AI166" s="232"/>
      <c r="AJ166" s="178"/>
    </row>
    <row r="167" spans="1:45" s="101" customFormat="1" ht="12.75" customHeight="1" x14ac:dyDescent="0.2">
      <c r="A167" s="138"/>
      <c r="B167" s="146" t="str">
        <f t="shared" si="29"/>
        <v>South East</v>
      </c>
      <c r="C167" s="97"/>
      <c r="D167" s="183">
        <f t="shared" si="30"/>
        <v>0.65445026178010468</v>
      </c>
      <c r="E167" s="183">
        <f t="shared" si="31"/>
        <v>0.67574692442882245</v>
      </c>
      <c r="F167" s="183">
        <f t="shared" si="32"/>
        <v>0.72217353198948286</v>
      </c>
      <c r="G167" s="183">
        <f t="shared" si="33"/>
        <v>0.75021758050478682</v>
      </c>
      <c r="H167" s="185">
        <f t="shared" si="34"/>
        <v>0.74979558462796403</v>
      </c>
      <c r="I167" s="115"/>
      <c r="J167" s="115"/>
      <c r="K167" s="188"/>
      <c r="L167" s="188"/>
      <c r="M167" s="188"/>
      <c r="N167" s="188"/>
      <c r="O167" s="188"/>
      <c r="P167" s="188"/>
      <c r="Q167" s="189"/>
      <c r="R167" s="177"/>
      <c r="S167" s="177"/>
      <c r="T167" s="190"/>
      <c r="U167" s="139"/>
      <c r="V167" s="154"/>
      <c r="W167" s="170"/>
      <c r="X167" s="399"/>
      <c r="Y167" s="400"/>
      <c r="Z167" s="223"/>
      <c r="AA167" s="223"/>
      <c r="AB167" s="224"/>
      <c r="AC167" s="224"/>
      <c r="AD167" s="226"/>
      <c r="AE167" s="232"/>
      <c r="AF167" s="232"/>
      <c r="AG167" s="232"/>
      <c r="AH167" s="217"/>
      <c r="AI167" s="232"/>
      <c r="AJ167" s="178"/>
    </row>
    <row r="168" spans="1:45" s="101" customFormat="1" ht="12.75" customHeight="1" x14ac:dyDescent="0.2">
      <c r="A168" s="138"/>
      <c r="B168" s="370" t="str">
        <f t="shared" si="29"/>
        <v>England</v>
      </c>
      <c r="C168" s="97"/>
      <c r="D168" s="401">
        <f t="shared" si="30"/>
        <v>0.6928976836938181</v>
      </c>
      <c r="E168" s="401">
        <f t="shared" si="31"/>
        <v>0.74737431732250381</v>
      </c>
      <c r="F168" s="401">
        <f t="shared" si="32"/>
        <v>0.76659822039698833</v>
      </c>
      <c r="G168" s="401">
        <f t="shared" si="33"/>
        <v>0.77226049655531004</v>
      </c>
      <c r="H168" s="402">
        <f>IF(OR(ISBLANK(H32),ISBLANK(AC166)),NA(),AC166/H32)</f>
        <v>0.76947275701522588</v>
      </c>
      <c r="I168" s="115"/>
      <c r="J168" s="115"/>
      <c r="K168" s="188"/>
      <c r="L168" s="188"/>
      <c r="M168" s="188"/>
      <c r="N168" s="188"/>
      <c r="O168" s="188"/>
      <c r="P168" s="188"/>
      <c r="Q168" s="189"/>
      <c r="R168" s="177"/>
      <c r="S168" s="177"/>
      <c r="T168" s="190"/>
      <c r="U168" s="139"/>
      <c r="V168" s="154"/>
      <c r="W168" s="170"/>
      <c r="X168" s="88"/>
      <c r="Y168" s="88"/>
      <c r="Z168" s="223"/>
      <c r="AA168" s="223"/>
      <c r="AB168" s="224"/>
      <c r="AC168" s="224"/>
      <c r="AD168" s="226"/>
      <c r="AE168" s="232"/>
      <c r="AF168" s="232"/>
      <c r="AG168" s="232"/>
      <c r="AH168" s="217"/>
      <c r="AI168" s="232"/>
      <c r="AJ168" s="178"/>
    </row>
    <row r="169" spans="1:45" s="101" customFormat="1" ht="7.5" customHeight="1" x14ac:dyDescent="0.2">
      <c r="A169" s="324"/>
      <c r="B169" s="115"/>
      <c r="C169" s="115"/>
      <c r="D169" s="115"/>
      <c r="E169" s="115"/>
      <c r="F169" s="115"/>
      <c r="G169" s="115"/>
      <c r="H169" s="115"/>
      <c r="I169" s="115"/>
      <c r="J169" s="115"/>
      <c r="K169" s="188"/>
      <c r="L169" s="188"/>
      <c r="M169" s="188"/>
      <c r="N169" s="188"/>
      <c r="O169" s="188"/>
      <c r="P169" s="188"/>
      <c r="Q169" s="189"/>
      <c r="R169" s="177"/>
      <c r="S169" s="177"/>
      <c r="T169" s="190"/>
      <c r="U169" s="139"/>
      <c r="V169" s="154"/>
      <c r="W169" s="170"/>
      <c r="X169" s="88"/>
      <c r="Y169" s="88"/>
      <c r="Z169" s="223"/>
      <c r="AA169" s="223"/>
      <c r="AB169" s="224"/>
      <c r="AC169" s="224"/>
      <c r="AD169" s="226"/>
      <c r="AE169" s="232"/>
      <c r="AF169" s="232"/>
      <c r="AG169" s="232"/>
      <c r="AH169" s="217"/>
      <c r="AI169" s="232"/>
      <c r="AJ169" s="178"/>
    </row>
    <row r="170" spans="1:45" s="88" customFormat="1" ht="38.25" customHeight="1" x14ac:dyDescent="0.2">
      <c r="A170" s="249"/>
      <c r="B170" s="421"/>
      <c r="C170" s="421"/>
      <c r="D170" s="421"/>
      <c r="E170" s="421"/>
      <c r="F170" s="421"/>
      <c r="G170" s="421"/>
      <c r="H170" s="421"/>
      <c r="I170" s="421"/>
      <c r="J170" s="192"/>
      <c r="K170" s="192"/>
      <c r="L170" s="192"/>
      <c r="M170" s="192"/>
      <c r="N170" s="192"/>
      <c r="O170" s="192"/>
      <c r="P170" s="192"/>
      <c r="Q170" s="151"/>
      <c r="R170" s="192"/>
      <c r="S170" s="192"/>
      <c r="T170" s="192"/>
      <c r="U170" s="134"/>
      <c r="V170" s="152"/>
      <c r="W170" s="168"/>
      <c r="AC170" s="224"/>
      <c r="AD170" s="226"/>
      <c r="AE170" s="210"/>
      <c r="AF170" s="210"/>
      <c r="AG170" s="210"/>
      <c r="AI170" s="210"/>
      <c r="AJ170" s="179"/>
    </row>
    <row r="171" spans="1:45" s="88" customFormat="1" ht="39" customHeight="1" x14ac:dyDescent="0.2">
      <c r="A171" s="249"/>
      <c r="B171" s="421"/>
      <c r="C171" s="421"/>
      <c r="D171" s="421"/>
      <c r="E171" s="421"/>
      <c r="F171" s="421"/>
      <c r="G171" s="421"/>
      <c r="H171" s="421"/>
      <c r="I171" s="421"/>
      <c r="J171" s="192"/>
      <c r="K171" s="192"/>
      <c r="L171" s="192"/>
      <c r="M171" s="192"/>
      <c r="N171" s="192"/>
      <c r="O171" s="192"/>
      <c r="P171" s="192"/>
      <c r="Q171" s="151"/>
      <c r="R171" s="192"/>
      <c r="S171" s="192"/>
      <c r="T171" s="192"/>
      <c r="U171" s="134"/>
      <c r="V171" s="152"/>
      <c r="W171" s="168"/>
      <c r="Y171" s="217"/>
      <c r="AD171" s="226"/>
      <c r="AE171" s="210"/>
      <c r="AF171" s="210"/>
      <c r="AG171" s="210"/>
      <c r="AI171" s="210"/>
      <c r="AJ171" s="179"/>
    </row>
    <row r="172" spans="1:45" s="88" customFormat="1" ht="38.25" customHeight="1" x14ac:dyDescent="0.2">
      <c r="A172" s="249"/>
      <c r="B172" s="421"/>
      <c r="C172" s="421"/>
      <c r="D172" s="421"/>
      <c r="E172" s="421"/>
      <c r="F172" s="421"/>
      <c r="G172" s="421"/>
      <c r="H172" s="421"/>
      <c r="I172" s="421"/>
      <c r="J172" s="192"/>
      <c r="K172" s="192"/>
      <c r="L172" s="192"/>
      <c r="M172" s="192"/>
      <c r="N172" s="192"/>
      <c r="O172" s="192"/>
      <c r="P172" s="192"/>
      <c r="Q172" s="151"/>
      <c r="R172" s="192"/>
      <c r="S172" s="192"/>
      <c r="T172" s="192"/>
      <c r="U172" s="134"/>
      <c r="V172" s="152"/>
      <c r="W172" s="168"/>
      <c r="Y172" s="217"/>
      <c r="AD172" s="226"/>
      <c r="AE172" s="210"/>
      <c r="AF172" s="210"/>
      <c r="AG172" s="210"/>
      <c r="AI172" s="210"/>
      <c r="AJ172" s="179"/>
    </row>
    <row r="173" spans="1:45" s="88" customFormat="1" ht="7.5" customHeight="1" x14ac:dyDescent="0.2">
      <c r="A173" s="135"/>
      <c r="B173" s="18"/>
      <c r="C173" s="18"/>
      <c r="D173" s="17"/>
      <c r="E173" s="17"/>
      <c r="F173" s="17"/>
      <c r="G173" s="17"/>
      <c r="H173" s="17"/>
      <c r="I173" s="17"/>
      <c r="J173" s="13"/>
      <c r="K173" s="19"/>
      <c r="L173" s="19"/>
      <c r="M173" s="19"/>
      <c r="N173" s="19"/>
      <c r="O173" s="19"/>
      <c r="P173" s="19"/>
      <c r="Q173" s="19"/>
      <c r="R173" s="19"/>
      <c r="S173" s="19"/>
      <c r="T173" s="20"/>
      <c r="U173" s="134"/>
      <c r="V173" s="152"/>
      <c r="W173" s="168"/>
      <c r="Y173" s="217"/>
      <c r="AI173" s="210"/>
      <c r="AJ173" s="175"/>
      <c r="AK173" s="80"/>
      <c r="AL173" s="80"/>
      <c r="AM173" s="80"/>
      <c r="AN173" s="80"/>
      <c r="AO173" s="80"/>
      <c r="AP173" s="80"/>
      <c r="AQ173" s="80"/>
    </row>
    <row r="174" spans="1:45" s="88" customFormat="1" ht="15" customHeight="1" x14ac:dyDescent="0.2">
      <c r="A174" s="1010"/>
      <c r="B174" s="1018"/>
      <c r="C174" s="1018"/>
      <c r="D174" s="1018"/>
      <c r="E174" s="1018"/>
      <c r="F174" s="1018"/>
      <c r="G174" s="1018"/>
      <c r="H174" s="1018"/>
      <c r="I174" s="1018"/>
      <c r="J174" s="1018"/>
      <c r="K174" s="1018"/>
      <c r="L174" s="1018"/>
      <c r="M174" s="1018"/>
      <c r="N174" s="1018"/>
      <c r="O174" s="1018"/>
      <c r="P174" s="1018"/>
      <c r="Q174" s="1018"/>
      <c r="R174" s="1018"/>
      <c r="S174" s="1018"/>
      <c r="T174" s="1018"/>
      <c r="U174" s="1019"/>
      <c r="V174" s="152"/>
      <c r="W174" s="168"/>
      <c r="AJ174" s="179"/>
      <c r="AS174" s="80"/>
    </row>
    <row r="175" spans="1:45" s="88" customFormat="1" ht="11.25" customHeight="1" x14ac:dyDescent="0.2">
      <c r="A175" s="1020" t="str">
        <f>Home!$A$35</f>
        <v>LA's provide quarterly data on the condition that it is used by the benchmarking group for internal reporting only. Please DO NOT share other LA's data with any external partners or the public</v>
      </c>
      <c r="B175" s="1021"/>
      <c r="C175" s="1021"/>
      <c r="D175" s="1021"/>
      <c r="E175" s="1021"/>
      <c r="F175" s="1021"/>
      <c r="G175" s="1021"/>
      <c r="H175" s="1021"/>
      <c r="I175" s="1022"/>
      <c r="J175" s="1021"/>
      <c r="K175" s="1021"/>
      <c r="L175" s="1021"/>
      <c r="M175" s="1021"/>
      <c r="N175" s="1021"/>
      <c r="O175" s="1021"/>
      <c r="P175" s="1021"/>
      <c r="Q175" s="1021"/>
      <c r="R175" s="1021"/>
      <c r="S175" s="1022"/>
      <c r="T175" s="1021"/>
      <c r="U175" s="1023"/>
      <c r="V175" s="152"/>
      <c r="W175" s="168"/>
      <c r="AI175" s="210"/>
      <c r="AJ175" s="178"/>
      <c r="AK175" s="101"/>
      <c r="AS175" s="80"/>
    </row>
    <row r="176" spans="1:45" ht="11.25" customHeight="1" x14ac:dyDescent="0.2">
      <c r="A176" s="157"/>
      <c r="B176" s="130"/>
      <c r="C176" s="130"/>
      <c r="D176" s="130"/>
      <c r="E176" s="130"/>
      <c r="F176" s="130"/>
      <c r="G176" s="130"/>
      <c r="H176" s="130"/>
      <c r="I176" s="130"/>
      <c r="J176" s="131"/>
      <c r="K176" s="130"/>
      <c r="L176" s="130"/>
      <c r="M176" s="130"/>
      <c r="N176" s="130"/>
      <c r="O176" s="130"/>
      <c r="P176" s="130"/>
      <c r="Q176" s="130"/>
      <c r="R176" s="130"/>
      <c r="S176" s="130"/>
      <c r="T176" s="130"/>
      <c r="U176" s="130"/>
      <c r="V176" s="152"/>
      <c r="W176" s="168"/>
      <c r="AE176" s="89"/>
      <c r="AH176" s="210"/>
      <c r="AI176" s="210"/>
      <c r="AJ176" s="175"/>
      <c r="AL176" s="88"/>
      <c r="AM176" s="88"/>
      <c r="AN176" s="88"/>
      <c r="AO176" s="88"/>
      <c r="AP176" s="88"/>
      <c r="AQ176" s="88"/>
    </row>
    <row r="177" spans="1:43" ht="11.25" customHeight="1" x14ac:dyDescent="0.2">
      <c r="A177" s="158"/>
      <c r="B177" s="9"/>
      <c r="C177" s="9"/>
      <c r="D177" s="9"/>
      <c r="E177" s="9"/>
      <c r="F177" s="9"/>
      <c r="G177" s="9"/>
      <c r="H177" s="9"/>
      <c r="I177" s="9"/>
      <c r="J177" s="13"/>
      <c r="K177" s="9"/>
      <c r="L177" s="9"/>
      <c r="M177" s="9"/>
      <c r="N177" s="9"/>
      <c r="O177" s="9"/>
      <c r="P177" s="9"/>
      <c r="Q177" s="9"/>
      <c r="R177" s="9"/>
      <c r="S177" s="9"/>
      <c r="T177" s="9"/>
      <c r="U177" s="9"/>
      <c r="V177" s="152"/>
      <c r="W177" s="168"/>
      <c r="AE177" s="89"/>
      <c r="AH177" s="210"/>
      <c r="AI177" s="210"/>
      <c r="AJ177" s="175"/>
      <c r="AL177" s="88"/>
      <c r="AM177" s="88"/>
      <c r="AN177" s="88"/>
      <c r="AO177" s="88"/>
      <c r="AP177" s="88"/>
      <c r="AQ177" s="88"/>
    </row>
    <row r="178" spans="1:43" ht="11.25" customHeight="1" x14ac:dyDescent="0.2">
      <c r="A178" s="158"/>
      <c r="B178" s="1006" t="s">
        <v>82</v>
      </c>
      <c r="C178" s="411"/>
      <c r="D178" s="15"/>
      <c r="E178" s="15"/>
      <c r="F178" s="9"/>
      <c r="G178" s="9"/>
      <c r="H178" s="9"/>
      <c r="I178" s="9"/>
      <c r="J178" s="13"/>
      <c r="K178" s="9"/>
      <c r="L178" s="9"/>
      <c r="M178" s="9"/>
      <c r="N178" s="9"/>
      <c r="O178" s="9"/>
      <c r="P178" s="9"/>
      <c r="Q178" s="9"/>
      <c r="R178" s="9"/>
      <c r="S178" s="9"/>
      <c r="T178" s="9"/>
      <c r="U178" s="9"/>
      <c r="V178" s="152"/>
      <c r="W178" s="168"/>
      <c r="AE178" s="89"/>
      <c r="AH178" s="210"/>
      <c r="AI178" s="210"/>
      <c r="AJ178" s="175"/>
      <c r="AL178" s="88"/>
      <c r="AM178" s="88"/>
      <c r="AN178" s="88"/>
      <c r="AO178" s="88"/>
      <c r="AP178" s="88"/>
      <c r="AQ178" s="88"/>
    </row>
    <row r="179" spans="1:43" ht="11.25" customHeight="1" x14ac:dyDescent="0.2">
      <c r="A179" s="158"/>
      <c r="B179" s="1007"/>
      <c r="C179" s="410"/>
      <c r="D179" s="9"/>
      <c r="E179" s="9"/>
      <c r="F179" s="9"/>
      <c r="G179" s="9"/>
      <c r="H179" s="9"/>
      <c r="I179" s="9"/>
      <c r="J179" s="13"/>
      <c r="K179" s="9"/>
      <c r="L179" s="9"/>
      <c r="M179" s="9"/>
      <c r="N179" s="9"/>
      <c r="O179" s="9"/>
      <c r="P179" s="9"/>
      <c r="Q179" s="9"/>
      <c r="R179" s="9"/>
      <c r="S179" s="9"/>
      <c r="T179" s="9"/>
      <c r="U179" s="9"/>
      <c r="V179" s="152"/>
      <c r="W179" s="168"/>
      <c r="AE179" s="89"/>
      <c r="AH179" s="210"/>
      <c r="AI179" s="210"/>
      <c r="AJ179" s="175"/>
    </row>
    <row r="180" spans="1:43" ht="11.25" customHeight="1" x14ac:dyDescent="0.2">
      <c r="A180" s="158"/>
      <c r="B180" s="973" t="s">
        <v>81</v>
      </c>
      <c r="C180" s="974"/>
      <c r="D180" s="974"/>
      <c r="E180" s="974"/>
      <c r="F180" s="974"/>
      <c r="G180" s="974"/>
      <c r="H180" s="9"/>
      <c r="I180" s="9"/>
      <c r="J180" s="13"/>
      <c r="K180" s="9"/>
      <c r="L180" s="9"/>
      <c r="M180" s="9"/>
      <c r="N180" s="9"/>
      <c r="O180" s="9"/>
      <c r="P180" s="9"/>
      <c r="Q180" s="9"/>
      <c r="R180" s="9"/>
      <c r="S180" s="9"/>
      <c r="T180" s="9"/>
      <c r="U180" s="9"/>
      <c r="V180" s="152"/>
      <c r="W180" s="168"/>
      <c r="AE180" s="89"/>
      <c r="AH180" s="210"/>
      <c r="AI180" s="210"/>
      <c r="AJ180" s="175"/>
    </row>
    <row r="181" spans="1:43" ht="11.25" customHeight="1" x14ac:dyDescent="0.2">
      <c r="A181" s="158"/>
      <c r="B181" s="973"/>
      <c r="C181" s="974"/>
      <c r="D181" s="974"/>
      <c r="E181" s="974"/>
      <c r="F181" s="974"/>
      <c r="G181" s="974"/>
      <c r="H181" s="9"/>
      <c r="I181" s="9"/>
      <c r="J181" s="13"/>
      <c r="K181" s="9"/>
      <c r="L181" s="9"/>
      <c r="M181" s="9"/>
      <c r="N181" s="9"/>
      <c r="O181" s="9"/>
      <c r="P181" s="9"/>
      <c r="Q181" s="9"/>
      <c r="R181" s="9"/>
      <c r="S181" s="9"/>
      <c r="T181" s="9"/>
      <c r="U181" s="9"/>
      <c r="V181" s="152"/>
      <c r="W181" s="168"/>
      <c r="AE181" s="89"/>
      <c r="AH181" s="215"/>
      <c r="AI181" s="215"/>
      <c r="AJ181" s="176"/>
    </row>
    <row r="182" spans="1:43" s="82" customFormat="1" ht="11.25" customHeight="1" x14ac:dyDescent="0.2">
      <c r="A182" s="158"/>
      <c r="B182" s="973" t="s">
        <v>78</v>
      </c>
      <c r="C182" s="975"/>
      <c r="D182" s="975"/>
      <c r="E182" s="975"/>
      <c r="F182" s="975"/>
      <c r="G182" s="975"/>
      <c r="H182" s="15"/>
      <c r="I182" s="15"/>
      <c r="J182" s="15"/>
      <c r="K182" s="15"/>
      <c r="L182" s="15"/>
      <c r="M182" s="15"/>
      <c r="N182" s="15"/>
      <c r="O182" s="15"/>
      <c r="P182" s="15"/>
      <c r="Q182" s="15"/>
      <c r="R182" s="15"/>
      <c r="S182" s="15"/>
      <c r="T182" s="15"/>
      <c r="U182" s="15"/>
      <c r="V182" s="155"/>
      <c r="W182" s="172"/>
      <c r="X182" s="88"/>
      <c r="Y182" s="88"/>
      <c r="Z182" s="88"/>
      <c r="AA182" s="88"/>
      <c r="AB182" s="88"/>
      <c r="AC182" s="88"/>
      <c r="AD182" s="88"/>
      <c r="AE182" s="89"/>
      <c r="AF182" s="88"/>
      <c r="AG182" s="88"/>
      <c r="AH182" s="210"/>
      <c r="AI182" s="210"/>
      <c r="AJ182" s="175"/>
    </row>
    <row r="183" spans="1:43" ht="11.25" customHeight="1" x14ac:dyDescent="0.2">
      <c r="A183" s="158"/>
      <c r="B183" s="973"/>
      <c r="C183" s="975"/>
      <c r="D183" s="975"/>
      <c r="E183" s="975"/>
      <c r="F183" s="975"/>
      <c r="G183" s="975"/>
      <c r="H183" s="9"/>
      <c r="I183" s="9"/>
      <c r="J183" s="13"/>
      <c r="K183" s="9"/>
      <c r="L183" s="9"/>
      <c r="M183" s="9"/>
      <c r="N183" s="9"/>
      <c r="O183" s="9"/>
      <c r="P183" s="9"/>
      <c r="Q183" s="9"/>
      <c r="R183" s="9"/>
      <c r="S183" s="9"/>
      <c r="T183" s="9"/>
      <c r="U183" s="9"/>
      <c r="V183" s="152"/>
      <c r="W183" s="168"/>
      <c r="AE183" s="89"/>
      <c r="AH183" s="210"/>
      <c r="AI183" s="210"/>
      <c r="AJ183" s="175"/>
    </row>
    <row r="184" spans="1:43" ht="11.25" customHeight="1" x14ac:dyDescent="0.2">
      <c r="A184" s="158"/>
      <c r="B184" s="976" t="s">
        <v>18</v>
      </c>
      <c r="C184" s="977"/>
      <c r="D184" s="977"/>
      <c r="E184" s="977"/>
      <c r="F184" s="977"/>
      <c r="G184" s="977"/>
      <c r="H184" s="9"/>
      <c r="I184" s="9"/>
      <c r="J184" s="13"/>
      <c r="K184" s="9"/>
      <c r="L184" s="9"/>
      <c r="M184" s="9"/>
      <c r="N184" s="9"/>
      <c r="O184" s="9"/>
      <c r="P184" s="9"/>
      <c r="Q184" s="9"/>
      <c r="R184" s="9"/>
      <c r="S184" s="9"/>
      <c r="T184" s="9"/>
      <c r="U184" s="9"/>
      <c r="V184" s="152"/>
      <c r="W184" s="168"/>
      <c r="AE184" s="89"/>
      <c r="AH184" s="210"/>
      <c r="AI184" s="210"/>
      <c r="AJ184" s="175"/>
    </row>
    <row r="185" spans="1:43" ht="11.25" customHeight="1" x14ac:dyDescent="0.2">
      <c r="A185" s="158"/>
      <c r="B185" s="976"/>
      <c r="C185" s="977"/>
      <c r="D185" s="977"/>
      <c r="E185" s="977"/>
      <c r="F185" s="977"/>
      <c r="G185" s="977"/>
      <c r="H185" s="9"/>
      <c r="I185" s="9"/>
      <c r="J185" s="13"/>
      <c r="K185" s="9"/>
      <c r="L185" s="9"/>
      <c r="M185" s="9"/>
      <c r="N185" s="9"/>
      <c r="O185" s="9"/>
      <c r="P185" s="9"/>
      <c r="Q185" s="9"/>
      <c r="R185" s="9"/>
      <c r="S185" s="9"/>
      <c r="T185" s="9"/>
      <c r="U185" s="9"/>
      <c r="V185" s="152"/>
      <c r="W185" s="168"/>
      <c r="AE185" s="89"/>
      <c r="AH185" s="210"/>
      <c r="AI185" s="210"/>
      <c r="AJ185" s="175"/>
    </row>
    <row r="186" spans="1:43" ht="11.25" customHeight="1" x14ac:dyDescent="0.2">
      <c r="A186" s="158"/>
      <c r="B186" s="976" t="s">
        <v>210</v>
      </c>
      <c r="C186" s="976"/>
      <c r="D186" s="978"/>
      <c r="E186" s="978"/>
      <c r="F186" s="978"/>
      <c r="G186" s="924"/>
      <c r="H186" s="9"/>
      <c r="I186" s="9"/>
      <c r="J186" s="13"/>
      <c r="K186" s="9"/>
      <c r="L186" s="9"/>
      <c r="M186" s="9"/>
      <c r="N186" s="9"/>
      <c r="O186" s="9"/>
      <c r="P186" s="9"/>
      <c r="Q186" s="9"/>
      <c r="R186" s="9"/>
      <c r="S186" s="9"/>
      <c r="T186" s="9"/>
      <c r="U186" s="11"/>
      <c r="V186" s="281"/>
      <c r="W186" s="168"/>
      <c r="Z186" s="80"/>
      <c r="AA186" s="80"/>
      <c r="AE186" s="89"/>
      <c r="AH186" s="210"/>
      <c r="AI186" s="210"/>
      <c r="AJ186" s="175"/>
      <c r="AK186" s="175"/>
    </row>
    <row r="187" spans="1:43" ht="11.25" customHeight="1" x14ac:dyDescent="0.2">
      <c r="A187" s="158"/>
      <c r="B187" s="976"/>
      <c r="C187" s="976"/>
      <c r="D187" s="978"/>
      <c r="E187" s="978"/>
      <c r="F187" s="978"/>
      <c r="G187" s="924"/>
      <c r="H187" s="9"/>
      <c r="I187" s="9"/>
      <c r="J187" s="13"/>
      <c r="K187" s="9"/>
      <c r="L187" s="9"/>
      <c r="M187" s="9"/>
      <c r="N187" s="9"/>
      <c r="O187" s="9"/>
      <c r="P187" s="9"/>
      <c r="Q187" s="9"/>
      <c r="R187" s="9"/>
      <c r="S187" s="9"/>
      <c r="T187" s="9"/>
      <c r="U187" s="11"/>
      <c r="V187" s="281"/>
      <c r="W187" s="168"/>
      <c r="Z187" s="80"/>
      <c r="AA187" s="80"/>
      <c r="AE187" s="89"/>
      <c r="AH187" s="210"/>
      <c r="AI187" s="210"/>
      <c r="AJ187" s="175"/>
      <c r="AK187" s="175"/>
    </row>
    <row r="188" spans="1:43" ht="11.25" customHeight="1" x14ac:dyDescent="0.2">
      <c r="A188" s="158"/>
      <c r="B188" s="976" t="s">
        <v>211</v>
      </c>
      <c r="C188" s="976"/>
      <c r="D188" s="978"/>
      <c r="E188" s="978"/>
      <c r="F188" s="978"/>
      <c r="G188" s="924"/>
      <c r="H188" s="9"/>
      <c r="I188" s="9"/>
      <c r="J188" s="13"/>
      <c r="K188" s="9"/>
      <c r="L188" s="9"/>
      <c r="M188" s="9"/>
      <c r="N188" s="9"/>
      <c r="O188" s="9"/>
      <c r="P188" s="9"/>
      <c r="Q188" s="9"/>
      <c r="R188" s="9"/>
      <c r="S188" s="9"/>
      <c r="T188" s="9"/>
      <c r="U188" s="11"/>
      <c r="V188" s="281"/>
      <c r="W188" s="168"/>
      <c r="Z188" s="80"/>
      <c r="AA188" s="80"/>
      <c r="AE188" s="89"/>
      <c r="AH188" s="210"/>
      <c r="AI188" s="210"/>
      <c r="AJ188" s="175"/>
      <c r="AK188" s="175"/>
    </row>
    <row r="189" spans="1:43" ht="11.25" customHeight="1" x14ac:dyDescent="0.2">
      <c r="A189" s="158"/>
      <c r="B189" s="976"/>
      <c r="C189" s="976"/>
      <c r="D189" s="978"/>
      <c r="E189" s="978"/>
      <c r="F189" s="978"/>
      <c r="G189" s="924"/>
      <c r="H189" s="9"/>
      <c r="I189" s="9"/>
      <c r="J189" s="13"/>
      <c r="K189" s="9"/>
      <c r="L189" s="9"/>
      <c r="M189" s="9"/>
      <c r="N189" s="9"/>
      <c r="O189" s="9"/>
      <c r="P189" s="9"/>
      <c r="Q189" s="9"/>
      <c r="R189" s="9"/>
      <c r="S189" s="9"/>
      <c r="T189" s="9"/>
      <c r="U189" s="11"/>
      <c r="V189" s="281"/>
      <c r="W189" s="168"/>
      <c r="Z189" s="80"/>
      <c r="AA189" s="80"/>
      <c r="AE189" s="89"/>
      <c r="AH189" s="210"/>
      <c r="AI189" s="210"/>
      <c r="AJ189" s="175"/>
      <c r="AK189" s="175"/>
    </row>
    <row r="190" spans="1:43" ht="11.25" customHeight="1" x14ac:dyDescent="0.2">
      <c r="A190" s="158"/>
      <c r="B190" s="976" t="s">
        <v>212</v>
      </c>
      <c r="C190" s="976"/>
      <c r="D190" s="978"/>
      <c r="E190" s="978"/>
      <c r="F190" s="978"/>
      <c r="G190" s="924"/>
      <c r="H190" s="9"/>
      <c r="I190" s="9"/>
      <c r="J190" s="13"/>
      <c r="K190" s="9"/>
      <c r="L190" s="9"/>
      <c r="M190" s="9"/>
      <c r="N190" s="9"/>
      <c r="O190" s="9"/>
      <c r="P190" s="9"/>
      <c r="Q190" s="9"/>
      <c r="R190" s="9"/>
      <c r="S190" s="9"/>
      <c r="T190" s="9"/>
      <c r="U190" s="11"/>
      <c r="V190" s="281"/>
      <c r="W190" s="168"/>
      <c r="Z190" s="80"/>
      <c r="AA190" s="80"/>
      <c r="AE190" s="89"/>
      <c r="AH190" s="210"/>
      <c r="AI190" s="210"/>
      <c r="AJ190" s="175"/>
      <c r="AK190" s="175"/>
    </row>
    <row r="191" spans="1:43" ht="11.25" customHeight="1" x14ac:dyDescent="0.2">
      <c r="A191" s="158"/>
      <c r="B191" s="976"/>
      <c r="C191" s="976"/>
      <c r="D191" s="978"/>
      <c r="E191" s="978"/>
      <c r="F191" s="978"/>
      <c r="G191" s="924"/>
      <c r="H191" s="9"/>
      <c r="I191" s="9"/>
      <c r="J191" s="13"/>
      <c r="K191" s="9"/>
      <c r="L191" s="9"/>
      <c r="M191" s="9"/>
      <c r="N191" s="9"/>
      <c r="O191" s="9"/>
      <c r="P191" s="9"/>
      <c r="Q191" s="9"/>
      <c r="R191" s="9"/>
      <c r="S191" s="9"/>
      <c r="T191" s="9"/>
      <c r="U191" s="11"/>
      <c r="V191" s="281"/>
      <c r="W191" s="168"/>
      <c r="Z191" s="80"/>
      <c r="AA191" s="80"/>
      <c r="AE191" s="89"/>
      <c r="AH191" s="210"/>
      <c r="AI191" s="210"/>
      <c r="AJ191" s="175"/>
      <c r="AK191" s="175"/>
    </row>
    <row r="192" spans="1:43" ht="11.25" customHeight="1" x14ac:dyDescent="0.2">
      <c r="A192" s="158"/>
      <c r="B192" s="973" t="s">
        <v>80</v>
      </c>
      <c r="C192" s="974"/>
      <c r="D192" s="974"/>
      <c r="E192" s="974"/>
      <c r="F192" s="974"/>
      <c r="G192" s="974"/>
      <c r="H192" s="9"/>
      <c r="I192" s="9"/>
      <c r="J192" s="13"/>
      <c r="K192" s="9"/>
      <c r="L192" s="9"/>
      <c r="M192" s="9"/>
      <c r="N192" s="9"/>
      <c r="O192" s="9"/>
      <c r="P192" s="9"/>
      <c r="Q192" s="9"/>
      <c r="R192" s="9"/>
      <c r="S192" s="9"/>
      <c r="T192" s="9"/>
      <c r="U192" s="9"/>
      <c r="V192" s="152"/>
      <c r="W192" s="168"/>
      <c r="AE192" s="89"/>
      <c r="AH192" s="210"/>
      <c r="AI192" s="210"/>
      <c r="AJ192" s="175"/>
    </row>
    <row r="193" spans="1:36" ht="11.25" customHeight="1" x14ac:dyDescent="0.2">
      <c r="A193" s="158"/>
      <c r="B193" s="973"/>
      <c r="C193" s="974"/>
      <c r="D193" s="974"/>
      <c r="E193" s="974"/>
      <c r="F193" s="974"/>
      <c r="G193" s="974"/>
      <c r="H193" s="9"/>
      <c r="I193" s="9"/>
      <c r="J193" s="13"/>
      <c r="K193" s="9"/>
      <c r="L193" s="9"/>
      <c r="M193" s="9"/>
      <c r="N193" s="9"/>
      <c r="O193" s="9"/>
      <c r="P193" s="9"/>
      <c r="Q193" s="9"/>
      <c r="R193" s="9"/>
      <c r="S193" s="9"/>
      <c r="T193" s="9"/>
      <c r="U193" s="9"/>
      <c r="V193" s="152"/>
      <c r="W193" s="168"/>
      <c r="AE193" s="89"/>
      <c r="AH193" s="210"/>
      <c r="AI193" s="210"/>
      <c r="AJ193" s="175"/>
    </row>
    <row r="194" spans="1:36" ht="11.25" customHeight="1" x14ac:dyDescent="0.2">
      <c r="A194" s="158"/>
      <c r="B194" s="973" t="s">
        <v>69</v>
      </c>
      <c r="C194" s="974"/>
      <c r="D194" s="974"/>
      <c r="E194" s="974"/>
      <c r="F194" s="974"/>
      <c r="G194" s="974"/>
      <c r="H194" s="9"/>
      <c r="I194" s="9"/>
      <c r="J194" s="13"/>
      <c r="K194" s="9"/>
      <c r="L194" s="9"/>
      <c r="M194" s="9"/>
      <c r="N194" s="9"/>
      <c r="O194" s="9"/>
      <c r="P194" s="9"/>
      <c r="Q194" s="9"/>
      <c r="R194" s="9"/>
      <c r="S194" s="9"/>
      <c r="T194" s="9"/>
      <c r="U194" s="9"/>
      <c r="V194" s="152"/>
      <c r="W194" s="168"/>
      <c r="AE194" s="89"/>
      <c r="AH194" s="210"/>
      <c r="AI194" s="210"/>
      <c r="AJ194" s="175"/>
    </row>
    <row r="195" spans="1:36" ht="11.25" customHeight="1" x14ac:dyDescent="0.2">
      <c r="A195" s="158"/>
      <c r="B195" s="973"/>
      <c r="C195" s="974"/>
      <c r="D195" s="974"/>
      <c r="E195" s="974"/>
      <c r="F195" s="974"/>
      <c r="G195" s="974"/>
      <c r="H195" s="9"/>
      <c r="I195" s="9"/>
      <c r="J195" s="13"/>
      <c r="K195" s="9"/>
      <c r="L195" s="9"/>
      <c r="M195" s="9"/>
      <c r="N195" s="9"/>
      <c r="O195" s="9"/>
      <c r="P195" s="9"/>
      <c r="Q195" s="9"/>
      <c r="R195" s="9"/>
      <c r="S195" s="9"/>
      <c r="T195" s="9"/>
      <c r="U195" s="9"/>
      <c r="V195" s="152"/>
      <c r="W195" s="168"/>
      <c r="AE195" s="89"/>
      <c r="AH195" s="210"/>
      <c r="AI195" s="210"/>
      <c r="AJ195" s="175"/>
    </row>
    <row r="196" spans="1:36" ht="11.25" customHeight="1" x14ac:dyDescent="0.2">
      <c r="A196" s="158"/>
      <c r="B196" s="973" t="s">
        <v>25</v>
      </c>
      <c r="C196" s="974"/>
      <c r="D196" s="974"/>
      <c r="E196" s="974"/>
      <c r="F196" s="974"/>
      <c r="G196" s="974"/>
      <c r="H196" s="9"/>
      <c r="I196" s="9"/>
      <c r="J196" s="13"/>
      <c r="K196" s="9"/>
      <c r="L196" s="9"/>
      <c r="M196" s="9"/>
      <c r="N196" s="9"/>
      <c r="O196" s="9"/>
      <c r="P196" s="9"/>
      <c r="Q196" s="9"/>
      <c r="R196" s="9"/>
      <c r="S196" s="9"/>
      <c r="T196" s="9"/>
      <c r="U196" s="9"/>
      <c r="V196" s="152"/>
      <c r="W196" s="168"/>
      <c r="AE196" s="89"/>
      <c r="AH196" s="210"/>
      <c r="AI196" s="210"/>
      <c r="AJ196" s="175"/>
    </row>
    <row r="197" spans="1:36" ht="11.25" customHeight="1" x14ac:dyDescent="0.2">
      <c r="A197" s="158"/>
      <c r="B197" s="973"/>
      <c r="C197" s="974"/>
      <c r="D197" s="974"/>
      <c r="E197" s="974"/>
      <c r="F197" s="974"/>
      <c r="G197" s="974"/>
      <c r="H197" s="9"/>
      <c r="I197" s="9"/>
      <c r="J197" s="13"/>
      <c r="K197" s="9"/>
      <c r="L197" s="9"/>
      <c r="M197" s="9"/>
      <c r="N197" s="9"/>
      <c r="O197" s="9"/>
      <c r="P197" s="9"/>
      <c r="Q197" s="9"/>
      <c r="R197" s="9"/>
      <c r="S197" s="9"/>
      <c r="T197" s="9"/>
      <c r="U197" s="9"/>
      <c r="V197" s="152"/>
      <c r="W197" s="168"/>
      <c r="AE197" s="89"/>
      <c r="AH197" s="210"/>
      <c r="AI197" s="210"/>
      <c r="AJ197" s="175"/>
    </row>
    <row r="198" spans="1:36" ht="11.25" customHeight="1" x14ac:dyDescent="0.2">
      <c r="A198" s="158"/>
      <c r="B198" s="973" t="s">
        <v>23</v>
      </c>
      <c r="C198" s="974"/>
      <c r="D198" s="974"/>
      <c r="E198" s="974"/>
      <c r="F198" s="974"/>
      <c r="G198" s="974"/>
      <c r="H198" s="9"/>
      <c r="I198" s="9"/>
      <c r="J198" s="13"/>
      <c r="K198" s="9"/>
      <c r="L198" s="9"/>
      <c r="M198" s="9"/>
      <c r="N198" s="9"/>
      <c r="O198" s="9"/>
      <c r="P198" s="9"/>
      <c r="Q198" s="9"/>
      <c r="R198" s="9"/>
      <c r="S198" s="9"/>
      <c r="T198" s="9"/>
      <c r="U198" s="9"/>
      <c r="V198" s="152"/>
      <c r="W198" s="168"/>
      <c r="AE198" s="89"/>
      <c r="AH198" s="210"/>
      <c r="AI198" s="210"/>
      <c r="AJ198" s="175"/>
    </row>
    <row r="199" spans="1:36" ht="11.25" customHeight="1" x14ac:dyDescent="0.2">
      <c r="A199" s="158"/>
      <c r="B199" s="973"/>
      <c r="C199" s="974"/>
      <c r="D199" s="974"/>
      <c r="E199" s="974"/>
      <c r="F199" s="974"/>
      <c r="G199" s="974"/>
      <c r="H199" s="9"/>
      <c r="I199" s="9"/>
      <c r="J199" s="13"/>
      <c r="K199" s="9"/>
      <c r="L199" s="9"/>
      <c r="M199" s="9"/>
      <c r="N199" s="9"/>
      <c r="O199" s="9"/>
      <c r="P199" s="9"/>
      <c r="Q199" s="9"/>
      <c r="R199" s="9"/>
      <c r="S199" s="9"/>
      <c r="T199" s="9"/>
      <c r="U199" s="9"/>
      <c r="V199" s="152"/>
      <c r="W199" s="168"/>
      <c r="AE199" s="89"/>
      <c r="AH199" s="210"/>
      <c r="AI199" s="210"/>
      <c r="AJ199" s="175"/>
    </row>
    <row r="200" spans="1:36" ht="11.25" customHeight="1" x14ac:dyDescent="0.2">
      <c r="A200" s="158"/>
      <c r="B200" s="973" t="s">
        <v>26</v>
      </c>
      <c r="C200" s="974"/>
      <c r="D200" s="974"/>
      <c r="E200" s="974"/>
      <c r="F200" s="974"/>
      <c r="G200" s="974"/>
      <c r="H200" s="9"/>
      <c r="I200" s="9"/>
      <c r="J200" s="13"/>
      <c r="K200" s="9"/>
      <c r="L200" s="9"/>
      <c r="M200" s="9"/>
      <c r="N200" s="9"/>
      <c r="O200" s="9"/>
      <c r="P200" s="9"/>
      <c r="Q200" s="9"/>
      <c r="R200" s="9"/>
      <c r="S200" s="9"/>
      <c r="T200" s="9"/>
      <c r="U200" s="9"/>
      <c r="V200" s="152"/>
      <c r="W200" s="168"/>
      <c r="AE200" s="89"/>
      <c r="AH200" s="210"/>
      <c r="AI200" s="210"/>
      <c r="AJ200" s="175"/>
    </row>
    <row r="201" spans="1:36" ht="11.25" customHeight="1" x14ac:dyDescent="0.2">
      <c r="A201" s="158"/>
      <c r="B201" s="973"/>
      <c r="C201" s="974"/>
      <c r="D201" s="974"/>
      <c r="E201" s="974"/>
      <c r="F201" s="974"/>
      <c r="G201" s="974"/>
      <c r="H201" s="9"/>
      <c r="I201" s="9"/>
      <c r="J201" s="13"/>
      <c r="K201" s="9"/>
      <c r="L201" s="9"/>
      <c r="M201" s="9"/>
      <c r="N201" s="9"/>
      <c r="O201" s="9"/>
      <c r="P201" s="9"/>
      <c r="Q201" s="9"/>
      <c r="R201" s="9"/>
      <c r="S201" s="9"/>
      <c r="T201" s="9"/>
      <c r="U201" s="9"/>
      <c r="V201" s="152"/>
      <c r="W201" s="168"/>
      <c r="AE201" s="89"/>
      <c r="AH201" s="210"/>
      <c r="AI201" s="210"/>
      <c r="AJ201" s="175"/>
    </row>
    <row r="202" spans="1:36" ht="11.25" customHeight="1" x14ac:dyDescent="0.2">
      <c r="A202" s="158"/>
      <c r="B202" s="973" t="s">
        <v>19</v>
      </c>
      <c r="C202" s="974"/>
      <c r="D202" s="974"/>
      <c r="E202" s="974"/>
      <c r="F202" s="974"/>
      <c r="G202" s="974"/>
      <c r="H202" s="9"/>
      <c r="I202" s="9"/>
      <c r="J202" s="13"/>
      <c r="K202" s="9"/>
      <c r="L202" s="9"/>
      <c r="M202" s="9"/>
      <c r="N202" s="9"/>
      <c r="O202" s="9"/>
      <c r="P202" s="9"/>
      <c r="Q202" s="9"/>
      <c r="R202" s="9"/>
      <c r="S202" s="9"/>
      <c r="T202" s="9"/>
      <c r="U202" s="9"/>
      <c r="V202" s="152"/>
      <c r="W202" s="168"/>
      <c r="AE202" s="89"/>
      <c r="AH202" s="210"/>
      <c r="AI202" s="210"/>
      <c r="AJ202" s="175"/>
    </row>
    <row r="203" spans="1:36" ht="11.25" customHeight="1" x14ac:dyDescent="0.2">
      <c r="A203" s="158"/>
      <c r="B203" s="973"/>
      <c r="C203" s="974"/>
      <c r="D203" s="974"/>
      <c r="E203" s="974"/>
      <c r="F203" s="974"/>
      <c r="G203" s="974"/>
      <c r="H203" s="9"/>
      <c r="I203" s="9"/>
      <c r="J203" s="13"/>
      <c r="K203" s="9"/>
      <c r="L203" s="9"/>
      <c r="M203" s="9"/>
      <c r="N203" s="9"/>
      <c r="O203" s="9"/>
      <c r="P203" s="9"/>
      <c r="Q203" s="9"/>
      <c r="R203" s="9"/>
      <c r="S203" s="9"/>
      <c r="T203" s="9"/>
      <c r="U203" s="9"/>
      <c r="V203" s="152"/>
      <c r="W203" s="168"/>
      <c r="AE203" s="89"/>
      <c r="AH203" s="210"/>
      <c r="AI203" s="210"/>
      <c r="AJ203" s="175"/>
    </row>
    <row r="204" spans="1:36" ht="11.25" customHeight="1" x14ac:dyDescent="0.2">
      <c r="A204" s="158"/>
      <c r="B204" s="973" t="s">
        <v>20</v>
      </c>
      <c r="C204" s="930"/>
      <c r="D204" s="930"/>
      <c r="E204" s="930"/>
      <c r="F204" s="930"/>
      <c r="G204" s="930"/>
      <c r="H204" s="930"/>
      <c r="I204" s="9"/>
      <c r="J204" s="13"/>
      <c r="K204" s="9"/>
      <c r="L204" s="9"/>
      <c r="M204" s="9"/>
      <c r="N204" s="9"/>
      <c r="O204" s="9"/>
      <c r="P204" s="9"/>
      <c r="Q204" s="9"/>
      <c r="R204" s="9"/>
      <c r="S204" s="9"/>
      <c r="T204" s="9"/>
      <c r="U204" s="9"/>
      <c r="V204" s="152"/>
      <c r="W204" s="168"/>
      <c r="AE204" s="89"/>
      <c r="AH204" s="210"/>
      <c r="AI204" s="210"/>
      <c r="AJ204" s="175"/>
    </row>
    <row r="205" spans="1:36" ht="11.25" customHeight="1" x14ac:dyDescent="0.2">
      <c r="A205" s="158"/>
      <c r="B205" s="930"/>
      <c r="C205" s="930"/>
      <c r="D205" s="930"/>
      <c r="E205" s="930"/>
      <c r="F205" s="930"/>
      <c r="G205" s="930"/>
      <c r="H205" s="930"/>
      <c r="I205" s="9"/>
      <c r="J205" s="13"/>
      <c r="K205" s="9"/>
      <c r="L205" s="9"/>
      <c r="M205" s="9"/>
      <c r="N205" s="9"/>
      <c r="O205" s="9"/>
      <c r="P205" s="9"/>
      <c r="Q205" s="9"/>
      <c r="R205" s="9"/>
      <c r="S205" s="9"/>
      <c r="T205" s="9"/>
      <c r="U205" s="9"/>
      <c r="V205" s="152"/>
      <c r="W205" s="168"/>
      <c r="AE205" s="89"/>
      <c r="AH205" s="210"/>
      <c r="AI205" s="210"/>
      <c r="AJ205" s="175"/>
    </row>
    <row r="206" spans="1:36" ht="11.25" customHeight="1" x14ac:dyDescent="0.2">
      <c r="A206" s="158"/>
      <c r="B206" s="973" t="s">
        <v>21</v>
      </c>
      <c r="C206" s="974"/>
      <c r="D206" s="974"/>
      <c r="E206" s="974"/>
      <c r="F206" s="974"/>
      <c r="G206" s="974"/>
      <c r="H206" s="9"/>
      <c r="I206" s="9"/>
      <c r="J206" s="13"/>
      <c r="K206" s="9"/>
      <c r="L206" s="9"/>
      <c r="M206" s="9"/>
      <c r="N206" s="9"/>
      <c r="O206" s="9"/>
      <c r="P206" s="9"/>
      <c r="Q206" s="9"/>
      <c r="R206" s="9"/>
      <c r="S206" s="9"/>
      <c r="T206" s="9"/>
      <c r="U206" s="9"/>
      <c r="V206" s="152"/>
      <c r="W206" s="168"/>
      <c r="AE206" s="89"/>
      <c r="AH206" s="210"/>
      <c r="AI206" s="210"/>
      <c r="AJ206" s="175"/>
    </row>
    <row r="207" spans="1:36" ht="11.25" customHeight="1" x14ac:dyDescent="0.2">
      <c r="A207" s="158"/>
      <c r="B207" s="973"/>
      <c r="C207" s="974"/>
      <c r="D207" s="974"/>
      <c r="E207" s="974"/>
      <c r="F207" s="974"/>
      <c r="G207" s="974"/>
      <c r="H207" s="9"/>
      <c r="I207" s="9"/>
      <c r="J207" s="13"/>
      <c r="K207" s="9"/>
      <c r="L207" s="9"/>
      <c r="M207" s="9"/>
      <c r="N207" s="9"/>
      <c r="O207" s="9"/>
      <c r="P207" s="9"/>
      <c r="Q207" s="9"/>
      <c r="R207" s="9"/>
      <c r="S207" s="9"/>
      <c r="T207" s="9"/>
      <c r="U207" s="9"/>
      <c r="V207" s="152"/>
      <c r="W207" s="168"/>
      <c r="AE207" s="89"/>
      <c r="AH207" s="210"/>
      <c r="AI207" s="210"/>
      <c r="AJ207" s="175"/>
    </row>
    <row r="208" spans="1:36" ht="11.25" customHeight="1" x14ac:dyDescent="0.2">
      <c r="A208" s="158"/>
      <c r="B208" s="973" t="s">
        <v>27</v>
      </c>
      <c r="C208" s="974"/>
      <c r="D208" s="974"/>
      <c r="E208" s="974"/>
      <c r="F208" s="974"/>
      <c r="G208" s="974"/>
      <c r="H208" s="9"/>
      <c r="I208" s="9"/>
      <c r="J208" s="13"/>
      <c r="K208" s="9"/>
      <c r="L208" s="9"/>
      <c r="M208" s="9"/>
      <c r="N208" s="9"/>
      <c r="O208" s="9"/>
      <c r="P208" s="9"/>
      <c r="Q208" s="9"/>
      <c r="R208" s="9"/>
      <c r="S208" s="9"/>
      <c r="T208" s="9"/>
      <c r="U208" s="9"/>
      <c r="V208" s="152"/>
      <c r="W208" s="168"/>
      <c r="AE208" s="89"/>
      <c r="AH208" s="210"/>
      <c r="AI208" s="210"/>
      <c r="AJ208" s="175"/>
    </row>
    <row r="209" spans="1:45" ht="11.25" customHeight="1" x14ac:dyDescent="0.2">
      <c r="A209" s="158"/>
      <c r="B209" s="973"/>
      <c r="C209" s="974"/>
      <c r="D209" s="974"/>
      <c r="E209" s="974"/>
      <c r="F209" s="974"/>
      <c r="G209" s="974"/>
      <c r="H209" s="9"/>
      <c r="I209" s="9"/>
      <c r="J209" s="13"/>
      <c r="K209" s="9"/>
      <c r="L209" s="9"/>
      <c r="M209" s="9"/>
      <c r="N209" s="9"/>
      <c r="O209" s="9"/>
      <c r="P209" s="9"/>
      <c r="Q209" s="9"/>
      <c r="R209" s="9"/>
      <c r="S209" s="9"/>
      <c r="T209" s="9"/>
      <c r="U209" s="9"/>
      <c r="V209" s="152"/>
      <c r="W209" s="168"/>
      <c r="AE209" s="89"/>
      <c r="AH209" s="210"/>
      <c r="AI209" s="210"/>
      <c r="AJ209" s="175"/>
    </row>
    <row r="210" spans="1:45" ht="11.25" customHeight="1" x14ac:dyDescent="0.2">
      <c r="A210" s="158"/>
      <c r="B210" s="973" t="s">
        <v>22</v>
      </c>
      <c r="C210" s="974"/>
      <c r="D210" s="974"/>
      <c r="E210" s="974"/>
      <c r="F210" s="974"/>
      <c r="G210" s="974"/>
      <c r="H210" s="9"/>
      <c r="I210" s="9"/>
      <c r="J210" s="13"/>
      <c r="K210" s="9"/>
      <c r="L210" s="9"/>
      <c r="M210" s="9"/>
      <c r="N210" s="9"/>
      <c r="O210" s="9"/>
      <c r="P210" s="9"/>
      <c r="Q210" s="9"/>
      <c r="R210" s="9"/>
      <c r="S210" s="9"/>
      <c r="T210" s="9"/>
      <c r="U210" s="9"/>
      <c r="V210" s="152"/>
      <c r="W210" s="168"/>
      <c r="AE210" s="89"/>
      <c r="AH210" s="210"/>
      <c r="AI210" s="210"/>
      <c r="AJ210" s="175"/>
    </row>
    <row r="211" spans="1:45" ht="11.25" customHeight="1" x14ac:dyDescent="0.2">
      <c r="A211" s="158"/>
      <c r="B211" s="973"/>
      <c r="C211" s="974"/>
      <c r="D211" s="974"/>
      <c r="E211" s="974"/>
      <c r="F211" s="974"/>
      <c r="G211" s="974"/>
      <c r="H211" s="9"/>
      <c r="I211" s="9"/>
      <c r="J211" s="13"/>
      <c r="K211" s="9"/>
      <c r="L211" s="9"/>
      <c r="M211" s="9"/>
      <c r="N211" s="9"/>
      <c r="O211" s="9"/>
      <c r="P211" s="9"/>
      <c r="Q211" s="9"/>
      <c r="R211" s="9"/>
      <c r="S211" s="9"/>
      <c r="T211" s="9"/>
      <c r="U211" s="9"/>
      <c r="V211" s="152"/>
      <c r="W211" s="168"/>
      <c r="AE211" s="89"/>
      <c r="AH211" s="210"/>
      <c r="AI211" s="210"/>
      <c r="AJ211" s="175"/>
    </row>
    <row r="212" spans="1:45" ht="11.25" customHeight="1" x14ac:dyDescent="0.2">
      <c r="A212" s="158"/>
      <c r="B212" s="973" t="s">
        <v>874</v>
      </c>
      <c r="C212" s="975"/>
      <c r="D212" s="975"/>
      <c r="E212" s="975"/>
      <c r="F212" s="975"/>
      <c r="G212" s="975"/>
      <c r="H212" s="9"/>
      <c r="I212" s="9"/>
      <c r="J212" s="13"/>
      <c r="K212" s="9"/>
      <c r="L212" s="9"/>
      <c r="M212" s="9"/>
      <c r="N212" s="9"/>
      <c r="O212" s="9"/>
      <c r="P212" s="9"/>
      <c r="Q212" s="9"/>
      <c r="R212" s="9"/>
      <c r="S212" s="9"/>
      <c r="T212" s="9"/>
      <c r="U212" s="9"/>
      <c r="V212" s="152"/>
      <c r="W212" s="168"/>
      <c r="AE212" s="89"/>
      <c r="AH212" s="210"/>
      <c r="AI212" s="210"/>
      <c r="AJ212" s="175"/>
    </row>
    <row r="213" spans="1:45" ht="11.25" customHeight="1" x14ac:dyDescent="0.2">
      <c r="A213" s="158"/>
      <c r="B213" s="973"/>
      <c r="C213" s="975"/>
      <c r="D213" s="975"/>
      <c r="E213" s="975"/>
      <c r="F213" s="975"/>
      <c r="G213" s="975"/>
      <c r="H213" s="9"/>
      <c r="I213" s="9"/>
      <c r="J213" s="13"/>
      <c r="K213" s="9"/>
      <c r="L213" s="9"/>
      <c r="M213" s="9"/>
      <c r="N213" s="9"/>
      <c r="O213" s="9"/>
      <c r="P213" s="9"/>
      <c r="Q213" s="9"/>
      <c r="R213" s="9"/>
      <c r="S213" s="9"/>
      <c r="T213" s="9"/>
      <c r="U213" s="9"/>
      <c r="V213" s="152"/>
      <c r="W213" s="168"/>
      <c r="AE213" s="89"/>
      <c r="AH213" s="210"/>
      <c r="AI213" s="210"/>
      <c r="AJ213" s="175"/>
    </row>
    <row r="214" spans="1:45" ht="11.25" customHeight="1" x14ac:dyDescent="0.2">
      <c r="A214" s="158"/>
      <c r="B214" s="973"/>
      <c r="C214" s="973"/>
      <c r="D214" s="973"/>
      <c r="E214" s="973"/>
      <c r="F214" s="975"/>
      <c r="G214" s="975"/>
      <c r="H214" s="975"/>
      <c r="I214" s="9"/>
      <c r="J214" s="13"/>
      <c r="K214" s="9"/>
      <c r="L214" s="9"/>
      <c r="M214" s="9"/>
      <c r="N214" s="9"/>
      <c r="O214" s="9"/>
      <c r="P214" s="9"/>
      <c r="Q214" s="9"/>
      <c r="R214" s="9"/>
      <c r="S214" s="9"/>
      <c r="T214" s="9"/>
      <c r="U214" s="9"/>
      <c r="V214" s="152"/>
      <c r="W214" s="168"/>
      <c r="X214" s="227"/>
      <c r="Y214" s="227"/>
      <c r="AE214" s="89"/>
      <c r="AH214" s="210"/>
      <c r="AI214" s="210"/>
      <c r="AJ214" s="175"/>
    </row>
    <row r="215" spans="1:45" ht="11.25" customHeight="1" x14ac:dyDescent="0.2">
      <c r="A215" s="158"/>
      <c r="B215" s="973"/>
      <c r="C215" s="973"/>
      <c r="D215" s="973"/>
      <c r="E215" s="973"/>
      <c r="F215" s="975"/>
      <c r="G215" s="975"/>
      <c r="H215" s="975"/>
      <c r="I215" s="9"/>
      <c r="J215" s="13"/>
      <c r="K215" s="9"/>
      <c r="L215" s="9"/>
      <c r="M215" s="9"/>
      <c r="N215" s="9"/>
      <c r="O215" s="9"/>
      <c r="P215" s="9"/>
      <c r="Q215" s="9"/>
      <c r="R215" s="9"/>
      <c r="S215" s="9"/>
      <c r="T215" s="9"/>
      <c r="U215" s="9"/>
      <c r="V215" s="152"/>
      <c r="W215" s="168"/>
      <c r="AE215" s="89"/>
      <c r="AH215" s="210"/>
      <c r="AI215" s="210"/>
      <c r="AJ215" s="175"/>
    </row>
    <row r="216" spans="1:45" ht="18.75" customHeight="1" x14ac:dyDescent="0.2">
      <c r="A216" s="159"/>
      <c r="B216" s="160"/>
      <c r="C216" s="160"/>
      <c r="D216" s="160"/>
      <c r="E216" s="160"/>
      <c r="F216" s="160"/>
      <c r="G216" s="160"/>
      <c r="H216" s="160"/>
      <c r="I216" s="160"/>
      <c r="J216" s="161"/>
      <c r="K216" s="160"/>
      <c r="L216" s="160"/>
      <c r="M216" s="160"/>
      <c r="N216" s="160"/>
      <c r="O216" s="160"/>
      <c r="P216" s="160"/>
      <c r="Q216" s="160"/>
      <c r="R216" s="160"/>
      <c r="S216" s="160"/>
      <c r="T216" s="160"/>
      <c r="U216" s="160"/>
      <c r="V216" s="156"/>
      <c r="W216" s="180"/>
      <c r="Z216" s="227"/>
      <c r="AA216" s="227"/>
      <c r="AB216" s="227"/>
      <c r="AC216" s="227"/>
      <c r="AD216" s="227"/>
      <c r="AE216" s="227"/>
      <c r="AF216" s="227"/>
      <c r="AG216" s="227"/>
      <c r="AH216" s="227"/>
      <c r="AI216" s="648"/>
      <c r="AJ216" s="94"/>
    </row>
    <row r="217" spans="1:45" s="87" customFormat="1" ht="11.25" customHeight="1" x14ac:dyDescent="0.2">
      <c r="A217" s="80"/>
      <c r="B217" s="80"/>
      <c r="C217" s="80"/>
      <c r="D217" s="80"/>
      <c r="E217" s="80"/>
      <c r="F217" s="80"/>
      <c r="G217" s="80"/>
      <c r="H217" s="80"/>
      <c r="I217" s="80"/>
      <c r="J217" s="106"/>
      <c r="K217" s="80"/>
      <c r="L217" s="80"/>
      <c r="M217" s="80"/>
      <c r="N217" s="80"/>
      <c r="O217" s="80"/>
      <c r="P217" s="80"/>
      <c r="Q217" s="80"/>
      <c r="R217" s="80"/>
      <c r="S217" s="80"/>
      <c r="T217" s="80"/>
      <c r="U217" s="80"/>
      <c r="V217" s="181"/>
      <c r="X217" s="88"/>
      <c r="Y217" s="88"/>
      <c r="Z217" s="88"/>
      <c r="AA217" s="88"/>
      <c r="AB217" s="88"/>
      <c r="AC217" s="88"/>
      <c r="AD217" s="88"/>
      <c r="AE217" s="88"/>
      <c r="AF217" s="88"/>
      <c r="AG217" s="88"/>
      <c r="AH217" s="88"/>
      <c r="AI217" s="80"/>
      <c r="AJ217" s="80"/>
      <c r="AK217" s="80"/>
      <c r="AL217" s="80"/>
      <c r="AM217" s="80"/>
      <c r="AN217" s="80"/>
      <c r="AO217" s="80"/>
      <c r="AP217" s="80"/>
      <c r="AQ217" s="80"/>
      <c r="AR217" s="80"/>
      <c r="AS217" s="80"/>
    </row>
    <row r="343" spans="37:37" ht="11.25" customHeight="1" x14ac:dyDescent="0.2">
      <c r="AK343" s="80" t="b">
        <v>1</v>
      </c>
    </row>
  </sheetData>
  <mergeCells count="46">
    <mergeCell ref="B212:G213"/>
    <mergeCell ref="B214:H215"/>
    <mergeCell ref="B202:G203"/>
    <mergeCell ref="B204:H205"/>
    <mergeCell ref="B206:G207"/>
    <mergeCell ref="B208:G209"/>
    <mergeCell ref="B210:G211"/>
    <mergeCell ref="B192:G193"/>
    <mergeCell ref="B194:G195"/>
    <mergeCell ref="B196:G197"/>
    <mergeCell ref="B198:G199"/>
    <mergeCell ref="B200:G201"/>
    <mergeCell ref="AB39:AB40"/>
    <mergeCell ref="M63:O63"/>
    <mergeCell ref="Q63:T63"/>
    <mergeCell ref="D7:H7"/>
    <mergeCell ref="I7:I8"/>
    <mergeCell ref="K7:O7"/>
    <mergeCell ref="P7:P8"/>
    <mergeCell ref="R7:T7"/>
    <mergeCell ref="B34:T34"/>
    <mergeCell ref="A36:U36"/>
    <mergeCell ref="A37:U37"/>
    <mergeCell ref="AA39:AA40"/>
    <mergeCell ref="B188:F189"/>
    <mergeCell ref="B190:F191"/>
    <mergeCell ref="B142:I143"/>
    <mergeCell ref="A174:U174"/>
    <mergeCell ref="A175:U175"/>
    <mergeCell ref="B178:B179"/>
    <mergeCell ref="B180:G181"/>
    <mergeCell ref="B182:G183"/>
    <mergeCell ref="B184:G185"/>
    <mergeCell ref="B5:T6"/>
    <mergeCell ref="B107:I108"/>
    <mergeCell ref="A139:U139"/>
    <mergeCell ref="A140:U140"/>
    <mergeCell ref="B186:F187"/>
    <mergeCell ref="A70:U70"/>
    <mergeCell ref="A104:U104"/>
    <mergeCell ref="A105:U105"/>
    <mergeCell ref="S64:T64"/>
    <mergeCell ref="Q64:R64"/>
    <mergeCell ref="M64:P64"/>
    <mergeCell ref="A69:U69"/>
    <mergeCell ref="B7:B8"/>
  </mergeCells>
  <conditionalFormatting sqref="X69:AB69 Z8:AD8 Y142:AC142">
    <cfRule type="cellIs" dxfId="147" priority="30" stopIfTrue="1" operator="equal">
      <formula>0</formula>
    </cfRule>
  </conditionalFormatting>
  <conditionalFormatting sqref="B9:B30 K9:P30 B50:C65 D9:H30 B145:B166 D145:H166">
    <cfRule type="expression" dxfId="146" priority="31">
      <formula>$B9=$Y$4</formula>
    </cfRule>
    <cfRule type="containsErrors" dxfId="145" priority="32">
      <formula>ISERROR(B9)</formula>
    </cfRule>
  </conditionalFormatting>
  <conditionalFormatting sqref="B31:B32 B167:B168">
    <cfRule type="expression" dxfId="144" priority="33" stopIfTrue="1">
      <formula>$B31=$Y$4</formula>
    </cfRule>
  </conditionalFormatting>
  <conditionalFormatting sqref="R9:R30">
    <cfRule type="expression" dxfId="143" priority="29">
      <formula>$B9=$X$5</formula>
    </cfRule>
  </conditionalFormatting>
  <conditionalFormatting sqref="S9:S30">
    <cfRule type="expression" dxfId="142" priority="28">
      <formula>$B9=$X$5</formula>
    </cfRule>
  </conditionalFormatting>
  <conditionalFormatting sqref="T9:T30">
    <cfRule type="expression" dxfId="141" priority="27">
      <formula>$B9=$X$5</formula>
    </cfRule>
  </conditionalFormatting>
  <conditionalFormatting sqref="B110:B131 D110:H131 R9:T30">
    <cfRule type="expression" dxfId="140" priority="24">
      <formula>$B9=$Y$4</formula>
    </cfRule>
  </conditionalFormatting>
  <conditionalFormatting sqref="B132:B133">
    <cfRule type="expression" dxfId="139" priority="26" stopIfTrue="1">
      <formula>$B132=$Y$4</formula>
    </cfRule>
  </conditionalFormatting>
  <conditionalFormatting sqref="B110:B131 D110:H131 R8:T30">
    <cfRule type="containsErrors" dxfId="138" priority="25">
      <formula>ISERROR(B8)</formula>
    </cfRule>
  </conditionalFormatting>
  <conditionalFormatting sqref="A9:A30">
    <cfRule type="cellIs" dxfId="137" priority="22" operator="equal">
      <formula>0</formula>
    </cfRule>
  </conditionalFormatting>
  <conditionalFormatting sqref="A110:A131">
    <cfRule type="cellIs" dxfId="136" priority="21" operator="equal">
      <formula>0</formula>
    </cfRule>
  </conditionalFormatting>
  <conditionalFormatting sqref="A145:A166">
    <cfRule type="cellIs" dxfId="135" priority="20" operator="equal">
      <formula>0</formula>
    </cfRule>
  </conditionalFormatting>
  <conditionalFormatting sqref="A1:A36 A38:A69 A71:A104 A106:A139 A141:A174 A176:A1048576">
    <cfRule type="containsErrors" dxfId="134" priority="19">
      <formula>ISERROR(A1)</formula>
    </cfRule>
  </conditionalFormatting>
  <conditionalFormatting sqref="AF9:AG27">
    <cfRule type="containsErrors" dxfId="133" priority="18">
      <formula>ISERROR(AF9)</formula>
    </cfRule>
  </conditionalFormatting>
  <conditionalFormatting sqref="AF9:AG20 AG10:AG27">
    <cfRule type="expression" dxfId="132" priority="17">
      <formula>$B9=$W$4</formula>
    </cfRule>
  </conditionalFormatting>
  <conditionalFormatting sqref="Y143:AC164">
    <cfRule type="expression" dxfId="131" priority="13">
      <formula>$B143=$Y$4</formula>
    </cfRule>
    <cfRule type="containsErrors" dxfId="130" priority="14">
      <formula>ISERROR(Y143)</formula>
    </cfRule>
  </conditionalFormatting>
  <conditionalFormatting sqref="I9:I30">
    <cfRule type="containsErrors" dxfId="129" priority="12">
      <formula>ISERROR(I9)</formula>
    </cfRule>
  </conditionalFormatting>
  <conditionalFormatting sqref="I9:I30">
    <cfRule type="expression" dxfId="128" priority="11">
      <formula>$B9=$Y$4</formula>
    </cfRule>
  </conditionalFormatting>
  <conditionalFormatting sqref="A37">
    <cfRule type="cellIs" dxfId="127" priority="9" operator="equal">
      <formula>0</formula>
    </cfRule>
    <cfRule type="containsErrors" dxfId="126" priority="10">
      <formula>ISERROR(A37)</formula>
    </cfRule>
  </conditionalFormatting>
  <conditionalFormatting sqref="A70">
    <cfRule type="cellIs" dxfId="125" priority="7" operator="equal">
      <formula>0</formula>
    </cfRule>
    <cfRule type="containsErrors" dxfId="124" priority="8">
      <formula>ISERROR(A70)</formula>
    </cfRule>
  </conditionalFormatting>
  <conditionalFormatting sqref="A105">
    <cfRule type="cellIs" dxfId="123" priority="5" operator="equal">
      <formula>0</formula>
    </cfRule>
    <cfRule type="containsErrors" dxfId="122" priority="6">
      <formula>ISERROR(A105)</formula>
    </cfRule>
  </conditionalFormatting>
  <conditionalFormatting sqref="A140">
    <cfRule type="cellIs" dxfId="121" priority="3" operator="equal">
      <formula>0</formula>
    </cfRule>
    <cfRule type="containsErrors" dxfId="120" priority="4">
      <formula>ISERROR(A140)</formula>
    </cfRule>
  </conditionalFormatting>
  <conditionalFormatting sqref="A175">
    <cfRule type="cellIs" dxfId="119" priority="1" operator="equal">
      <formula>0</formula>
    </cfRule>
    <cfRule type="containsErrors" dxfId="118" priority="2">
      <formula>ISERROR(A175)</formula>
    </cfRule>
  </conditionalFormatting>
  <hyperlinks>
    <hyperlink ref="B180:B181" location="Coverage!A1" display="Participating LA's"/>
    <hyperlink ref="B182:B183" location="IDACI!A1" display="IDACI"/>
    <hyperlink ref="B212:B213" location="Adoption!A1" display="Adoption"/>
    <hyperlink ref="B210:B211" location="'Looked After Children'!A1" display="Looked After Children"/>
    <hyperlink ref="B208:B209" location="'Court Applications'!A1" display="Court Applications"/>
    <hyperlink ref="B206:B207" location="'Child Protection Plans'!A1" display="Child Protection Plans"/>
    <hyperlink ref="B204:B205" location="'Initial CP Conferences'!A1" display="Initial Child Protection Conferences"/>
    <hyperlink ref="B202:B203" location="'Section 47 Enquiries'!A1" display="Section 47 Enquiries"/>
    <hyperlink ref="B200:B201" location="'Children in Need'!A1" display="Children in Need"/>
    <hyperlink ref="B198:B199" location="Assessments!A1" display="Assessments"/>
    <hyperlink ref="B196:B197" location="'Re-referrals'!A1" display="Re-referrals"/>
    <hyperlink ref="B194:B195" location="Referral_Source!A1" display="Referral Source"/>
    <hyperlink ref="B192:B193" location="Referrals!A1" display="Referrals"/>
    <hyperlink ref="B184:B185" location="Population!A1" display="Population"/>
    <hyperlink ref="B182:G183" location="IDACI!A1" display="IDACI"/>
    <hyperlink ref="B186:B187" location="CAF_EHA!A1" display="CAF (EHA's)"/>
    <hyperlink ref="B190:B191" location="CAF_EHA!A1" display="CAF (EHA's)"/>
    <hyperlink ref="B188:B189" location="CAF_EHA!A1" display="CAF (EHA's)"/>
    <hyperlink ref="B186:F187" location="EH_Referrals!A1" display="Early Help Referrals"/>
    <hyperlink ref="B188:F189" location="EH_Assessments!A1" display="Early Help Assessments"/>
    <hyperlink ref="B190:F191" location="EH_Clients!A1" display="Early Help Clients"/>
    <hyperlink ref="B212:G213" location="Adoption!A1" display="Permanenc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7" max="18" man="1"/>
    <brk id="70" max="20" man="1"/>
    <brk id="105" max="20" man="1"/>
    <brk id="140" max="20" man="1"/>
  </rowBreaks>
  <ignoredErrors>
    <ignoredError sqref="A145:A166 A110:A131 A9:A3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macro="[0]!CheckBox1_Click" altText="">
                <anchor>
                  <from>
                    <xdr:col>22</xdr:col>
                    <xdr:colOff>66675</xdr:colOff>
                    <xdr:row>38</xdr:row>
                    <xdr:rowOff>76200</xdr:rowOff>
                  </from>
                  <to>
                    <xdr:col>35</xdr:col>
                    <xdr:colOff>47625</xdr:colOff>
                    <xdr:row>40</xdr:row>
                    <xdr:rowOff>19050</xdr:rowOff>
                  </to>
                </anchor>
              </controlPr>
            </control>
          </mc:Choice>
        </mc:AlternateContent>
        <mc:AlternateContent xmlns:mc="http://schemas.openxmlformats.org/markup-compatibility/2006">
          <mc:Choice Requires="x14">
            <control shapeId="98306" r:id="rId5" name="Check Box 2">
              <controlPr defaultSize="0" autoFill="0" autoLine="0" autoPict="0" macro="[0]!CheckBox1_Click" altText="">
                <anchor>
                  <from>
                    <xdr:col>22</xdr:col>
                    <xdr:colOff>66675</xdr:colOff>
                    <xdr:row>39</xdr:row>
                    <xdr:rowOff>161925</xdr:rowOff>
                  </from>
                  <to>
                    <xdr:col>35</xdr:col>
                    <xdr:colOff>47625</xdr:colOff>
                    <xdr:row>41</xdr:row>
                    <xdr:rowOff>19050</xdr:rowOff>
                  </to>
                </anchor>
              </controlPr>
            </control>
          </mc:Choice>
        </mc:AlternateContent>
        <mc:AlternateContent xmlns:mc="http://schemas.openxmlformats.org/markup-compatibility/2006">
          <mc:Choice Requires="x14">
            <control shapeId="98307" r:id="rId6" name="Check Box 3">
              <controlPr defaultSize="0" autoFill="0" autoLine="0" autoPict="0" macro="[0]!CheckBox1_Click" altText="">
                <anchor>
                  <from>
                    <xdr:col>22</xdr:col>
                    <xdr:colOff>66675</xdr:colOff>
                    <xdr:row>40</xdr:row>
                    <xdr:rowOff>161925</xdr:rowOff>
                  </from>
                  <to>
                    <xdr:col>35</xdr:col>
                    <xdr:colOff>47625</xdr:colOff>
                    <xdr:row>42</xdr:row>
                    <xdr:rowOff>19050</xdr:rowOff>
                  </to>
                </anchor>
              </controlPr>
            </control>
          </mc:Choice>
        </mc:AlternateContent>
        <mc:AlternateContent xmlns:mc="http://schemas.openxmlformats.org/markup-compatibility/2006">
          <mc:Choice Requires="x14">
            <control shapeId="98308" r:id="rId7" name="Check Box 4">
              <controlPr defaultSize="0" autoFill="0" autoLine="0" autoPict="0" macro="[0]!CheckBox1_Click" altText="">
                <anchor>
                  <from>
                    <xdr:col>22</xdr:col>
                    <xdr:colOff>66675</xdr:colOff>
                    <xdr:row>41</xdr:row>
                    <xdr:rowOff>161925</xdr:rowOff>
                  </from>
                  <to>
                    <xdr:col>35</xdr:col>
                    <xdr:colOff>47625</xdr:colOff>
                    <xdr:row>43</xdr:row>
                    <xdr:rowOff>19050</xdr:rowOff>
                  </to>
                </anchor>
              </controlPr>
            </control>
          </mc:Choice>
        </mc:AlternateContent>
        <mc:AlternateContent xmlns:mc="http://schemas.openxmlformats.org/markup-compatibility/2006">
          <mc:Choice Requires="x14">
            <control shapeId="98309" r:id="rId8" name="Check Box 5">
              <controlPr defaultSize="0" autoFill="0" autoLine="0" autoPict="0" macro="[0]!CheckBox1_Click" altText="">
                <anchor>
                  <from>
                    <xdr:col>22</xdr:col>
                    <xdr:colOff>66675</xdr:colOff>
                    <xdr:row>42</xdr:row>
                    <xdr:rowOff>161925</xdr:rowOff>
                  </from>
                  <to>
                    <xdr:col>35</xdr:col>
                    <xdr:colOff>47625</xdr:colOff>
                    <xdr:row>44</xdr:row>
                    <xdr:rowOff>19050</xdr:rowOff>
                  </to>
                </anchor>
              </controlPr>
            </control>
          </mc:Choice>
        </mc:AlternateContent>
        <mc:AlternateContent xmlns:mc="http://schemas.openxmlformats.org/markup-compatibility/2006">
          <mc:Choice Requires="x14">
            <control shapeId="98310" r:id="rId9" name="Check Box 6">
              <controlPr defaultSize="0" autoFill="0" autoLine="0" autoPict="0" macro="[0]!CheckBox1_Click" altText="">
                <anchor>
                  <from>
                    <xdr:col>22</xdr:col>
                    <xdr:colOff>66675</xdr:colOff>
                    <xdr:row>43</xdr:row>
                    <xdr:rowOff>161925</xdr:rowOff>
                  </from>
                  <to>
                    <xdr:col>35</xdr:col>
                    <xdr:colOff>47625</xdr:colOff>
                    <xdr:row>45</xdr:row>
                    <xdr:rowOff>19050</xdr:rowOff>
                  </to>
                </anchor>
              </controlPr>
            </control>
          </mc:Choice>
        </mc:AlternateContent>
        <mc:AlternateContent xmlns:mc="http://schemas.openxmlformats.org/markup-compatibility/2006">
          <mc:Choice Requires="x14">
            <control shapeId="98311" r:id="rId10" name="Check Box 7">
              <controlPr defaultSize="0" autoFill="0" autoLine="0" autoPict="0" macro="[0]!CheckBox1_Click" altText="">
                <anchor>
                  <from>
                    <xdr:col>22</xdr:col>
                    <xdr:colOff>66675</xdr:colOff>
                    <xdr:row>44</xdr:row>
                    <xdr:rowOff>161925</xdr:rowOff>
                  </from>
                  <to>
                    <xdr:col>35</xdr:col>
                    <xdr:colOff>47625</xdr:colOff>
                    <xdr:row>46</xdr:row>
                    <xdr:rowOff>19050</xdr:rowOff>
                  </to>
                </anchor>
              </controlPr>
            </control>
          </mc:Choice>
        </mc:AlternateContent>
        <mc:AlternateContent xmlns:mc="http://schemas.openxmlformats.org/markup-compatibility/2006">
          <mc:Choice Requires="x14">
            <control shapeId="98312" r:id="rId11" name="Check Box 8">
              <controlPr defaultSize="0" autoFill="0" autoLine="0" autoPict="0" macro="[0]!CheckBox1_Click" altText="">
                <anchor>
                  <from>
                    <xdr:col>22</xdr:col>
                    <xdr:colOff>66675</xdr:colOff>
                    <xdr:row>45</xdr:row>
                    <xdr:rowOff>161925</xdr:rowOff>
                  </from>
                  <to>
                    <xdr:col>35</xdr:col>
                    <xdr:colOff>47625</xdr:colOff>
                    <xdr:row>47</xdr:row>
                    <xdr:rowOff>19050</xdr:rowOff>
                  </to>
                </anchor>
              </controlPr>
            </control>
          </mc:Choice>
        </mc:AlternateContent>
        <mc:AlternateContent xmlns:mc="http://schemas.openxmlformats.org/markup-compatibility/2006">
          <mc:Choice Requires="x14">
            <control shapeId="98313" r:id="rId12" name="Check Box 9">
              <controlPr defaultSize="0" autoFill="0" autoLine="0" autoPict="0" macro="[0]!CheckBox1_Click" altText="">
                <anchor>
                  <from>
                    <xdr:col>22</xdr:col>
                    <xdr:colOff>66675</xdr:colOff>
                    <xdr:row>46</xdr:row>
                    <xdr:rowOff>161925</xdr:rowOff>
                  </from>
                  <to>
                    <xdr:col>35</xdr:col>
                    <xdr:colOff>47625</xdr:colOff>
                    <xdr:row>48</xdr:row>
                    <xdr:rowOff>19050</xdr:rowOff>
                  </to>
                </anchor>
              </controlPr>
            </control>
          </mc:Choice>
        </mc:AlternateContent>
        <mc:AlternateContent xmlns:mc="http://schemas.openxmlformats.org/markup-compatibility/2006">
          <mc:Choice Requires="x14">
            <control shapeId="98314" r:id="rId13" name="Check Box 10">
              <controlPr defaultSize="0" autoFill="0" autoLine="0" autoPict="0" macro="[0]!CheckBox1_Click" altText="">
                <anchor>
                  <from>
                    <xdr:col>22</xdr:col>
                    <xdr:colOff>66675</xdr:colOff>
                    <xdr:row>47</xdr:row>
                    <xdr:rowOff>161925</xdr:rowOff>
                  </from>
                  <to>
                    <xdr:col>35</xdr:col>
                    <xdr:colOff>47625</xdr:colOff>
                    <xdr:row>49</xdr:row>
                    <xdr:rowOff>19050</xdr:rowOff>
                  </to>
                </anchor>
              </controlPr>
            </control>
          </mc:Choice>
        </mc:AlternateContent>
        <mc:AlternateContent xmlns:mc="http://schemas.openxmlformats.org/markup-compatibility/2006">
          <mc:Choice Requires="x14">
            <control shapeId="98315" r:id="rId14" name="Check Box 11">
              <controlPr defaultSize="0" autoFill="0" autoLine="0" autoPict="0" macro="[0]!CheckBox1_Click" altText="">
                <anchor>
                  <from>
                    <xdr:col>22</xdr:col>
                    <xdr:colOff>66675</xdr:colOff>
                    <xdr:row>48</xdr:row>
                    <xdr:rowOff>161925</xdr:rowOff>
                  </from>
                  <to>
                    <xdr:col>35</xdr:col>
                    <xdr:colOff>47625</xdr:colOff>
                    <xdr:row>50</xdr:row>
                    <xdr:rowOff>19050</xdr:rowOff>
                  </to>
                </anchor>
              </controlPr>
            </control>
          </mc:Choice>
        </mc:AlternateContent>
        <mc:AlternateContent xmlns:mc="http://schemas.openxmlformats.org/markup-compatibility/2006">
          <mc:Choice Requires="x14">
            <control shapeId="98316" r:id="rId15" name="Check Box 12">
              <controlPr defaultSize="0" autoFill="0" autoLine="0" autoPict="0" macro="[0]!CheckBox1_Click" altText="">
                <anchor>
                  <from>
                    <xdr:col>22</xdr:col>
                    <xdr:colOff>66675</xdr:colOff>
                    <xdr:row>49</xdr:row>
                    <xdr:rowOff>161925</xdr:rowOff>
                  </from>
                  <to>
                    <xdr:col>35</xdr:col>
                    <xdr:colOff>47625</xdr:colOff>
                    <xdr:row>51</xdr:row>
                    <xdr:rowOff>19050</xdr:rowOff>
                  </to>
                </anchor>
              </controlPr>
            </control>
          </mc:Choice>
        </mc:AlternateContent>
        <mc:AlternateContent xmlns:mc="http://schemas.openxmlformats.org/markup-compatibility/2006">
          <mc:Choice Requires="x14">
            <control shapeId="98317" r:id="rId16" name="Check Box 13">
              <controlPr defaultSize="0" autoFill="0" autoLine="0" autoPict="0" macro="[0]!CheckBox1_Click" altText="">
                <anchor>
                  <from>
                    <xdr:col>22</xdr:col>
                    <xdr:colOff>66675</xdr:colOff>
                    <xdr:row>50</xdr:row>
                    <xdr:rowOff>161925</xdr:rowOff>
                  </from>
                  <to>
                    <xdr:col>35</xdr:col>
                    <xdr:colOff>47625</xdr:colOff>
                    <xdr:row>52</xdr:row>
                    <xdr:rowOff>19050</xdr:rowOff>
                  </to>
                </anchor>
              </controlPr>
            </control>
          </mc:Choice>
        </mc:AlternateContent>
        <mc:AlternateContent xmlns:mc="http://schemas.openxmlformats.org/markup-compatibility/2006">
          <mc:Choice Requires="x14">
            <control shapeId="98318" r:id="rId17" name="Check Box 14">
              <controlPr defaultSize="0" autoFill="0" autoLine="0" autoPict="0" macro="[0]!CheckBox1_Click" altText="">
                <anchor>
                  <from>
                    <xdr:col>22</xdr:col>
                    <xdr:colOff>66675</xdr:colOff>
                    <xdr:row>51</xdr:row>
                    <xdr:rowOff>161925</xdr:rowOff>
                  </from>
                  <to>
                    <xdr:col>35</xdr:col>
                    <xdr:colOff>47625</xdr:colOff>
                    <xdr:row>53</xdr:row>
                    <xdr:rowOff>19050</xdr:rowOff>
                  </to>
                </anchor>
              </controlPr>
            </control>
          </mc:Choice>
        </mc:AlternateContent>
        <mc:AlternateContent xmlns:mc="http://schemas.openxmlformats.org/markup-compatibility/2006">
          <mc:Choice Requires="x14">
            <control shapeId="98319" r:id="rId18" name="Check Box 15">
              <controlPr defaultSize="0" autoFill="0" autoLine="0" autoPict="0" macro="[0]!CheckBox1_Click" altText="">
                <anchor>
                  <from>
                    <xdr:col>22</xdr:col>
                    <xdr:colOff>66675</xdr:colOff>
                    <xdr:row>52</xdr:row>
                    <xdr:rowOff>161925</xdr:rowOff>
                  </from>
                  <to>
                    <xdr:col>35</xdr:col>
                    <xdr:colOff>47625</xdr:colOff>
                    <xdr:row>54</xdr:row>
                    <xdr:rowOff>19050</xdr:rowOff>
                  </to>
                </anchor>
              </controlPr>
            </control>
          </mc:Choice>
        </mc:AlternateContent>
        <mc:AlternateContent xmlns:mc="http://schemas.openxmlformats.org/markup-compatibility/2006">
          <mc:Choice Requires="x14">
            <control shapeId="98320" r:id="rId19" name="Check Box 16">
              <controlPr defaultSize="0" autoFill="0" autoLine="0" autoPict="0" macro="[0]!CheckBox1_Click" altText="">
                <anchor>
                  <from>
                    <xdr:col>22</xdr:col>
                    <xdr:colOff>66675</xdr:colOff>
                    <xdr:row>53</xdr:row>
                    <xdr:rowOff>161925</xdr:rowOff>
                  </from>
                  <to>
                    <xdr:col>35</xdr:col>
                    <xdr:colOff>47625</xdr:colOff>
                    <xdr:row>55</xdr:row>
                    <xdr:rowOff>19050</xdr:rowOff>
                  </to>
                </anchor>
              </controlPr>
            </control>
          </mc:Choice>
        </mc:AlternateContent>
        <mc:AlternateContent xmlns:mc="http://schemas.openxmlformats.org/markup-compatibility/2006">
          <mc:Choice Requires="x14">
            <control shapeId="98321" r:id="rId20" name="Check Box 17">
              <controlPr defaultSize="0" autoFill="0" autoLine="0" autoPict="0" macro="[0]!CheckBox1_Click" altText="">
                <anchor>
                  <from>
                    <xdr:col>22</xdr:col>
                    <xdr:colOff>66675</xdr:colOff>
                    <xdr:row>56</xdr:row>
                    <xdr:rowOff>161925</xdr:rowOff>
                  </from>
                  <to>
                    <xdr:col>35</xdr:col>
                    <xdr:colOff>47625</xdr:colOff>
                    <xdr:row>58</xdr:row>
                    <xdr:rowOff>19050</xdr:rowOff>
                  </to>
                </anchor>
              </controlPr>
            </control>
          </mc:Choice>
        </mc:AlternateContent>
        <mc:AlternateContent xmlns:mc="http://schemas.openxmlformats.org/markup-compatibility/2006">
          <mc:Choice Requires="x14">
            <control shapeId="98322" r:id="rId21" name="Check Box 18">
              <controlPr defaultSize="0" autoFill="0" autoLine="0" autoPict="0" macro="[0]!CheckBox1_Click" altText="">
                <anchor>
                  <from>
                    <xdr:col>22</xdr:col>
                    <xdr:colOff>66675</xdr:colOff>
                    <xdr:row>57</xdr:row>
                    <xdr:rowOff>161925</xdr:rowOff>
                  </from>
                  <to>
                    <xdr:col>35</xdr:col>
                    <xdr:colOff>47625</xdr:colOff>
                    <xdr:row>59</xdr:row>
                    <xdr:rowOff>19050</xdr:rowOff>
                  </to>
                </anchor>
              </controlPr>
            </control>
          </mc:Choice>
        </mc:AlternateContent>
        <mc:AlternateContent xmlns:mc="http://schemas.openxmlformats.org/markup-compatibility/2006">
          <mc:Choice Requires="x14">
            <control shapeId="98323" r:id="rId22" name="Check Box 19">
              <controlPr defaultSize="0" autoFill="0" autoLine="0" autoPict="0" macro="[0]!CheckBox1_Click" altText="">
                <anchor>
                  <from>
                    <xdr:col>22</xdr:col>
                    <xdr:colOff>66675</xdr:colOff>
                    <xdr:row>58</xdr:row>
                    <xdr:rowOff>161925</xdr:rowOff>
                  </from>
                  <to>
                    <xdr:col>35</xdr:col>
                    <xdr:colOff>47625</xdr:colOff>
                    <xdr:row>60</xdr:row>
                    <xdr:rowOff>19050</xdr:rowOff>
                  </to>
                </anchor>
              </controlPr>
            </control>
          </mc:Choice>
        </mc:AlternateContent>
        <mc:AlternateContent xmlns:mc="http://schemas.openxmlformats.org/markup-compatibility/2006">
          <mc:Choice Requires="x14">
            <control shapeId="98324" r:id="rId23" name="Check Box 20">
              <controlPr defaultSize="0" autoFill="0" autoLine="0" autoPict="0" macro="[0]!CheckBox1_Click" altText="">
                <anchor>
                  <from>
                    <xdr:col>22</xdr:col>
                    <xdr:colOff>66675</xdr:colOff>
                    <xdr:row>59</xdr:row>
                    <xdr:rowOff>161925</xdr:rowOff>
                  </from>
                  <to>
                    <xdr:col>35</xdr:col>
                    <xdr:colOff>47625</xdr:colOff>
                    <xdr:row>61</xdr:row>
                    <xdr:rowOff>19050</xdr:rowOff>
                  </to>
                </anchor>
              </controlPr>
            </control>
          </mc:Choice>
        </mc:AlternateContent>
        <mc:AlternateContent xmlns:mc="http://schemas.openxmlformats.org/markup-compatibility/2006">
          <mc:Choice Requires="x14">
            <control shapeId="98325" r:id="rId24" name="Check Box 21">
              <controlPr defaultSize="0" autoFill="0" autoLine="0" autoPict="0" macro="[0]!CheckBox1_Click" altText="">
                <anchor>
                  <from>
                    <xdr:col>22</xdr:col>
                    <xdr:colOff>66675</xdr:colOff>
                    <xdr:row>60</xdr:row>
                    <xdr:rowOff>161925</xdr:rowOff>
                  </from>
                  <to>
                    <xdr:col>35</xdr:col>
                    <xdr:colOff>47625</xdr:colOff>
                    <xdr:row>62</xdr:row>
                    <xdr:rowOff>19050</xdr:rowOff>
                  </to>
                </anchor>
              </controlPr>
            </control>
          </mc:Choice>
        </mc:AlternateContent>
        <mc:AlternateContent xmlns:mc="http://schemas.openxmlformats.org/markup-compatibility/2006">
          <mc:Choice Requires="x14">
            <control shapeId="98326" r:id="rId25" name="Check Box 22">
              <controlPr defaultSize="0" autoFill="0" autoLine="0" autoPict="0" macro="[0]!CheckBox1_Click" altText="">
                <anchor>
                  <from>
                    <xdr:col>22</xdr:col>
                    <xdr:colOff>66675</xdr:colOff>
                    <xdr:row>54</xdr:row>
                    <xdr:rowOff>161925</xdr:rowOff>
                  </from>
                  <to>
                    <xdr:col>35</xdr:col>
                    <xdr:colOff>47625</xdr:colOff>
                    <xdr:row>56</xdr:row>
                    <xdr:rowOff>19050</xdr:rowOff>
                  </to>
                </anchor>
              </controlPr>
            </control>
          </mc:Choice>
        </mc:AlternateContent>
        <mc:AlternateContent xmlns:mc="http://schemas.openxmlformats.org/markup-compatibility/2006">
          <mc:Choice Requires="x14">
            <control shapeId="98327" r:id="rId26" name="Check Box 23">
              <controlPr defaultSize="0" autoFill="0" autoLine="0" autoPict="0" macro="[0]!CheckBox1_Click" altText="">
                <anchor>
                  <from>
                    <xdr:col>22</xdr:col>
                    <xdr:colOff>66675</xdr:colOff>
                    <xdr:row>55</xdr:row>
                    <xdr:rowOff>161925</xdr:rowOff>
                  </from>
                  <to>
                    <xdr:col>35</xdr:col>
                    <xdr:colOff>47625</xdr:colOff>
                    <xdr:row>57</xdr:row>
                    <xdr:rowOff>19050</xdr:rowOff>
                  </to>
                </anchor>
              </controlPr>
            </control>
          </mc:Choice>
        </mc:AlternateContent>
        <mc:AlternateContent xmlns:mc="http://schemas.openxmlformats.org/markup-compatibility/2006">
          <mc:Choice Requires="x14">
            <control shapeId="98328" r:id="rId27" name="Check Box 24">
              <controlPr defaultSize="0" autoFill="0" autoLine="0" autoPict="0" macro="[0]!CheckBox1_Click" altText="">
                <anchor>
                  <from>
                    <xdr:col>22</xdr:col>
                    <xdr:colOff>66675</xdr:colOff>
                    <xdr:row>61</xdr:row>
                    <xdr:rowOff>161925</xdr:rowOff>
                  </from>
                  <to>
                    <xdr:col>35</xdr:col>
                    <xdr:colOff>47625</xdr:colOff>
                    <xdr:row>63</xdr:row>
                    <xdr:rowOff>19050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6"/>
  <dimension ref="A1:BL378"/>
  <sheetViews>
    <sheetView showRowColHeaders="0" zoomScaleNormal="100" workbookViewId="0"/>
  </sheetViews>
  <sheetFormatPr defaultColWidth="9.140625" defaultRowHeight="11.25" customHeight="1" x14ac:dyDescent="0.2"/>
  <cols>
    <col min="1" max="1" width="2.140625" style="80" customWidth="1"/>
    <col min="2" max="2" width="17.140625" style="80" customWidth="1"/>
    <col min="3" max="3" width="1.42578125" style="80" customWidth="1"/>
    <col min="4" max="8" width="7.42578125" style="80" customWidth="1"/>
    <col min="9" max="9" width="7.7109375" style="80" customWidth="1"/>
    <col min="10" max="10" width="1.42578125" style="106" customWidth="1"/>
    <col min="11" max="15" width="7.42578125" style="80" customWidth="1"/>
    <col min="16" max="16" width="7.140625" style="80" customWidth="1"/>
    <col min="17" max="17" width="1.42578125" style="80" customWidth="1"/>
    <col min="18" max="18" width="7.140625" style="80" customWidth="1"/>
    <col min="19" max="19" width="8.140625" style="80" bestFit="1" customWidth="1"/>
    <col min="20" max="20" width="7.5703125" style="80" customWidth="1"/>
    <col min="21" max="21" width="2.140625" style="80" customWidth="1"/>
    <col min="22" max="22" width="6.42578125" style="87" customWidth="1"/>
    <col min="23" max="23" width="4.85546875" style="87" customWidth="1"/>
    <col min="24" max="24" width="17.85546875" style="88" hidden="1" customWidth="1"/>
    <col min="25" max="29" width="11.28515625" style="88" hidden="1" customWidth="1"/>
    <col min="30" max="30" width="17" style="88" hidden="1" customWidth="1"/>
    <col min="31" max="31" width="8.5703125" style="88" hidden="1" customWidth="1"/>
    <col min="32" max="32" width="14.28515625" style="88" hidden="1" customWidth="1"/>
    <col min="33" max="34" width="6.5703125" style="88" hidden="1" customWidth="1"/>
    <col min="35" max="35" width="6.5703125" style="80" hidden="1" customWidth="1"/>
    <col min="36" max="36" width="31.5703125" style="80" customWidth="1"/>
    <col min="37" max="37" width="17" style="80" hidden="1" customWidth="1"/>
    <col min="38" max="42" width="13.7109375" style="80" hidden="1" customWidth="1"/>
    <col min="43" max="64" width="9.140625" style="80" hidden="1" customWidth="1"/>
    <col min="65" max="65" width="0" style="80" hidden="1" customWidth="1"/>
    <col min="66" max="16384" width="9.140625" style="80"/>
  </cols>
  <sheetData>
    <row r="1" spans="1:44" ht="18.75" customHeight="1" x14ac:dyDescent="0.2">
      <c r="A1" s="129"/>
      <c r="B1" s="130"/>
      <c r="C1" s="130"/>
      <c r="D1" s="130"/>
      <c r="E1" s="130"/>
      <c r="F1" s="130"/>
      <c r="G1" s="130"/>
      <c r="H1" s="130"/>
      <c r="I1" s="130"/>
      <c r="J1" s="131"/>
      <c r="K1" s="130"/>
      <c r="L1" s="130"/>
      <c r="M1" s="130"/>
      <c r="N1" s="130"/>
      <c r="O1" s="130"/>
      <c r="P1" s="130"/>
      <c r="Q1" s="130"/>
      <c r="R1" s="130"/>
      <c r="S1" s="130"/>
      <c r="T1" s="130"/>
      <c r="U1" s="132"/>
      <c r="V1" s="306"/>
      <c r="W1" s="173"/>
      <c r="X1" s="206"/>
      <c r="Y1" s="206"/>
      <c r="Z1" s="206"/>
      <c r="AA1" s="206"/>
      <c r="AB1" s="206"/>
      <c r="AC1" s="206"/>
      <c r="AD1" s="206"/>
      <c r="AE1" s="206"/>
      <c r="AF1" s="206"/>
      <c r="AG1" s="206"/>
      <c r="AH1" s="206"/>
      <c r="AI1" s="207"/>
      <c r="AJ1" s="174"/>
    </row>
    <row r="2" spans="1:44" ht="18.75" customHeight="1" x14ac:dyDescent="0.2">
      <c r="A2" s="135"/>
      <c r="B2" s="145" t="s">
        <v>21</v>
      </c>
      <c r="C2" s="9"/>
      <c r="D2" s="9"/>
      <c r="E2" s="9"/>
      <c r="F2" s="9"/>
      <c r="G2" s="9"/>
      <c r="H2" s="9"/>
      <c r="I2" s="9"/>
      <c r="J2" s="13"/>
      <c r="K2" s="9"/>
      <c r="L2" s="9"/>
      <c r="M2" s="9"/>
      <c r="N2" s="9"/>
      <c r="O2" s="9"/>
      <c r="P2" s="9"/>
      <c r="Q2" s="9"/>
      <c r="R2" s="9"/>
      <c r="S2" s="9"/>
      <c r="T2" s="9"/>
      <c r="U2" s="134"/>
      <c r="V2" s="179"/>
      <c r="W2" s="168"/>
      <c r="AI2" s="210"/>
      <c r="AJ2" s="175"/>
    </row>
    <row r="3" spans="1:44" ht="18.75" customHeight="1" x14ac:dyDescent="0.2">
      <c r="A3" s="141"/>
      <c r="B3" s="142"/>
      <c r="C3" s="142"/>
      <c r="D3" s="142"/>
      <c r="E3" s="142"/>
      <c r="F3" s="142"/>
      <c r="G3" s="142"/>
      <c r="H3" s="142"/>
      <c r="I3" s="298"/>
      <c r="J3" s="143"/>
      <c r="K3" s="142"/>
      <c r="L3" s="142"/>
      <c r="M3" s="142"/>
      <c r="N3" s="142"/>
      <c r="O3" s="142"/>
      <c r="P3" s="142"/>
      <c r="Q3" s="142"/>
      <c r="R3" s="142"/>
      <c r="S3" s="298"/>
      <c r="T3" s="142"/>
      <c r="U3" s="144"/>
      <c r="V3" s="179"/>
      <c r="W3" s="168"/>
      <c r="AI3" s="210"/>
      <c r="AJ3" s="175"/>
    </row>
    <row r="4" spans="1:44" ht="11.25" customHeight="1" x14ac:dyDescent="0.2">
      <c r="A4" s="129"/>
      <c r="B4" s="130"/>
      <c r="C4" s="130"/>
      <c r="D4" s="130"/>
      <c r="E4" s="130"/>
      <c r="F4" s="130"/>
      <c r="G4" s="130"/>
      <c r="H4" s="130"/>
      <c r="I4" s="130"/>
      <c r="J4" s="131"/>
      <c r="K4" s="130"/>
      <c r="L4" s="130"/>
      <c r="M4" s="130"/>
      <c r="N4" s="130"/>
      <c r="O4" s="130"/>
      <c r="P4" s="130"/>
      <c r="Q4" s="130"/>
      <c r="R4" s="130"/>
      <c r="S4" s="130"/>
      <c r="T4" s="130"/>
      <c r="U4" s="132"/>
      <c r="V4" s="152"/>
      <c r="W4" s="168"/>
      <c r="X4" s="212" t="e">
        <f>VLOOKUP(Y4,$X$9:$Y$30,2,FALSE)</f>
        <v>#N/A</v>
      </c>
      <c r="Y4" s="212" t="str">
        <f>Home!$D$10</f>
        <v>(none)</v>
      </c>
      <c r="Z4" s="43" t="str">
        <f>"Selected LA- "&amp;Y4</f>
        <v>Selected LA- (none)</v>
      </c>
      <c r="AI4" s="210"/>
      <c r="AJ4" s="175"/>
    </row>
    <row r="5" spans="1:44" s="82" customFormat="1" ht="15" customHeight="1" x14ac:dyDescent="0.2">
      <c r="A5" s="136"/>
      <c r="B5" s="1087" t="s">
        <v>153</v>
      </c>
      <c r="C5" s="1087"/>
      <c r="D5" s="1087"/>
      <c r="E5" s="1087"/>
      <c r="F5" s="1087"/>
      <c r="G5" s="1087"/>
      <c r="H5" s="1087"/>
      <c r="I5" s="1087"/>
      <c r="J5" s="1087"/>
      <c r="K5" s="1087"/>
      <c r="L5" s="1087"/>
      <c r="M5" s="1087"/>
      <c r="N5" s="1087"/>
      <c r="O5" s="1087"/>
      <c r="P5" s="1087"/>
      <c r="Q5" s="1087"/>
      <c r="R5" s="1087"/>
      <c r="S5" s="1087"/>
      <c r="T5" s="1087"/>
      <c r="U5" s="137"/>
      <c r="V5" s="153"/>
      <c r="W5" s="169"/>
      <c r="X5" s="215"/>
      <c r="Y5" s="215"/>
      <c r="Z5" s="215"/>
      <c r="AA5" s="215"/>
      <c r="AB5" s="215"/>
      <c r="AC5" s="215"/>
      <c r="AD5" s="215"/>
      <c r="AE5" s="215"/>
      <c r="AF5" s="215"/>
      <c r="AG5" s="215"/>
      <c r="AH5" s="215"/>
      <c r="AI5" s="215"/>
      <c r="AJ5" s="176"/>
    </row>
    <row r="6" spans="1:44" ht="13.5" customHeight="1" x14ac:dyDescent="0.2">
      <c r="A6" s="135"/>
      <c r="B6" s="1087"/>
      <c r="C6" s="1087"/>
      <c r="D6" s="1087"/>
      <c r="E6" s="1087"/>
      <c r="F6" s="1087"/>
      <c r="G6" s="1087"/>
      <c r="H6" s="1087"/>
      <c r="I6" s="1087"/>
      <c r="J6" s="1087"/>
      <c r="K6" s="1087"/>
      <c r="L6" s="1087"/>
      <c r="M6" s="1087"/>
      <c r="N6" s="1087"/>
      <c r="O6" s="1087"/>
      <c r="P6" s="1087"/>
      <c r="Q6" s="1087"/>
      <c r="R6" s="1087"/>
      <c r="S6" s="1087"/>
      <c r="T6" s="1087"/>
      <c r="U6" s="134"/>
      <c r="V6" s="152"/>
      <c r="W6" s="168"/>
      <c r="Y6" s="217"/>
      <c r="AI6" s="210"/>
      <c r="AJ6" s="175"/>
    </row>
    <row r="7" spans="1:44" s="101" customFormat="1" ht="21" customHeight="1" x14ac:dyDescent="0.2">
      <c r="A7" s="138"/>
      <c r="B7" s="1050" t="s">
        <v>215</v>
      </c>
      <c r="C7" s="97"/>
      <c r="D7" s="982" t="s">
        <v>88</v>
      </c>
      <c r="E7" s="1042"/>
      <c r="F7" s="1042"/>
      <c r="G7" s="1042"/>
      <c r="H7" s="1043"/>
      <c r="I7" s="1044" t="str">
        <f>"% Change "&amp;E8&amp;"-"&amp;RIGHT(H8,2)</f>
        <v>% Change 2015-18</v>
      </c>
      <c r="J7" s="115"/>
      <c r="K7" s="1046" t="s">
        <v>89</v>
      </c>
      <c r="L7" s="1047"/>
      <c r="M7" s="1047"/>
      <c r="N7" s="1047"/>
      <c r="O7" s="1047"/>
      <c r="P7" s="1048" t="str">
        <f>"SE Rank "&amp;O8</f>
        <v>SE Rank 2018</v>
      </c>
      <c r="Q7" s="70"/>
      <c r="R7" s="1096" t="str">
        <f>"Distance from Expected "&amp;H8</f>
        <v>Distance from Expected 2018</v>
      </c>
      <c r="S7" s="1097"/>
      <c r="T7" s="1098"/>
      <c r="U7" s="139"/>
      <c r="V7" s="154"/>
      <c r="W7" s="170"/>
      <c r="X7" s="232"/>
      <c r="Y7" s="232"/>
      <c r="Z7" s="233" t="s">
        <v>79</v>
      </c>
      <c r="AA7" s="217"/>
      <c r="AB7" s="217"/>
      <c r="AC7" s="226"/>
      <c r="AD7" s="226"/>
      <c r="AE7" s="217"/>
      <c r="AF7" s="234" t="s">
        <v>92</v>
      </c>
      <c r="AG7" s="217"/>
      <c r="AH7" s="217"/>
      <c r="AI7" s="232"/>
      <c r="AJ7" s="178"/>
    </row>
    <row r="8" spans="1:44" s="101" customFormat="1" ht="13.5" customHeight="1" x14ac:dyDescent="0.2">
      <c r="A8" s="138"/>
      <c r="B8" s="1051"/>
      <c r="C8" s="97"/>
      <c r="D8" s="393">
        <v>2014</v>
      </c>
      <c r="E8" s="393">
        <v>2015</v>
      </c>
      <c r="F8" s="393">
        <v>2016</v>
      </c>
      <c r="G8" s="393">
        <v>2017</v>
      </c>
      <c r="H8" s="394">
        <v>2018</v>
      </c>
      <c r="I8" s="1045"/>
      <c r="J8" s="115"/>
      <c r="K8" s="395">
        <f>D8</f>
        <v>2014</v>
      </c>
      <c r="L8" s="395">
        <f t="shared" ref="L8:O8" si="0">E8</f>
        <v>2015</v>
      </c>
      <c r="M8" s="395">
        <f t="shared" si="0"/>
        <v>2016</v>
      </c>
      <c r="N8" s="395">
        <f t="shared" si="0"/>
        <v>2017</v>
      </c>
      <c r="O8" s="396">
        <f t="shared" si="0"/>
        <v>2018</v>
      </c>
      <c r="P8" s="1049"/>
      <c r="Q8" s="70"/>
      <c r="R8" s="328" t="s">
        <v>78</v>
      </c>
      <c r="S8" s="375" t="s">
        <v>131</v>
      </c>
      <c r="T8" s="376" t="s">
        <v>132</v>
      </c>
      <c r="U8" s="139"/>
      <c r="V8" s="154"/>
      <c r="W8" s="170"/>
      <c r="X8" s="232"/>
      <c r="Y8" s="232"/>
      <c r="Z8" s="44">
        <f>K8</f>
        <v>2014</v>
      </c>
      <c r="AA8" s="44">
        <f>L8</f>
        <v>2015</v>
      </c>
      <c r="AB8" s="44">
        <f>M8</f>
        <v>2016</v>
      </c>
      <c r="AC8" s="44">
        <f>N8</f>
        <v>2017</v>
      </c>
      <c r="AD8" s="44">
        <f>O8</f>
        <v>2018</v>
      </c>
      <c r="AE8" s="217"/>
      <c r="AF8" s="217"/>
      <c r="AG8" s="217"/>
      <c r="AH8" s="217"/>
      <c r="AI8" s="232"/>
      <c r="AJ8" s="178"/>
    </row>
    <row r="9" spans="1:44" s="101" customFormat="1" ht="13.5" customHeight="1" x14ac:dyDescent="0.2">
      <c r="A9" s="533">
        <f>VLOOKUP(B9,Sheet1!$B$4:$C$25,2,FALSE)</f>
        <v>0</v>
      </c>
      <c r="B9" s="112" t="s">
        <v>0</v>
      </c>
      <c r="C9" s="97"/>
      <c r="D9" s="113">
        <f>IF(Year1_Bracknell_Forest Year1_CP_Plans="","",Year1_Bracknell_Forest Year1_CP_Plans)</f>
        <v>108</v>
      </c>
      <c r="E9" s="113">
        <f>IF(Year2_Bracknell_Forest Year2_CP_Plans="","",Year2_Bracknell_Forest Year2_CP_Plans)</f>
        <v>122</v>
      </c>
      <c r="F9" s="113">
        <f>IF(Year3_Bracknell_Forest Year3_CP_Plans="","",Year3_Bracknell_Forest Year3_CP_Plans)</f>
        <v>115</v>
      </c>
      <c r="G9" s="113">
        <f>IF(Year4_Bracknell_Forest Year4_CP_Plans="","",Year4_Bracknell_Forest Year4_CP_Plans)</f>
        <v>176</v>
      </c>
      <c r="H9" s="114">
        <f>IF(Year5_Bracknell_Forest Year5_CP_Plans="","",Year5_Bracknell_Forest Year5_CP_Plans)</f>
        <v>105</v>
      </c>
      <c r="I9" s="392">
        <f>IF(ISNUMBER(H9),(H9-E9)/E9,"")</f>
        <v>-0.13934426229508196</v>
      </c>
      <c r="J9" s="115"/>
      <c r="K9" s="116">
        <f>IF(ISNUMBER(D9),D9/Population!C8*10000,NA())</f>
        <v>39.852398523985237</v>
      </c>
      <c r="L9" s="116">
        <f>IF(ISNUMBER(E9),E9/Population!D8*10000,NA())</f>
        <v>43.884892086330929</v>
      </c>
      <c r="M9" s="116">
        <f>IF(ISNUMBER(F9),F9/Population!E8*10000,NA())</f>
        <v>40.780141843971627</v>
      </c>
      <c r="N9" s="116">
        <f>IF(ISNUMBER(G9),G9/Population!F8*10000,NA())</f>
        <v>62.468942997089513</v>
      </c>
      <c r="O9" s="117">
        <f>IF(ISNUMBER(H9),H9/Population!G8*10000,NA())</f>
        <v>37.4051512236828</v>
      </c>
      <c r="P9" s="397">
        <f>IF(ISNA(VLOOKUP(B9,$AF$9:$AH$27,3,FALSE)),"--",IF(ISNUMBER(H9),VLOOKUP(B9,$AF$9:$AH$27,3,FALSE),NA()))</f>
        <v>4</v>
      </c>
      <c r="Q9" s="70"/>
      <c r="R9" s="387">
        <f>IDACI!C9</f>
        <v>11</v>
      </c>
      <c r="S9" s="388">
        <f>(R9*$Y$68)+$Z$68</f>
        <v>36.562203602960508</v>
      </c>
      <c r="T9" s="389">
        <f>O9-S9</f>
        <v>0.8429476207222919</v>
      </c>
      <c r="U9" s="139"/>
      <c r="V9" s="154"/>
      <c r="W9" s="170"/>
      <c r="X9" s="72" t="str">
        <f t="shared" ref="X9:X32" si="1">B9</f>
        <v>Bracknell Forest</v>
      </c>
      <c r="Y9" s="235">
        <v>1</v>
      </c>
      <c r="Z9" s="236">
        <f>IF(D9&gt;0,Population!C8,"")</f>
        <v>27100</v>
      </c>
      <c r="AA9" s="236">
        <f>IF(E9&gt;0,Population!D8,"")</f>
        <v>27800</v>
      </c>
      <c r="AB9" s="236">
        <f>IF(F9&gt;0,Population!E8,"")</f>
        <v>28200</v>
      </c>
      <c r="AC9" s="236">
        <f>IF(G9&gt;0,Population!F8,"")</f>
        <v>28174</v>
      </c>
      <c r="AD9" s="236">
        <f>IF(H9&gt;0,Population!G8,"")</f>
        <v>28071</v>
      </c>
      <c r="AE9" s="217"/>
      <c r="AF9" s="112" t="str">
        <f>B9</f>
        <v>Bracknell Forest</v>
      </c>
      <c r="AG9" s="262">
        <f>IFERROR(VLOOKUP(AF9,$B$9:$O$30,14,FALSE),"")</f>
        <v>37.4051512236828</v>
      </c>
      <c r="AH9" s="237">
        <f>RANK(AG9,$AG$9:$AG$27,1)</f>
        <v>4</v>
      </c>
      <c r="AI9" s="232"/>
      <c r="AJ9" s="178"/>
    </row>
    <row r="10" spans="1:44" s="101" customFormat="1" ht="13.5" customHeight="1" x14ac:dyDescent="0.2">
      <c r="A10" s="533">
        <f>VLOOKUP(B10,Sheet1!$B$4:$C$25,2,FALSE)</f>
        <v>0</v>
      </c>
      <c r="B10" s="112" t="s">
        <v>32</v>
      </c>
      <c r="C10" s="97"/>
      <c r="D10" s="113">
        <f>IF(Year1_Brighton_Hove Year1_CP_Plans="","",Year1_Brighton_Hove Year1_CP_Plans)</f>
        <v>288</v>
      </c>
      <c r="E10" s="113">
        <f>IF(Year2_Brighton_Hove Year2_CP_Plans="","",Year2_Brighton_Hove Year2_CP_Plans)</f>
        <v>309</v>
      </c>
      <c r="F10" s="113">
        <f>IF(Year3_Brighton_Hove Year3_CP_Plans="","",Year3_Brighton_Hove Year3_CP_Plans)</f>
        <v>392</v>
      </c>
      <c r="G10" s="113">
        <f>IF(Year4_Brighton_Hove Year4_CP_Plans="","",Year4_Brighton_Hove Year4_CP_Plans)</f>
        <v>367</v>
      </c>
      <c r="H10" s="114">
        <f>IF(Year5_Brighton_Hove Year5_CP_Plans="","",Year5_Brighton_Hove Year5_CP_Plans)</f>
        <v>395</v>
      </c>
      <c r="I10" s="392">
        <f>IF(ISNUMBER(H10),(H10-E10)/E10,"")</f>
        <v>0.27831715210355989</v>
      </c>
      <c r="J10" s="115"/>
      <c r="K10" s="116">
        <f>IF(ISNUMBER(D10),D10/Population!C9*10000,NA())</f>
        <v>57.029702970297031</v>
      </c>
      <c r="L10" s="116">
        <f>IF(ISNUMBER(E10),E10/Population!D9*10000,NA())</f>
        <v>60.588235294117652</v>
      </c>
      <c r="M10" s="116">
        <f>IF(ISNUMBER(F10),F10/Population!E9*10000,NA())</f>
        <v>76.5625</v>
      </c>
      <c r="N10" s="116">
        <f>IF(ISNUMBER(G10),G10/Population!F9*10000,NA())</f>
        <v>71.566467112575808</v>
      </c>
      <c r="O10" s="117">
        <f>IF(ISNUMBER(H10),H10/Population!G9*10000,NA())</f>
        <v>77.479845432612152</v>
      </c>
      <c r="P10" s="397">
        <f t="shared" ref="P10:P32" si="2">IF(ISNA(VLOOKUP(B10,$AF$9:$AH$27,3,FALSE)),"--",IF(ISNUMBER(H10),VLOOKUP(B10,$AF$9:$AH$27,3,FALSE),NA()))</f>
        <v>18</v>
      </c>
      <c r="Q10" s="70"/>
      <c r="R10" s="387">
        <f>IDACI!C10</f>
        <v>18.3</v>
      </c>
      <c r="S10" s="388">
        <f t="shared" ref="S10:S32" si="3">(R10*$Y$68)+$Z$68</f>
        <v>45.259437491594824</v>
      </c>
      <c r="T10" s="389">
        <f t="shared" ref="T10:T32" si="4">O10-S10</f>
        <v>32.220407941017328</v>
      </c>
      <c r="U10" s="139"/>
      <c r="V10" s="154"/>
      <c r="W10" s="170"/>
      <c r="X10" s="72" t="str">
        <f t="shared" si="1"/>
        <v>Brighton &amp; Hove</v>
      </c>
      <c r="Y10" s="235">
        <v>2</v>
      </c>
      <c r="Z10" s="236">
        <f>IF(D10&gt;0,Population!C9,"")</f>
        <v>50500</v>
      </c>
      <c r="AA10" s="236">
        <f>IF(E10&gt;0,Population!D9,"")</f>
        <v>51000</v>
      </c>
      <c r="AB10" s="236">
        <f>IF(F10&gt;0,Population!E9,"")</f>
        <v>51200</v>
      </c>
      <c r="AC10" s="236">
        <f>IF(G10&gt;0,Population!F9,"")</f>
        <v>51281</v>
      </c>
      <c r="AD10" s="236">
        <f>IF(H10&gt;0,Population!G9,"")</f>
        <v>50981</v>
      </c>
      <c r="AE10" s="217"/>
      <c r="AF10" s="112" t="s">
        <v>32</v>
      </c>
      <c r="AG10" s="262">
        <f t="shared" ref="AG10:AG27" si="5">IFERROR(VLOOKUP(AF10,$B$9:$O$30,14,FALSE),"")</f>
        <v>77.479845432612152</v>
      </c>
      <c r="AH10" s="237">
        <f t="shared" ref="AH10:AH27" si="6">RANK(AG10,$AG$9:$AG$27,1)</f>
        <v>18</v>
      </c>
      <c r="AI10" s="232"/>
      <c r="AJ10" s="178"/>
    </row>
    <row r="11" spans="1:44" s="101" customFormat="1" ht="13.5" customHeight="1" x14ac:dyDescent="0.2">
      <c r="A11" s="533">
        <f>VLOOKUP(B11,Sheet1!$B$4:$C$25,2,FALSE)</f>
        <v>0</v>
      </c>
      <c r="B11" s="112" t="s">
        <v>9</v>
      </c>
      <c r="C11" s="97"/>
      <c r="D11" s="113">
        <f>IF(Year1_Buckinghamshire Year1_CP_Plans="","",Year1_Buckinghamshire Year1_CP_Plans)</f>
        <v>242</v>
      </c>
      <c r="E11" s="113">
        <f>IF(Year2_Buckinghamshire Year2_CP_Plans="","",Year2_Buckinghamshire Year2_CP_Plans)</f>
        <v>332</v>
      </c>
      <c r="F11" s="113">
        <f>IF(Year3_Buckinghamshire Year3_CP_Plans="","",Year3_Buckinghamshire Year3_CP_Plans)</f>
        <v>454</v>
      </c>
      <c r="G11" s="113">
        <f>IF(Year4_Buckinghamshire Year4_CP_Plans="","",Year4_Buckinghamshire Year4_CP_Plans)</f>
        <v>553</v>
      </c>
      <c r="H11" s="114">
        <f>IF(Year5_Buckinghamshire Year5_CP_Plans="","",Year5_Buckinghamshire Year5_CP_Plans)</f>
        <v>638</v>
      </c>
      <c r="I11" s="392">
        <f t="shared" ref="I11:I32" si="7">IF(ISNUMBER(H11),(H11-E11)/E11,"")</f>
        <v>0.92168674698795183</v>
      </c>
      <c r="J11" s="115"/>
      <c r="K11" s="116">
        <f>IF(ISNUMBER(D11),D11/Population!C10*10000,NA())</f>
        <v>20.578231292517007</v>
      </c>
      <c r="L11" s="116">
        <f>IF(ISNUMBER(E11),E11/Population!D10*10000,NA())</f>
        <v>27.922624053826748</v>
      </c>
      <c r="M11" s="116">
        <f>IF(ISNUMBER(F11),F11/Population!E10*10000,NA())</f>
        <v>37.645107794361529</v>
      </c>
      <c r="N11" s="116">
        <f>IF(ISNUMBER(G11),G11/Population!F10*10000,NA())</f>
        <v>45.251830939814248</v>
      </c>
      <c r="O11" s="117">
        <f>IF(ISNUMBER(H11),H11/Population!G10*10000,NA())</f>
        <v>51.838309973593333</v>
      </c>
      <c r="P11" s="397">
        <f t="shared" si="2"/>
        <v>12</v>
      </c>
      <c r="Q11" s="70"/>
      <c r="R11" s="387">
        <f>IDACI!C11</f>
        <v>9.8000000000000007</v>
      </c>
      <c r="S11" s="388">
        <f t="shared" si="3"/>
        <v>35.132521319897329</v>
      </c>
      <c r="T11" s="389">
        <f t="shared" si="4"/>
        <v>16.705788653696004</v>
      </c>
      <c r="U11" s="139"/>
      <c r="V11" s="154"/>
      <c r="W11" s="170"/>
      <c r="X11" s="72" t="str">
        <f t="shared" si="1"/>
        <v>Buckinghamshire</v>
      </c>
      <c r="Y11" s="235">
        <v>3</v>
      </c>
      <c r="Z11" s="236">
        <f>IF(D11&gt;0,Population!C10,"")</f>
        <v>117600</v>
      </c>
      <c r="AA11" s="236">
        <f>IF(E11&gt;0,Population!D10,"")</f>
        <v>118900</v>
      </c>
      <c r="AB11" s="236">
        <f>IF(F11&gt;0,Population!E10,"")</f>
        <v>120600</v>
      </c>
      <c r="AC11" s="236">
        <f>IF(G11&gt;0,Population!F10,"")</f>
        <v>122205</v>
      </c>
      <c r="AD11" s="236">
        <f>IF(H11&gt;0,Population!G10,"")</f>
        <v>123075</v>
      </c>
      <c r="AE11" s="217"/>
      <c r="AF11" s="112" t="s">
        <v>9</v>
      </c>
      <c r="AG11" s="262">
        <f t="shared" si="5"/>
        <v>51.838309973593333</v>
      </c>
      <c r="AH11" s="237">
        <f t="shared" si="6"/>
        <v>12</v>
      </c>
      <c r="AI11" s="232"/>
      <c r="AJ11" s="178"/>
    </row>
    <row r="12" spans="1:44" s="101" customFormat="1" ht="13.5" customHeight="1" x14ac:dyDescent="0.2">
      <c r="A12" s="533">
        <f>VLOOKUP(B12,Sheet1!$B$4:$C$25,2,FALSE)</f>
        <v>0</v>
      </c>
      <c r="B12" s="112" t="s">
        <v>4</v>
      </c>
      <c r="C12" s="97"/>
      <c r="D12" s="113">
        <f>IF(Year1_East_Sussex Year1_CP_Plans="","",Year1_East_Sussex Year1_CP_Plans)</f>
        <v>613</v>
      </c>
      <c r="E12" s="118">
        <f>IF(Year2_East_Sussex Year2_CP_Plans="","",Year2_East_Sussex Year2_CP_Plans)</f>
        <v>469</v>
      </c>
      <c r="F12" s="113">
        <f>IF(Year3_East_Sussex Year3_CP_Plans="","",Year3_East_Sussex Year3_CP_Plans)</f>
        <v>456</v>
      </c>
      <c r="G12" s="113">
        <f>IF(Year4_East_Sussex Year4_CP_Plans="","",Year4_East_Sussex Year4_CP_Plans)</f>
        <v>475</v>
      </c>
      <c r="H12" s="114">
        <f>IF(Year5_East_Sussex Year5_CP_Plans="","",Year5_East_Sussex Year5_CP_Plans)</f>
        <v>560</v>
      </c>
      <c r="I12" s="392">
        <f t="shared" si="7"/>
        <v>0.19402985074626866</v>
      </c>
      <c r="J12" s="115"/>
      <c r="K12" s="116">
        <f>IF(ISNUMBER(D12),D12/Population!C11*10000,NA())</f>
        <v>58.492366412213741</v>
      </c>
      <c r="L12" s="116">
        <f>IF(ISNUMBER(E12),E12/Population!D11*10000,NA())</f>
        <v>44.497153700189756</v>
      </c>
      <c r="M12" s="116">
        <f>IF(ISNUMBER(F12),F12/Population!E11*10000,NA())</f>
        <v>43.059490084985839</v>
      </c>
      <c r="N12" s="116">
        <f>IF(ISNUMBER(G12),G12/Population!F11*10000,NA())</f>
        <v>44.843896037687756</v>
      </c>
      <c r="O12" s="117">
        <f>IF(ISNUMBER(H12),H12/Population!G11*10000,NA())</f>
        <v>52.807770286199251</v>
      </c>
      <c r="P12" s="397">
        <f t="shared" si="2"/>
        <v>13</v>
      </c>
      <c r="Q12" s="70"/>
      <c r="R12" s="387">
        <f>IDACI!C12</f>
        <v>17.399999999999999</v>
      </c>
      <c r="S12" s="388">
        <f t="shared" si="3"/>
        <v>44.187175779297434</v>
      </c>
      <c r="T12" s="389">
        <f t="shared" si="4"/>
        <v>8.6205945069018171</v>
      </c>
      <c r="U12" s="139"/>
      <c r="V12" s="154"/>
      <c r="W12" s="170"/>
      <c r="X12" s="72" t="str">
        <f t="shared" si="1"/>
        <v>East Sussex</v>
      </c>
      <c r="Y12" s="235">
        <v>4</v>
      </c>
      <c r="Z12" s="236">
        <f>IF(D12&gt;0,Population!C11,"")</f>
        <v>104800</v>
      </c>
      <c r="AA12" s="236">
        <f>IF(E12&gt;0,Population!D11,"")</f>
        <v>105400</v>
      </c>
      <c r="AB12" s="236">
        <f>IF(F12&gt;0,Population!E11,"")</f>
        <v>105900</v>
      </c>
      <c r="AC12" s="236">
        <f>IF(G12&gt;0,Population!F11,"")</f>
        <v>105923</v>
      </c>
      <c r="AD12" s="236">
        <f>IF(H12&gt;0,Population!G11,"")</f>
        <v>106045</v>
      </c>
      <c r="AE12" s="217"/>
      <c r="AF12" s="112" t="s">
        <v>4</v>
      </c>
      <c r="AG12" s="262">
        <f t="shared" si="5"/>
        <v>52.807770286199251</v>
      </c>
      <c r="AH12" s="237">
        <f t="shared" si="6"/>
        <v>13</v>
      </c>
      <c r="AI12" s="232"/>
      <c r="AJ12" s="178"/>
    </row>
    <row r="13" spans="1:44" s="101" customFormat="1" ht="13.5" customHeight="1" x14ac:dyDescent="0.2">
      <c r="A13" s="533">
        <f>VLOOKUP(B13,Sheet1!$B$4:$C$25,2,FALSE)</f>
        <v>0</v>
      </c>
      <c r="B13" s="112" t="s">
        <v>6</v>
      </c>
      <c r="C13" s="97"/>
      <c r="D13" s="113">
        <f>IF(Year1_Hampshire Year1_CP_Plans="","",Year1_Hampshire Year1_CP_Plans)</f>
        <v>1111</v>
      </c>
      <c r="E13" s="113">
        <f>IF(Year2_Hampshire Year2_CP_Plans="","",Year2_Hampshire Year2_CP_Plans)</f>
        <v>1354</v>
      </c>
      <c r="F13" s="119">
        <f>IF(Year3_Hampshire Year3_CP_Plans="","",Year3_Hampshire Year3_CP_Plans)</f>
        <v>1441</v>
      </c>
      <c r="G13" s="119">
        <f>IF(Year4_Hampshire Year4_CP_Plans="","",Year4_Hampshire Year4_CP_Plans)</f>
        <v>1263</v>
      </c>
      <c r="H13" s="114">
        <f>IF(Year5_Hampshire Year5_CP_Plans="","",Year5_Hampshire Year5_CP_Plans)</f>
        <v>1294</v>
      </c>
      <c r="I13" s="392">
        <f t="shared" si="7"/>
        <v>-4.4313146233382568E-2</v>
      </c>
      <c r="J13" s="115"/>
      <c r="K13" s="116">
        <f>IF(ISNUMBER(D13),D13/Population!C12*10000,NA())</f>
        <v>39.411138701667255</v>
      </c>
      <c r="L13" s="116">
        <f>IF(ISNUMBER(E13),E13/Population!D12*10000,NA())</f>
        <v>48.099467140319717</v>
      </c>
      <c r="M13" s="116">
        <f>IF(ISNUMBER(F13),F13/Population!E12*10000,NA())</f>
        <v>51.117417523944667</v>
      </c>
      <c r="N13" s="116">
        <f>IF(ISNUMBER(G13),G13/Population!F12*10000,NA())</f>
        <v>44.661958831787437</v>
      </c>
      <c r="O13" s="117">
        <f>IF(ISNUMBER(H13),H13/Population!G12*10000,NA())</f>
        <v>45.673704793974181</v>
      </c>
      <c r="P13" s="397">
        <f t="shared" si="2"/>
        <v>9</v>
      </c>
      <c r="Q13" s="70"/>
      <c r="R13" s="387">
        <f>IDACI!C13</f>
        <v>11.799999999999999</v>
      </c>
      <c r="S13" s="388">
        <f t="shared" si="3"/>
        <v>37.515325125002619</v>
      </c>
      <c r="T13" s="389">
        <f t="shared" si="4"/>
        <v>8.1583796689715626</v>
      </c>
      <c r="U13" s="139"/>
      <c r="V13" s="154"/>
      <c r="W13" s="170"/>
      <c r="X13" s="72" t="str">
        <f t="shared" si="1"/>
        <v>Hampshire</v>
      </c>
      <c r="Y13" s="235">
        <v>5</v>
      </c>
      <c r="Z13" s="236">
        <f>IF(D13&gt;0,Population!C12,"")</f>
        <v>281900</v>
      </c>
      <c r="AA13" s="236">
        <f>IF(E13&gt;0,Population!D12,"")</f>
        <v>281500</v>
      </c>
      <c r="AB13" s="236">
        <f>IF(F13&gt;0,Population!E12,"")</f>
        <v>281900</v>
      </c>
      <c r="AC13" s="236">
        <f>IF(G13&gt;0,Population!F12,"")</f>
        <v>282791</v>
      </c>
      <c r="AD13" s="236">
        <f>IF(H13&gt;0,Population!G12,"")</f>
        <v>283314</v>
      </c>
      <c r="AE13" s="217"/>
      <c r="AF13" s="112" t="s">
        <v>6</v>
      </c>
      <c r="AG13" s="262">
        <f t="shared" si="5"/>
        <v>45.673704793974181</v>
      </c>
      <c r="AH13" s="237">
        <f t="shared" si="6"/>
        <v>9</v>
      </c>
      <c r="AI13" s="232"/>
      <c r="AJ13" s="178"/>
    </row>
    <row r="14" spans="1:44" s="101" customFormat="1" ht="13.5" customHeight="1" x14ac:dyDescent="0.2">
      <c r="A14" s="533">
        <f>VLOOKUP(B14,Sheet1!$B$4:$C$25,2,FALSE)</f>
        <v>0</v>
      </c>
      <c r="B14" s="112" t="s">
        <v>1</v>
      </c>
      <c r="C14" s="97"/>
      <c r="D14" s="113">
        <f>IF(Year1_Isle_of_Wight Year1_CP_Plans="","",Year1_Isle_of_Wight Year1_CP_Plans)</f>
        <v>164</v>
      </c>
      <c r="E14" s="113">
        <f>IF(Year2_Isle_of_Wight Year2_CP_Plans="","",Year2_Isle_of_Wight Year2_CP_Plans)</f>
        <v>254</v>
      </c>
      <c r="F14" s="113">
        <f>IF(Year3_Isle_of_Wight Year3_CP_Plans="","",Year3_Isle_of_Wight Year3_CP_Plans)</f>
        <v>214</v>
      </c>
      <c r="G14" s="113">
        <f>IF(Year4_Isle_of_Wight Year4_CP_Plans="","",Year4_Isle_of_Wight Year4_CP_Plans)</f>
        <v>199</v>
      </c>
      <c r="H14" s="114">
        <f>IF(Year5_Isle_of_Wight Year5_CP_Plans="","",Year5_Isle_of_Wight Year5_CP_Plans)</f>
        <v>193</v>
      </c>
      <c r="I14" s="392">
        <f t="shared" si="7"/>
        <v>-0.24015748031496062</v>
      </c>
      <c r="J14" s="115"/>
      <c r="K14" s="116">
        <f>IF(ISNUMBER(D14),D14/Population!C13*10000,NA())</f>
        <v>63.565891472868216</v>
      </c>
      <c r="L14" s="116">
        <f>IF(ISNUMBER(E14),E14/Population!D13*10000,NA())</f>
        <v>99.607843137254903</v>
      </c>
      <c r="M14" s="116">
        <f>IF(ISNUMBER(F14),F14/Population!E13*10000,NA())</f>
        <v>84.584980237154156</v>
      </c>
      <c r="N14" s="116">
        <f>IF(ISNUMBER(G14),G14/Population!F13*10000,NA())</f>
        <v>78.968253968253975</v>
      </c>
      <c r="O14" s="117">
        <f>IF(ISNUMBER(H14),H14/Population!G13*10000,NA())</f>
        <v>77.030532827778885</v>
      </c>
      <c r="P14" s="397">
        <f t="shared" si="2"/>
        <v>17</v>
      </c>
      <c r="Q14" s="70"/>
      <c r="R14" s="387">
        <f>IDACI!C14</f>
        <v>20.399999999999999</v>
      </c>
      <c r="S14" s="388">
        <f t="shared" si="3"/>
        <v>47.761381486955372</v>
      </c>
      <c r="T14" s="389">
        <f t="shared" si="4"/>
        <v>29.269151340823512</v>
      </c>
      <c r="U14" s="139"/>
      <c r="V14" s="154"/>
      <c r="W14" s="170"/>
      <c r="X14" s="72" t="str">
        <f t="shared" si="1"/>
        <v>Isle of Wight</v>
      </c>
      <c r="Y14" s="235">
        <v>6</v>
      </c>
      <c r="Z14" s="236">
        <f>IF(D14&gt;0,Population!C13,"")</f>
        <v>25800</v>
      </c>
      <c r="AA14" s="236">
        <f>IF(E14&gt;0,Population!D13,"")</f>
        <v>25500</v>
      </c>
      <c r="AB14" s="236">
        <f>IF(F14&gt;0,Population!E13,"")</f>
        <v>25300</v>
      </c>
      <c r="AC14" s="236">
        <f>IF(G14&gt;0,Population!F13,"")</f>
        <v>25200</v>
      </c>
      <c r="AD14" s="236">
        <f>IF(H14&gt;0,Population!G13,"")</f>
        <v>25055</v>
      </c>
      <c r="AE14" s="217"/>
      <c r="AF14" s="112" t="s">
        <v>1</v>
      </c>
      <c r="AG14" s="262">
        <f t="shared" si="5"/>
        <v>77.030532827778885</v>
      </c>
      <c r="AH14" s="237">
        <f t="shared" si="6"/>
        <v>17</v>
      </c>
      <c r="AI14" s="232"/>
      <c r="AJ14" s="178"/>
      <c r="AR14" s="101" t="s">
        <v>104</v>
      </c>
    </row>
    <row r="15" spans="1:44" s="101" customFormat="1" ht="13.5" customHeight="1" x14ac:dyDescent="0.2">
      <c r="A15" s="533">
        <f>VLOOKUP(B15,Sheet1!$B$4:$C$25,2,FALSE)</f>
        <v>0</v>
      </c>
      <c r="B15" s="112" t="s">
        <v>10</v>
      </c>
      <c r="C15" s="97"/>
      <c r="D15" s="113">
        <f>IF(Year1_Kent Year1_CP_Plans="","",Year1_Kent Year1_CP_Plans)</f>
        <v>1191</v>
      </c>
      <c r="E15" s="113">
        <f>IF(Year2_Kent Year2_CP_Plans="","",Year2_Kent Year2_CP_Plans)</f>
        <v>1242</v>
      </c>
      <c r="F15" s="113">
        <f>IF(Year3_Kent Year3_CP_Plans="","",Year3_Kent Year3_CP_Plans)</f>
        <v>1049</v>
      </c>
      <c r="G15" s="113">
        <f>IF(Year4_Kent Year4_CP_Plans="","",Year4_Kent Year4_CP_Plans)</f>
        <v>1185</v>
      </c>
      <c r="H15" s="114">
        <f>IF(Year5_Kent Year5_CP_Plans="","",Year5_Kent Year5_CP_Plans)</f>
        <v>1462</v>
      </c>
      <c r="I15" s="392">
        <f t="shared" si="7"/>
        <v>0.17713365539452497</v>
      </c>
      <c r="J15" s="115"/>
      <c r="K15" s="116">
        <f>IF(ISNUMBER(D15),D15/Population!C14*10000,NA())</f>
        <v>36.578624078624081</v>
      </c>
      <c r="L15" s="116">
        <f>IF(ISNUMBER(E15),E15/Population!D14*10000,NA())</f>
        <v>37.831251903746576</v>
      </c>
      <c r="M15" s="116">
        <f>IF(ISNUMBER(F15),F15/Population!E14*10000,NA())</f>
        <v>31.74939467312349</v>
      </c>
      <c r="N15" s="116">
        <f>IF(ISNUMBER(G15),G15/Population!F14*10000,NA())</f>
        <v>35.58077737242715</v>
      </c>
      <c r="O15" s="117">
        <f>IF(ISNUMBER(H15),H15/Population!G14*10000,NA())</f>
        <v>43.500252908447145</v>
      </c>
      <c r="P15" s="397">
        <f t="shared" si="2"/>
        <v>7</v>
      </c>
      <c r="Q15" s="70"/>
      <c r="R15" s="387">
        <f>IDACI!C15</f>
        <v>17.8</v>
      </c>
      <c r="S15" s="388">
        <f t="shared" si="3"/>
        <v>44.663736540318496</v>
      </c>
      <c r="T15" s="389">
        <f t="shared" si="4"/>
        <v>-1.1634836318713511</v>
      </c>
      <c r="U15" s="139"/>
      <c r="V15" s="154"/>
      <c r="W15" s="170"/>
      <c r="X15" s="72" t="str">
        <f t="shared" si="1"/>
        <v>Kent</v>
      </c>
      <c r="Y15" s="235">
        <v>7</v>
      </c>
      <c r="Z15" s="236">
        <f>IF(D15&gt;0,Population!C14,"")</f>
        <v>325600</v>
      </c>
      <c r="AA15" s="236">
        <f>IF(E15&gt;0,Population!D14,"")</f>
        <v>328300</v>
      </c>
      <c r="AB15" s="236">
        <f>IF(F15&gt;0,Population!E14,"")</f>
        <v>330400</v>
      </c>
      <c r="AC15" s="236">
        <f>IF(G15&gt;0,Population!F14,"")</f>
        <v>333045</v>
      </c>
      <c r="AD15" s="236">
        <f>IF(H15&gt;0,Population!G14,"")</f>
        <v>336090</v>
      </c>
      <c r="AE15" s="217"/>
      <c r="AF15" s="112" t="s">
        <v>10</v>
      </c>
      <c r="AG15" s="262">
        <f t="shared" si="5"/>
        <v>43.500252908447145</v>
      </c>
      <c r="AH15" s="237">
        <f t="shared" si="6"/>
        <v>7</v>
      </c>
      <c r="AI15" s="232"/>
      <c r="AJ15" s="178"/>
    </row>
    <row r="16" spans="1:44" s="101" customFormat="1" ht="13.5" customHeight="1" x14ac:dyDescent="0.2">
      <c r="A16" s="533">
        <f>VLOOKUP(B16,Sheet1!$B$4:$C$25,2,FALSE)</f>
        <v>0</v>
      </c>
      <c r="B16" s="112" t="s">
        <v>2</v>
      </c>
      <c r="C16" s="97"/>
      <c r="D16" s="113">
        <f>IF(Year1_Medway Year1_CP_Plans="","",Year1_Medway Year1_CP_Plans)</f>
        <v>358</v>
      </c>
      <c r="E16" s="329">
        <f>IF(Year2_Medway Year2_CP_Plans="","",Year2_Medway Year2_CP_Plans)</f>
        <v>475</v>
      </c>
      <c r="F16" s="329">
        <f>IF(Year3_Medway Year3_CP_Plans="","",Year3_Medway Year3_CP_Plans)</f>
        <v>539</v>
      </c>
      <c r="G16" s="329">
        <f>IF(Year4_Medway Year4_CP_Plans="","",Year4_Medway Year4_CP_Plans)</f>
        <v>313</v>
      </c>
      <c r="H16" s="330">
        <f>IF(Year5_Medway Year5_CP_Plans="","",Year5_Medway Year5_CP_Plans)</f>
        <v>344</v>
      </c>
      <c r="I16" s="392">
        <f t="shared" si="7"/>
        <v>-0.27578947368421053</v>
      </c>
      <c r="J16" s="115"/>
      <c r="K16" s="116">
        <f>IF(ISNUMBER(D16),D16/Population!C15*10000,NA())</f>
        <v>58.116883116883123</v>
      </c>
      <c r="L16" s="116">
        <f>IF(ISNUMBER(E16),E16/Population!D15*10000,NA())</f>
        <v>76</v>
      </c>
      <c r="M16" s="116">
        <f>IF(ISNUMBER(F16),F16/Population!E15*10000,NA())</f>
        <v>85.284810126582272</v>
      </c>
      <c r="N16" s="116">
        <f>IF(ISNUMBER(G16),G16/Population!F15*10000,NA())</f>
        <v>49.138891941535711</v>
      </c>
      <c r="O16" s="117">
        <f>IF(ISNUMBER(H16),H16/Population!G15*10000,NA())</f>
        <v>53.797913766948689</v>
      </c>
      <c r="P16" s="397">
        <f t="shared" si="2"/>
        <v>14</v>
      </c>
      <c r="Q16" s="70"/>
      <c r="R16" s="387">
        <f>IDACI!C16</f>
        <v>22</v>
      </c>
      <c r="S16" s="388">
        <f t="shared" si="3"/>
        <v>49.667624531039607</v>
      </c>
      <c r="T16" s="389">
        <f t="shared" si="4"/>
        <v>4.1302892359090819</v>
      </c>
      <c r="U16" s="139"/>
      <c r="V16" s="154"/>
      <c r="W16" s="170"/>
      <c r="X16" s="72" t="str">
        <f t="shared" si="1"/>
        <v>Medway</v>
      </c>
      <c r="Y16" s="235">
        <v>8</v>
      </c>
      <c r="Z16" s="236">
        <f>IF(D16&gt;0,Population!C15,"")</f>
        <v>61600</v>
      </c>
      <c r="AA16" s="236">
        <f>IF(E16&gt;0,Population!D15,"")</f>
        <v>62500</v>
      </c>
      <c r="AB16" s="236">
        <f>IF(F16&gt;0,Population!E15,"")</f>
        <v>63200</v>
      </c>
      <c r="AC16" s="236">
        <f>IF(G16&gt;0,Population!F15,"")</f>
        <v>63697</v>
      </c>
      <c r="AD16" s="236">
        <f>IF(H16&gt;0,Population!G15,"")</f>
        <v>63943</v>
      </c>
      <c r="AE16" s="217"/>
      <c r="AF16" s="112" t="s">
        <v>2</v>
      </c>
      <c r="AG16" s="262">
        <f t="shared" si="5"/>
        <v>53.797913766948689</v>
      </c>
      <c r="AH16" s="237">
        <f t="shared" si="6"/>
        <v>14</v>
      </c>
      <c r="AI16" s="232"/>
      <c r="AJ16" s="178"/>
    </row>
    <row r="17" spans="1:36" s="101" customFormat="1" ht="13.5" customHeight="1" x14ac:dyDescent="0.2">
      <c r="A17" s="533">
        <f>VLOOKUP(B17,Sheet1!$B$4:$C$25,2,FALSE)</f>
        <v>0</v>
      </c>
      <c r="B17" s="112" t="s">
        <v>11</v>
      </c>
      <c r="C17" s="97"/>
      <c r="D17" s="113">
        <f>IF(Year1_Milton_Keynes Year1_CP_Plans="","",Year1_Milton_Keynes Year1_CP_Plans)</f>
        <v>33</v>
      </c>
      <c r="E17" s="113">
        <f>IF(Year2_Milton_Keynes Year2_CP_Plans="","",Year2_Milton_Keynes Year2_CP_Plans)</f>
        <v>57</v>
      </c>
      <c r="F17" s="113">
        <f>IF(Year3_Milton_Keynes Year3_CP_Plans="","",Year3_Milton_Keynes Year3_CP_Plans)</f>
        <v>92</v>
      </c>
      <c r="G17" s="113">
        <f>IF(Year4_Milton_Keynes Year4_CP_Plans="","",Year4_Milton_Keynes Year4_CP_Plans)</f>
        <v>90</v>
      </c>
      <c r="H17" s="114">
        <f>IF(Year5_Milton_Keynes Year5_CP_Plans="","",Year5_Milton_Keynes Year5_CP_Plans)</f>
        <v>104</v>
      </c>
      <c r="I17" s="392">
        <f t="shared" si="7"/>
        <v>0.82456140350877194</v>
      </c>
      <c r="J17" s="115"/>
      <c r="K17" s="116">
        <f>IF(ISNUMBER(D17),D17/Population!C16*10000,NA())</f>
        <v>5.15625</v>
      </c>
      <c r="L17" s="116">
        <f>IF(ISNUMBER(E17),E17/Population!D16*10000,NA())</f>
        <v>8.7423312883435589</v>
      </c>
      <c r="M17" s="116">
        <f>IF(ISNUMBER(F17),F17/Population!E16*10000,NA())</f>
        <v>13.918305597579424</v>
      </c>
      <c r="N17" s="116">
        <f>IF(ISNUMBER(G17),G17/Population!F16*10000,NA())</f>
        <v>13.403627915289071</v>
      </c>
      <c r="O17" s="117">
        <f>IF(ISNUMBER(H17),H17/Population!G16*10000,NA())</f>
        <v>15.373926412109924</v>
      </c>
      <c r="P17" s="397">
        <f t="shared" si="2"/>
        <v>1</v>
      </c>
      <c r="Q17" s="70"/>
      <c r="R17" s="387">
        <f>IDACI!C17</f>
        <v>19.7</v>
      </c>
      <c r="S17" s="388">
        <f t="shared" si="3"/>
        <v>46.927400155168527</v>
      </c>
      <c r="T17" s="389">
        <f t="shared" si="4"/>
        <v>-31.553473743058603</v>
      </c>
      <c r="U17" s="139"/>
      <c r="V17" s="154"/>
      <c r="W17" s="170"/>
      <c r="X17" s="72" t="str">
        <f t="shared" si="1"/>
        <v>Milton Keynes</v>
      </c>
      <c r="Y17" s="235">
        <v>9</v>
      </c>
      <c r="Z17" s="236">
        <f>IF(D17&gt;0,Population!C16,"")</f>
        <v>64000</v>
      </c>
      <c r="AA17" s="236">
        <f>IF(E17&gt;0,Population!D16,"")</f>
        <v>65200</v>
      </c>
      <c r="AB17" s="236">
        <f>IF(F17&gt;0,Population!E16,"")</f>
        <v>66100</v>
      </c>
      <c r="AC17" s="236">
        <f>IF(G17&gt;0,Population!F16,"")</f>
        <v>67146</v>
      </c>
      <c r="AD17" s="236">
        <f>IF(H17&gt;0,Population!G16,"")</f>
        <v>67647</v>
      </c>
      <c r="AE17" s="217"/>
      <c r="AF17" s="112" t="s">
        <v>11</v>
      </c>
      <c r="AG17" s="262">
        <f t="shared" si="5"/>
        <v>15.373926412109924</v>
      </c>
      <c r="AH17" s="237">
        <f t="shared" si="6"/>
        <v>1</v>
      </c>
      <c r="AI17" s="232"/>
      <c r="AJ17" s="178"/>
    </row>
    <row r="18" spans="1:36" s="101" customFormat="1" ht="13.5" customHeight="1" x14ac:dyDescent="0.2">
      <c r="A18" s="533">
        <f>VLOOKUP(B18,Sheet1!$B$4:$C$25,2,FALSE)</f>
        <v>0</v>
      </c>
      <c r="B18" s="112" t="s">
        <v>12</v>
      </c>
      <c r="C18" s="97"/>
      <c r="D18" s="113">
        <f>IF(Year1_Oxfordshire Year1_CP_Plans="","",Year1_Oxfordshire Year1_CP_Plans)</f>
        <v>504</v>
      </c>
      <c r="E18" s="113">
        <f>IF(Year2_Oxfordshire Year2_CP_Plans="","",Year2_Oxfordshire Year2_CP_Plans)</f>
        <v>569</v>
      </c>
      <c r="F18" s="113">
        <f>IF(Year3_Oxfordshire Year3_CP_Plans="","",Year3_Oxfordshire Year3_CP_Plans)</f>
        <v>571</v>
      </c>
      <c r="G18" s="113">
        <f>IF(Year4_Oxfordshire Year4_CP_Plans="","",Year4_Oxfordshire Year4_CP_Plans)</f>
        <v>609</v>
      </c>
      <c r="H18" s="114">
        <f>IF(Year5_Oxfordshire Year5_CP_Plans="","",Year5_Oxfordshire Year5_CP_Plans)</f>
        <v>687</v>
      </c>
      <c r="I18" s="392">
        <f t="shared" si="7"/>
        <v>0.20738137082601055</v>
      </c>
      <c r="J18" s="115"/>
      <c r="K18" s="116">
        <f>IF(ISNUMBER(D18),D18/Population!C17*10000,NA())</f>
        <v>35.923022095509623</v>
      </c>
      <c r="L18" s="116">
        <f>IF(ISNUMBER(E18),E18/Population!D17*10000,NA())</f>
        <v>40.297450424929174</v>
      </c>
      <c r="M18" s="116">
        <f>IF(ISNUMBER(F18),F18/Population!E17*10000,NA())</f>
        <v>40.267983074753175</v>
      </c>
      <c r="N18" s="116">
        <f>IF(ISNUMBER(G18),G18/Population!F17*10000,NA())</f>
        <v>42.618109547436269</v>
      </c>
      <c r="O18" s="117">
        <f>IF(ISNUMBER(H18),H18/Population!G17*10000,NA())</f>
        <v>47.893254510470989</v>
      </c>
      <c r="P18" s="397">
        <f t="shared" si="2"/>
        <v>11</v>
      </c>
      <c r="Q18" s="70"/>
      <c r="R18" s="387">
        <f>IDACI!C18</f>
        <v>11.799999999999999</v>
      </c>
      <c r="S18" s="388">
        <f t="shared" si="3"/>
        <v>37.515325125002619</v>
      </c>
      <c r="T18" s="389">
        <f t="shared" si="4"/>
        <v>10.37792938546837</v>
      </c>
      <c r="U18" s="139"/>
      <c r="V18" s="154"/>
      <c r="W18" s="170"/>
      <c r="X18" s="72" t="str">
        <f t="shared" si="1"/>
        <v>Oxfordshire</v>
      </c>
      <c r="Y18" s="235">
        <v>10</v>
      </c>
      <c r="Z18" s="236">
        <f>IF(D18&gt;0,Population!C17,"")</f>
        <v>140300</v>
      </c>
      <c r="AA18" s="236">
        <f>IF(E18&gt;0,Population!D17,"")</f>
        <v>141200</v>
      </c>
      <c r="AB18" s="236">
        <f>IF(F18&gt;0,Population!E17,"")</f>
        <v>141800</v>
      </c>
      <c r="AC18" s="236">
        <f>IF(G18&gt;0,Population!F17,"")</f>
        <v>142897</v>
      </c>
      <c r="AD18" s="236">
        <f>IF(H18&gt;0,Population!G17,"")</f>
        <v>143444</v>
      </c>
      <c r="AE18" s="217"/>
      <c r="AF18" s="112" t="s">
        <v>12</v>
      </c>
      <c r="AG18" s="262">
        <f t="shared" si="5"/>
        <v>47.893254510470989</v>
      </c>
      <c r="AH18" s="237">
        <f t="shared" si="6"/>
        <v>11</v>
      </c>
      <c r="AI18" s="232"/>
      <c r="AJ18" s="178"/>
    </row>
    <row r="19" spans="1:36" s="101" customFormat="1" ht="13.5" customHeight="1" x14ac:dyDescent="0.2">
      <c r="A19" s="533">
        <f>VLOOKUP(B19,Sheet1!$B$4:$C$25,2,FALSE)</f>
        <v>0</v>
      </c>
      <c r="B19" s="112" t="s">
        <v>13</v>
      </c>
      <c r="C19" s="97"/>
      <c r="D19" s="113">
        <f>IF(Year1_Portsmouth Year1_CP_Plans="","",Year1_Portsmouth Year1_CP_Plans)</f>
        <v>234</v>
      </c>
      <c r="E19" s="113">
        <f>IF(Year2_Portsmouth Year2_CP_Plans="","",Year2_Portsmouth Year2_CP_Plans)</f>
        <v>232</v>
      </c>
      <c r="F19" s="113">
        <f>IF(Year3_Portsmouth Year3_CP_Plans="","",Year3_Portsmouth Year3_CP_Plans)</f>
        <v>275</v>
      </c>
      <c r="G19" s="113">
        <f>IF(Year4_Portsmouth Year4_CP_Plans="","",Year4_Portsmouth Year4_CP_Plans)</f>
        <v>242</v>
      </c>
      <c r="H19" s="114">
        <f>IF(Year5_Portsmouth Year5_CP_Plans="","",Year5_Portsmouth Year5_CP_Plans)</f>
        <v>286</v>
      </c>
      <c r="I19" s="392">
        <f t="shared" si="7"/>
        <v>0.23275862068965517</v>
      </c>
      <c r="J19" s="115"/>
      <c r="K19" s="116">
        <f>IF(ISNUMBER(D19),D19/Population!C18*10000,NA())</f>
        <v>54.929577464788736</v>
      </c>
      <c r="L19" s="116">
        <f>IF(ISNUMBER(E19),E19/Population!D18*10000,NA())</f>
        <v>53.456221198156683</v>
      </c>
      <c r="M19" s="116">
        <f>IF(ISNUMBER(F19),F19/Population!E18*10000,NA())</f>
        <v>62.785388127853878</v>
      </c>
      <c r="N19" s="116">
        <f>IF(ISNUMBER(G19),G19/Population!F18*10000,NA())</f>
        <v>55</v>
      </c>
      <c r="O19" s="117">
        <f>IF(ISNUMBER(H19),H19/Population!G18*10000,NA())</f>
        <v>64.717595944967414</v>
      </c>
      <c r="P19" s="397">
        <f t="shared" si="2"/>
        <v>16</v>
      </c>
      <c r="Q19" s="70"/>
      <c r="R19" s="387">
        <f>IDACI!C19</f>
        <v>23.799999999999997</v>
      </c>
      <c r="S19" s="388">
        <f t="shared" si="3"/>
        <v>51.812147955634373</v>
      </c>
      <c r="T19" s="389">
        <f t="shared" si="4"/>
        <v>12.905447989333041</v>
      </c>
      <c r="U19" s="139"/>
      <c r="V19" s="154"/>
      <c r="W19" s="170"/>
      <c r="X19" s="72" t="str">
        <f t="shared" si="1"/>
        <v>Portsmouth</v>
      </c>
      <c r="Y19" s="235">
        <v>11</v>
      </c>
      <c r="Z19" s="236">
        <f>IF(D19&gt;0,Population!C18,"")</f>
        <v>42600</v>
      </c>
      <c r="AA19" s="236">
        <f>IF(E19&gt;0,Population!D18,"")</f>
        <v>43400</v>
      </c>
      <c r="AB19" s="236">
        <f>IF(F19&gt;0,Population!E18,"")</f>
        <v>43800</v>
      </c>
      <c r="AC19" s="236">
        <f>IF(G19&gt;0,Population!F18,"")</f>
        <v>44000</v>
      </c>
      <c r="AD19" s="236">
        <f>IF(H19&gt;0,Population!G18,"")</f>
        <v>44192</v>
      </c>
      <c r="AE19" s="217"/>
      <c r="AF19" s="112" t="s">
        <v>13</v>
      </c>
      <c r="AG19" s="262">
        <f t="shared" si="5"/>
        <v>64.717595944967414</v>
      </c>
      <c r="AH19" s="237">
        <f t="shared" si="6"/>
        <v>16</v>
      </c>
      <c r="AI19" s="232"/>
      <c r="AJ19" s="178"/>
    </row>
    <row r="20" spans="1:36" s="101" customFormat="1" ht="13.5" customHeight="1" x14ac:dyDescent="0.2">
      <c r="A20" s="533">
        <f>VLOOKUP(B20,Sheet1!$B$4:$C$25,2,FALSE)</f>
        <v>0</v>
      </c>
      <c r="B20" s="112" t="s">
        <v>3</v>
      </c>
      <c r="C20" s="97"/>
      <c r="D20" s="113">
        <f>IF(Year1_Reading Year1_CP_Plans="","",Year1_Reading Year1_CP_Plans)</f>
        <v>154</v>
      </c>
      <c r="E20" s="113">
        <f>IF(Year2_Reading Year2_CP_Plans="","",Year2_Reading Year2_CP_Plans)</f>
        <v>204</v>
      </c>
      <c r="F20" s="113">
        <f>IF(Year3_Reading Year3_CP_Plans="","",Year3_Reading Year3_CP_Plans)</f>
        <v>252</v>
      </c>
      <c r="G20" s="113">
        <f>IF(Year4_Reading Year4_CP_Plans="","",Year4_Reading Year4_CP_Plans)</f>
        <v>349</v>
      </c>
      <c r="H20" s="114">
        <f>IF(Year5_Reading Year5_CP_Plans="","",Year5_Reading Year5_CP_Plans)</f>
        <v>290</v>
      </c>
      <c r="I20" s="392">
        <f t="shared" si="7"/>
        <v>0.42156862745098039</v>
      </c>
      <c r="J20" s="115"/>
      <c r="K20" s="116">
        <f>IF(ISNUMBER(D20),D20/Population!C19*10000,NA())</f>
        <v>44.380403458213252</v>
      </c>
      <c r="L20" s="116">
        <f>IF(ISNUMBER(E20),E20/Population!D19*10000,NA())</f>
        <v>56.824512534818943</v>
      </c>
      <c r="M20" s="116">
        <f>IF(ISNUMBER(F20),F20/Population!E19*10000,NA())</f>
        <v>69.230769230769226</v>
      </c>
      <c r="N20" s="116">
        <f>IF(ISNUMBER(G20),G20/Population!F19*10000,NA())</f>
        <v>95.248492126306601</v>
      </c>
      <c r="O20" s="117">
        <f>IF(ISNUMBER(H20),H20/Population!G19*10000,NA())</f>
        <v>78.181867198662829</v>
      </c>
      <c r="P20" s="397">
        <f t="shared" si="2"/>
        <v>19</v>
      </c>
      <c r="Q20" s="70"/>
      <c r="R20" s="387">
        <f>IDACI!C20</f>
        <v>19.8</v>
      </c>
      <c r="S20" s="388">
        <f t="shared" si="3"/>
        <v>47.046540345423793</v>
      </c>
      <c r="T20" s="389">
        <f t="shared" si="4"/>
        <v>31.135326853239036</v>
      </c>
      <c r="U20" s="139"/>
      <c r="V20" s="154"/>
      <c r="W20" s="170"/>
      <c r="X20" s="72" t="str">
        <f t="shared" si="1"/>
        <v>Reading</v>
      </c>
      <c r="Y20" s="235">
        <v>12</v>
      </c>
      <c r="Z20" s="236">
        <f>IF(D20&gt;0,Population!C19,"")</f>
        <v>34700</v>
      </c>
      <c r="AA20" s="236">
        <f>IF(E20&gt;0,Population!D19,"")</f>
        <v>35900</v>
      </c>
      <c r="AB20" s="236">
        <f>IF(F20&gt;0,Population!E19,"")</f>
        <v>36400</v>
      </c>
      <c r="AC20" s="236">
        <f>IF(G20&gt;0,Population!F19,"")</f>
        <v>36641</v>
      </c>
      <c r="AD20" s="236">
        <f>IF(H20&gt;0,Population!G19,"")</f>
        <v>37093</v>
      </c>
      <c r="AE20" s="217"/>
      <c r="AF20" s="112" t="s">
        <v>3</v>
      </c>
      <c r="AG20" s="262">
        <f t="shared" si="5"/>
        <v>78.181867198662829</v>
      </c>
      <c r="AH20" s="237">
        <f t="shared" si="6"/>
        <v>19</v>
      </c>
      <c r="AI20" s="232"/>
      <c r="AJ20" s="178"/>
    </row>
    <row r="21" spans="1:36" s="101" customFormat="1" ht="13.5" customHeight="1" x14ac:dyDescent="0.2">
      <c r="A21" s="533">
        <f>VLOOKUP(B21,Sheet1!$B$4:$C$25,2,FALSE)</f>
        <v>0</v>
      </c>
      <c r="B21" s="112" t="s">
        <v>14</v>
      </c>
      <c r="C21" s="97"/>
      <c r="D21" s="113">
        <f>IF(Year1_Slough Year1_CP_Plans="","",Year1_Slough Year1_CP_Plans)</f>
        <v>255</v>
      </c>
      <c r="E21" s="113">
        <f>IF(Year2_Slough Year2_CP_Plans="","",Year2_Slough Year2_CP_Plans)</f>
        <v>112</v>
      </c>
      <c r="F21" s="113">
        <f>IF(Year3_Slough Year3_CP_Plans="","",Year3_Slough Year3_CP_Plans)</f>
        <v>230</v>
      </c>
      <c r="G21" s="113">
        <f>IF(Year4_Slough Year4_CP_Plans="","",Year4_Slough Year4_CP_Plans)</f>
        <v>153</v>
      </c>
      <c r="H21" s="114">
        <f>IF(Year5_Slough Year5_CP_Plans="","",Year5_Slough Year5_CP_Plans)</f>
        <v>161</v>
      </c>
      <c r="I21" s="392">
        <f t="shared" si="7"/>
        <v>0.4375</v>
      </c>
      <c r="J21" s="115"/>
      <c r="K21" s="116">
        <f>IF(ISNUMBER(D21),D21/Population!C20*10000,NA())</f>
        <v>65.552699228791781</v>
      </c>
      <c r="L21" s="116">
        <f>IF(ISNUMBER(E21),E21/Population!D20*10000,NA())</f>
        <v>28.07017543859649</v>
      </c>
      <c r="M21" s="116">
        <f>IF(ISNUMBER(F21),F21/Population!E20*10000,NA())</f>
        <v>56.650246305418719</v>
      </c>
      <c r="N21" s="116">
        <f>IF(ISNUMBER(G21),G21/Population!F20*10000,NA())</f>
        <v>36.951166497609044</v>
      </c>
      <c r="O21" s="117">
        <f>IF(ISNUMBER(H21),H21/Population!G20*10000,NA())</f>
        <v>38.169748696064481</v>
      </c>
      <c r="P21" s="397">
        <f t="shared" si="2"/>
        <v>5</v>
      </c>
      <c r="Q21" s="70"/>
      <c r="R21" s="387">
        <f>IDACI!C21</f>
        <v>19.5</v>
      </c>
      <c r="S21" s="388">
        <f t="shared" si="3"/>
        <v>46.689119774657996</v>
      </c>
      <c r="T21" s="389">
        <f t="shared" si="4"/>
        <v>-8.5193710785935153</v>
      </c>
      <c r="U21" s="139"/>
      <c r="V21" s="154"/>
      <c r="W21" s="170"/>
      <c r="X21" s="72" t="str">
        <f t="shared" si="1"/>
        <v>Slough</v>
      </c>
      <c r="Y21" s="235">
        <v>13</v>
      </c>
      <c r="Z21" s="236">
        <f>IF(D21&gt;0,Population!C20,"")</f>
        <v>38900</v>
      </c>
      <c r="AA21" s="236">
        <f>IF(E21&gt;0,Population!D20,"")</f>
        <v>39900</v>
      </c>
      <c r="AB21" s="236">
        <f>IF(F21&gt;0,Population!E20,"")</f>
        <v>40600</v>
      </c>
      <c r="AC21" s="236">
        <f>IF(G21&gt;0,Population!F20,"")</f>
        <v>41406</v>
      </c>
      <c r="AD21" s="236">
        <f>IF(H21&gt;0,Population!G20,"")</f>
        <v>42180</v>
      </c>
      <c r="AE21" s="217"/>
      <c r="AF21" s="112" t="s">
        <v>14</v>
      </c>
      <c r="AG21" s="262">
        <f t="shared" si="5"/>
        <v>38.169748696064481</v>
      </c>
      <c r="AH21" s="237">
        <f t="shared" si="6"/>
        <v>5</v>
      </c>
      <c r="AI21" s="232"/>
      <c r="AJ21" s="178"/>
    </row>
    <row r="22" spans="1:36" s="101" customFormat="1" ht="13.5" customHeight="1" x14ac:dyDescent="0.2">
      <c r="A22" s="533">
        <f>VLOOKUP(B22,Sheet1!$B$4:$C$25,2,FALSE)</f>
        <v>0</v>
      </c>
      <c r="B22" s="112" t="s">
        <v>93</v>
      </c>
      <c r="C22" s="97"/>
      <c r="D22" s="113">
        <f>IF(Year1_Somerset Year1_CP_Plans="","",Year1_Somerset Year1_CP_Plans)</f>
        <v>412</v>
      </c>
      <c r="E22" s="113">
        <f>IF(Year2_Somerset Year2_CP_Plans="","",Year2_Somerset Year2_CP_Plans)</f>
        <v>522</v>
      </c>
      <c r="F22" s="113">
        <f>IF(Year3_Somerset Year3_CP_Plans="","",Year3_Somerset Year3_CP_Plans)</f>
        <v>280</v>
      </c>
      <c r="G22" s="113">
        <f>IF(Year4_Somerset Year4_CP_Plans="","",Year4_Somerset Year4_CP_Plans)</f>
        <v>413</v>
      </c>
      <c r="H22" s="114">
        <f>IF(Year5_Somerset Year5_CP_Plans="","",Year5_Somerset Year5_CP_Plans)</f>
        <v>428</v>
      </c>
      <c r="I22" s="392">
        <f t="shared" si="7"/>
        <v>-0.18007662835249041</v>
      </c>
      <c r="J22" s="115"/>
      <c r="K22" s="116">
        <f>IF(ISNUMBER(D22),D22/Population!C21*10000,NA())</f>
        <v>37.867647058823529</v>
      </c>
      <c r="L22" s="116">
        <f>IF(ISNUMBER(E22),E22/Population!D21*10000,NA())</f>
        <v>47.933884297520663</v>
      </c>
      <c r="M22" s="116">
        <f>IF(ISNUMBER(F22),F22/Population!E21*10000,NA())</f>
        <v>25.641025641025642</v>
      </c>
      <c r="N22" s="116">
        <f>IF(ISNUMBER(G22),G22/Population!F21*10000,NA())</f>
        <v>37.66289429767366</v>
      </c>
      <c r="O22" s="117">
        <f>IF(ISNUMBER(H22),H22/Population!G21*10000,NA())</f>
        <v>38.879401184549977</v>
      </c>
      <c r="P22" s="422" t="str">
        <f t="shared" si="2"/>
        <v>--</v>
      </c>
      <c r="Q22" s="70"/>
      <c r="R22" s="387">
        <f>IDACI!C22</f>
        <v>14.8</v>
      </c>
      <c r="S22" s="388">
        <f t="shared" si="3"/>
        <v>41.089530832660557</v>
      </c>
      <c r="T22" s="389">
        <f t="shared" si="4"/>
        <v>-2.2101296481105805</v>
      </c>
      <c r="U22" s="139"/>
      <c r="V22" s="154"/>
      <c r="W22" s="170"/>
      <c r="X22" s="72" t="str">
        <f t="shared" si="1"/>
        <v>Somerset</v>
      </c>
      <c r="Y22" s="235">
        <v>14</v>
      </c>
      <c r="Z22" s="236">
        <f>IF(D22&gt;0,Population!C21,"")</f>
        <v>108800</v>
      </c>
      <c r="AA22" s="236">
        <f>IF(E22&gt;0,Population!D21,"")</f>
        <v>108900</v>
      </c>
      <c r="AB22" s="236">
        <f>IF(F22&gt;0,Population!E21,"")</f>
        <v>109200</v>
      </c>
      <c r="AC22" s="236">
        <f>IF(G22&gt;0,Population!F21,"")</f>
        <v>109657</v>
      </c>
      <c r="AD22" s="236">
        <f>IF(H22&gt;0,Population!G21,"")</f>
        <v>110084</v>
      </c>
      <c r="AE22" s="217"/>
      <c r="AF22" s="112" t="s">
        <v>15</v>
      </c>
      <c r="AG22" s="262">
        <f t="shared" si="5"/>
        <v>64.407116588808265</v>
      </c>
      <c r="AH22" s="237">
        <f t="shared" si="6"/>
        <v>15</v>
      </c>
      <c r="AI22" s="232"/>
      <c r="AJ22" s="178"/>
    </row>
    <row r="23" spans="1:36" s="101" customFormat="1" ht="13.5" customHeight="1" x14ac:dyDescent="0.2">
      <c r="A23" s="533">
        <f>VLOOKUP(B23,Sheet1!$B$4:$C$25,2,FALSE)</f>
        <v>0</v>
      </c>
      <c r="B23" s="112" t="s">
        <v>15</v>
      </c>
      <c r="C23" s="97"/>
      <c r="D23" s="113">
        <f>IF(Year1_Southampton Year1_CP_Plans="","",Year1_Southampton Year1_CP_Plans)</f>
        <v>236</v>
      </c>
      <c r="E23" s="113">
        <f>IF(Year2_Southampton Year2_CP_Plans="","",Year2_Southampton Year2_CP_Plans)</f>
        <v>324</v>
      </c>
      <c r="F23" s="113">
        <f>IF(Year3_Southampton Year3_CP_Plans="","",Year3_Southampton Year3_CP_Plans)</f>
        <v>333</v>
      </c>
      <c r="G23" s="113">
        <f>IF(Year4_Southampton Year4_CP_Plans="","",Year4_Southampton Year4_CP_Plans)</f>
        <v>276</v>
      </c>
      <c r="H23" s="114">
        <f>IF(Year5_Southampton Year5_CP_Plans="","",Year5_Southampton Year5_CP_Plans)</f>
        <v>324</v>
      </c>
      <c r="I23" s="392">
        <f t="shared" si="7"/>
        <v>0</v>
      </c>
      <c r="J23" s="115"/>
      <c r="K23" s="116">
        <f>IF(ISNUMBER(D23),D23/Population!C22*10000,NA())</f>
        <v>49.789029535864984</v>
      </c>
      <c r="L23" s="116">
        <f>IF(ISNUMBER(E23),E23/Population!D22*10000,NA())</f>
        <v>66.666666666666671</v>
      </c>
      <c r="M23" s="116">
        <f>IF(ISNUMBER(F23),F23/Population!E22*10000,NA())</f>
        <v>67.682926829268297</v>
      </c>
      <c r="N23" s="116">
        <f>IF(ISNUMBER(G23),G23/Population!F22*10000,NA())</f>
        <v>55.309512835414118</v>
      </c>
      <c r="O23" s="117">
        <f>IF(ISNUMBER(H23),H23/Population!G22*10000,NA())</f>
        <v>64.407116588808265</v>
      </c>
      <c r="P23" s="397">
        <f t="shared" si="2"/>
        <v>15</v>
      </c>
      <c r="Q23" s="70"/>
      <c r="R23" s="387">
        <f>IDACI!C23</f>
        <v>25</v>
      </c>
      <c r="S23" s="388">
        <f t="shared" si="3"/>
        <v>53.241830238697545</v>
      </c>
      <c r="T23" s="389">
        <f t="shared" si="4"/>
        <v>11.165286350110719</v>
      </c>
      <c r="U23" s="139"/>
      <c r="V23" s="154"/>
      <c r="W23" s="170"/>
      <c r="X23" s="72" t="str">
        <f t="shared" si="1"/>
        <v>Southampton</v>
      </c>
      <c r="Y23" s="235">
        <v>15</v>
      </c>
      <c r="Z23" s="236">
        <f>IF(D23&gt;0,Population!C22,"")</f>
        <v>47400</v>
      </c>
      <c r="AA23" s="236">
        <f>IF(E23&gt;0,Population!D22,"")</f>
        <v>48600</v>
      </c>
      <c r="AB23" s="236">
        <f>IF(F23&gt;0,Population!E22,"")</f>
        <v>49200</v>
      </c>
      <c r="AC23" s="236">
        <f>IF(G23&gt;0,Population!F22,"")</f>
        <v>49901</v>
      </c>
      <c r="AD23" s="236">
        <f>IF(H23&gt;0,Population!G22,"")</f>
        <v>50305</v>
      </c>
      <c r="AE23" s="217"/>
      <c r="AF23" s="112" t="s">
        <v>7</v>
      </c>
      <c r="AG23" s="262">
        <f t="shared" si="5"/>
        <v>38.262807091680912</v>
      </c>
      <c r="AH23" s="237">
        <f t="shared" si="6"/>
        <v>6</v>
      </c>
      <c r="AI23" s="232"/>
      <c r="AJ23" s="178"/>
    </row>
    <row r="24" spans="1:36" s="101" customFormat="1" ht="13.5" customHeight="1" x14ac:dyDescent="0.2">
      <c r="A24" s="533">
        <f>VLOOKUP(B24,Sheet1!$B$4:$C$25,2,FALSE)</f>
        <v>0</v>
      </c>
      <c r="B24" s="112" t="s">
        <v>7</v>
      </c>
      <c r="C24" s="97"/>
      <c r="D24" s="113">
        <f>IF(Year1_Surrey Year1_CP_Plans="","",Year1_Surrey Year1_CP_Plans)</f>
        <v>925</v>
      </c>
      <c r="E24" s="113">
        <f>IF(Year2_Surrey Year2_CP_Plans="","",Year2_Surrey Year2_CP_Plans)</f>
        <v>995</v>
      </c>
      <c r="F24" s="113">
        <f>IF(Year3_Surrey Year3_CP_Plans="","",Year3_Surrey Year3_CP_Plans)</f>
        <v>881</v>
      </c>
      <c r="G24" s="113">
        <f>IF(Year4_Surrey Year4_CP_Plans="","",Year4_Surrey Year4_CP_Plans)</f>
        <v>843</v>
      </c>
      <c r="H24" s="114">
        <f>IF(Year5_Surrey Year5_CP_Plans="","",Year5_Surrey Year5_CP_Plans)</f>
        <v>996</v>
      </c>
      <c r="I24" s="392">
        <f t="shared" si="7"/>
        <v>1.0050251256281408E-3</v>
      </c>
      <c r="J24" s="115"/>
      <c r="K24" s="116">
        <f>IF(ISNUMBER(D24),D24/Population!C23*10000,NA())</f>
        <v>36.706349206349209</v>
      </c>
      <c r="L24" s="116">
        <f>IF(ISNUMBER(E24),E24/Population!D23*10000,NA())</f>
        <v>39.080911233307155</v>
      </c>
      <c r="M24" s="116">
        <f>IF(ISNUMBER(F24),F24/Population!E23*10000,NA())</f>
        <v>34.360374414976597</v>
      </c>
      <c r="N24" s="116">
        <f>IF(ISNUMBER(G24),G24/Population!F23*10000,NA())</f>
        <v>32.548388217715129</v>
      </c>
      <c r="O24" s="117">
        <f>IF(ISNUMBER(H24),H24/Population!G23*10000,NA())</f>
        <v>38.262807091680912</v>
      </c>
      <c r="P24" s="397">
        <f t="shared" si="2"/>
        <v>6</v>
      </c>
      <c r="Q24" s="70"/>
      <c r="R24" s="387">
        <f>IDACI!C24</f>
        <v>9.7000000000000011</v>
      </c>
      <c r="S24" s="388">
        <f t="shared" si="3"/>
        <v>35.013381129642063</v>
      </c>
      <c r="T24" s="389">
        <f t="shared" si="4"/>
        <v>3.249425962038849</v>
      </c>
      <c r="U24" s="139"/>
      <c r="V24" s="154"/>
      <c r="W24" s="170"/>
      <c r="X24" s="72" t="str">
        <f t="shared" si="1"/>
        <v>Surrey</v>
      </c>
      <c r="Y24" s="235">
        <v>16</v>
      </c>
      <c r="Z24" s="236">
        <f>IF(D24&gt;0,Population!C23,"")</f>
        <v>252000</v>
      </c>
      <c r="AA24" s="236">
        <f>IF(E24&gt;0,Population!D23,"")</f>
        <v>254600</v>
      </c>
      <c r="AB24" s="236">
        <f>IF(F24&gt;0,Population!E23,"")</f>
        <v>256400</v>
      </c>
      <c r="AC24" s="236">
        <f>IF(G24&gt;0,Population!F23,"")</f>
        <v>258999</v>
      </c>
      <c r="AD24" s="236">
        <f>IF(H24&gt;0,Population!G23,"")</f>
        <v>260305</v>
      </c>
      <c r="AE24" s="217"/>
      <c r="AF24" s="112" t="s">
        <v>16</v>
      </c>
      <c r="AG24" s="262">
        <f t="shared" si="5"/>
        <v>46.940486169321034</v>
      </c>
      <c r="AH24" s="237">
        <f t="shared" si="6"/>
        <v>10</v>
      </c>
      <c r="AI24" s="232"/>
      <c r="AJ24" s="178"/>
    </row>
    <row r="25" spans="1:36" s="101" customFormat="1" ht="13.5" customHeight="1" x14ac:dyDescent="0.2">
      <c r="A25" s="533">
        <f>VLOOKUP(B25,Sheet1!$B$4:$C$25,2,FALSE)</f>
        <v>0</v>
      </c>
      <c r="B25" s="112" t="s">
        <v>116</v>
      </c>
      <c r="C25" s="97"/>
      <c r="D25" s="113">
        <f>IF(Year1_Swindon Year1_CP_Plans="","",Year1_Swindon Year1_CP_Plans)</f>
        <v>214</v>
      </c>
      <c r="E25" s="113">
        <f>IF(Year2_Swindon Year2_CP_Plans="","",Year2_Swindon Year2_CP_Plans)</f>
        <v>213</v>
      </c>
      <c r="F25" s="113">
        <f>IF(Year3_Swindon Year3_CP_Plans="","",Year3_Swindon Year3_CP_Plans)</f>
        <v>238</v>
      </c>
      <c r="G25" s="113">
        <f>IF(Year4_Swindon Year4_CP_Plans="","",Year4_Swindon Year4_CP_Plans)</f>
        <v>244</v>
      </c>
      <c r="H25" s="114">
        <f>IF(Year5_Swindon Year5_CP_Plans="","",Year5_Swindon Year5_CP_Plans)</f>
        <v>362</v>
      </c>
      <c r="I25" s="392">
        <f t="shared" si="7"/>
        <v>0.69953051643192488</v>
      </c>
      <c r="J25" s="115"/>
      <c r="K25" s="116">
        <f>IF(ISNUMBER(D25),D25/Population!C24*10000,NA())</f>
        <v>44.676409185803763</v>
      </c>
      <c r="L25" s="116">
        <f>IF(ISNUMBER(E25),E25/Population!D24*10000,NA())</f>
        <v>43.827160493827158</v>
      </c>
      <c r="M25" s="116">
        <f>IF(ISNUMBER(F25),F25/Population!E24*10000,NA())</f>
        <v>48.571428571428569</v>
      </c>
      <c r="N25" s="116">
        <f>IF(ISNUMBER(G25),G25/Population!F24*10000,NA())</f>
        <v>49.330799401560796</v>
      </c>
      <c r="O25" s="117">
        <f>IF(ISNUMBER(H25),H25/Population!G24*10000,NA())</f>
        <v>72.510215527601957</v>
      </c>
      <c r="P25" s="422" t="str">
        <f t="shared" si="2"/>
        <v>--</v>
      </c>
      <c r="Q25" s="70"/>
      <c r="R25" s="387">
        <f>IDACI!C25</f>
        <v>17.2</v>
      </c>
      <c r="S25" s="388">
        <f t="shared" si="3"/>
        <v>43.948895398786902</v>
      </c>
      <c r="T25" s="389">
        <f t="shared" si="4"/>
        <v>28.561320128815055</v>
      </c>
      <c r="U25" s="139"/>
      <c r="V25" s="154"/>
      <c r="W25" s="170"/>
      <c r="X25" s="72" t="str">
        <f t="shared" si="1"/>
        <v>Swindon</v>
      </c>
      <c r="Y25" s="235">
        <v>17</v>
      </c>
      <c r="Z25" s="236">
        <f>IF(D25&gt;0,Population!C24,"")</f>
        <v>47900</v>
      </c>
      <c r="AA25" s="236">
        <f>IF(E25&gt;0,Population!D24,"")</f>
        <v>48600</v>
      </c>
      <c r="AB25" s="236">
        <f>IF(F25&gt;0,Population!E24,"")</f>
        <v>49000</v>
      </c>
      <c r="AC25" s="236">
        <f>IF(G25&gt;0,Population!F24,"")</f>
        <v>49462</v>
      </c>
      <c r="AD25" s="236">
        <f>IF(H25&gt;0,Population!G24,"")</f>
        <v>49924</v>
      </c>
      <c r="AE25" s="217"/>
      <c r="AF25" s="112" t="s">
        <v>5</v>
      </c>
      <c r="AG25" s="262">
        <f t="shared" si="5"/>
        <v>44.725041983829733</v>
      </c>
      <c r="AH25" s="237">
        <f t="shared" si="6"/>
        <v>8</v>
      </c>
      <c r="AI25" s="232"/>
      <c r="AJ25" s="178"/>
    </row>
    <row r="26" spans="1:36" s="101" customFormat="1" ht="13.5" customHeight="1" x14ac:dyDescent="0.2">
      <c r="A26" s="533">
        <f>VLOOKUP(B26,Sheet1!$B$4:$C$25,2,FALSE)</f>
        <v>0</v>
      </c>
      <c r="B26" s="112" t="s">
        <v>117</v>
      </c>
      <c r="C26" s="97"/>
      <c r="D26" s="113">
        <f>IF(Year1_Torbay Year1_CP_Plans="","",Year1_Torbay Year1_CP_Plans)</f>
        <v>166</v>
      </c>
      <c r="E26" s="113">
        <f>IF(Year2_Torbay Year2_CP_Plans="","",Year2_Torbay Year2_CP_Plans)</f>
        <v>151</v>
      </c>
      <c r="F26" s="113">
        <f>IF(Year3_Torbay Year3_CP_Plans="","",Year3_Torbay Year3_CP_Plans)</f>
        <v>130</v>
      </c>
      <c r="G26" s="113">
        <f>IF(Year4_Torbay Year4_CP_Plans="","",Year4_Torbay Year4_CP_Plans)</f>
        <v>212</v>
      </c>
      <c r="H26" s="114">
        <f>IF(Year5_Torbay Year5_CP_Plans="","",Year5_Torbay Year5_CP_Plans)</f>
        <v>141</v>
      </c>
      <c r="I26" s="392">
        <f t="shared" si="7"/>
        <v>-6.6225165562913912E-2</v>
      </c>
      <c r="J26" s="115"/>
      <c r="K26" s="116">
        <f>IF(ISNUMBER(D26),D26/Population!C25*10000,NA())</f>
        <v>66.935483870967744</v>
      </c>
      <c r="L26" s="116">
        <f>IF(ISNUMBER(E26),E26/Population!D25*10000,NA())</f>
        <v>60.159362549800797</v>
      </c>
      <c r="M26" s="116">
        <f>IF(ISNUMBER(F26),F26/Population!E25*10000,NA())</f>
        <v>51.587301587301589</v>
      </c>
      <c r="N26" s="116">
        <f>IF(ISNUMBER(G26),G26/Population!F25*10000,NA())</f>
        <v>83.553383517912735</v>
      </c>
      <c r="O26" s="117">
        <f>IF(ISNUMBER(H26),H26/Population!G25*10000,NA())</f>
        <v>55.474682299248535</v>
      </c>
      <c r="P26" s="422" t="str">
        <f t="shared" si="2"/>
        <v>--</v>
      </c>
      <c r="Q26" s="70"/>
      <c r="R26" s="387">
        <f>IDACI!C26</f>
        <v>24.1</v>
      </c>
      <c r="S26" s="388">
        <f t="shared" si="3"/>
        <v>52.16956852640017</v>
      </c>
      <c r="T26" s="389">
        <f t="shared" si="4"/>
        <v>3.3051137728483653</v>
      </c>
      <c r="U26" s="139"/>
      <c r="V26" s="154"/>
      <c r="W26" s="170"/>
      <c r="X26" s="72" t="str">
        <f t="shared" si="1"/>
        <v>Torbay</v>
      </c>
      <c r="Y26" s="235">
        <v>18</v>
      </c>
      <c r="Z26" s="236">
        <f>IF(D26&gt;0,Population!C25,"")</f>
        <v>24800</v>
      </c>
      <c r="AA26" s="236">
        <f>IF(E26&gt;0,Population!D25,"")</f>
        <v>25100</v>
      </c>
      <c r="AB26" s="236">
        <f>IF(F26&gt;0,Population!E25,"")</f>
        <v>25200</v>
      </c>
      <c r="AC26" s="236">
        <f>IF(G26&gt;0,Population!F25,"")</f>
        <v>25373</v>
      </c>
      <c r="AD26" s="236">
        <f>IF(H26&gt;0,Population!G25,"")</f>
        <v>25417</v>
      </c>
      <c r="AE26" s="217"/>
      <c r="AF26" s="112" t="s">
        <v>31</v>
      </c>
      <c r="AG26" s="262">
        <f t="shared" si="5"/>
        <v>21.541686073591059</v>
      </c>
      <c r="AH26" s="237">
        <f t="shared" si="6"/>
        <v>2</v>
      </c>
      <c r="AI26" s="232"/>
      <c r="AJ26" s="178"/>
    </row>
    <row r="27" spans="1:36" s="101" customFormat="1" ht="13.5" customHeight="1" x14ac:dyDescent="0.2">
      <c r="A27" s="533">
        <f>VLOOKUP(B27,Sheet1!$B$4:$C$25,2,FALSE)</f>
        <v>0</v>
      </c>
      <c r="B27" s="112" t="s">
        <v>16</v>
      </c>
      <c r="C27" s="97"/>
      <c r="D27" s="113">
        <f>IF(Year1_West_Berkshire Year1_CP_Plans="","",Year1_West_Berkshire Year1_CP_Plans)</f>
        <v>107</v>
      </c>
      <c r="E27" s="118">
        <f>IF(Year2_West_Berkshire Year2_CP_Plans="","",Year2_West_Berkshire Year2_CP_Plans)</f>
        <v>126</v>
      </c>
      <c r="F27" s="113">
        <f>IF(Year3_West_Berkshire Year3_CP_Plans="","",Year3_West_Berkshire Year3_CP_Plans)</f>
        <v>145</v>
      </c>
      <c r="G27" s="113">
        <f>IF(Year4_West_Berkshire Year4_CP_Plans="","",Year4_West_Berkshire Year4_CP_Plans)</f>
        <v>155</v>
      </c>
      <c r="H27" s="114">
        <f>IF(Year5_West_Berkshire Year5_CP_Plans="","",Year5_West_Berkshire Year5_CP_Plans)</f>
        <v>168</v>
      </c>
      <c r="I27" s="392">
        <f t="shared" si="7"/>
        <v>0.33333333333333331</v>
      </c>
      <c r="J27" s="115"/>
      <c r="K27" s="116">
        <f>IF(ISNUMBER(D27),D27/Population!C26*10000,NA())</f>
        <v>29.971988795518207</v>
      </c>
      <c r="L27" s="116">
        <f>IF(ISNUMBER(E27),E27/Population!D26*10000,NA())</f>
        <v>35.393258426966291</v>
      </c>
      <c r="M27" s="116">
        <f>IF(ISNUMBER(F27),F27/Population!E26*10000,NA())</f>
        <v>40.616246498599445</v>
      </c>
      <c r="N27" s="116">
        <f>IF(ISNUMBER(G27),G27/Population!F26*10000,NA())</f>
        <v>43.13823717681111</v>
      </c>
      <c r="O27" s="117">
        <f>IF(ISNUMBER(H27),H27/Population!G26*10000,NA())</f>
        <v>46.940486169321034</v>
      </c>
      <c r="P27" s="397">
        <f t="shared" si="2"/>
        <v>10</v>
      </c>
      <c r="Q27" s="70"/>
      <c r="R27" s="387">
        <f>IDACI!C27</f>
        <v>10.4</v>
      </c>
      <c r="S27" s="388">
        <f t="shared" si="3"/>
        <v>35.847362461428915</v>
      </c>
      <c r="T27" s="389">
        <f t="shared" si="4"/>
        <v>11.093123707892119</v>
      </c>
      <c r="U27" s="139"/>
      <c r="V27" s="154"/>
      <c r="W27" s="170"/>
      <c r="X27" s="72" t="str">
        <f t="shared" si="1"/>
        <v>West Berkshire</v>
      </c>
      <c r="Y27" s="235">
        <v>19</v>
      </c>
      <c r="Z27" s="236">
        <f>IF(D27&gt;0,Population!C26,"")</f>
        <v>35700</v>
      </c>
      <c r="AA27" s="236">
        <f>IF(E27&gt;0,Population!D26,"")</f>
        <v>35600</v>
      </c>
      <c r="AB27" s="236">
        <f>IF(F27&gt;0,Population!E26,"")</f>
        <v>35700</v>
      </c>
      <c r="AC27" s="236">
        <f>IF(G27&gt;0,Population!F26,"")</f>
        <v>35931</v>
      </c>
      <c r="AD27" s="236">
        <f>IF(H27&gt;0,Population!G26,"")</f>
        <v>35790</v>
      </c>
      <c r="AE27" s="232"/>
      <c r="AF27" s="112" t="s">
        <v>17</v>
      </c>
      <c r="AG27" s="262">
        <f t="shared" si="5"/>
        <v>32.55645703064441</v>
      </c>
      <c r="AH27" s="237">
        <f t="shared" si="6"/>
        <v>3</v>
      </c>
      <c r="AI27" s="232"/>
      <c r="AJ27" s="178"/>
    </row>
    <row r="28" spans="1:36" s="101" customFormat="1" ht="13.5" customHeight="1" x14ac:dyDescent="0.2">
      <c r="A28" s="533">
        <f>VLOOKUP(B28,Sheet1!$B$4:$C$25,2,FALSE)</f>
        <v>0</v>
      </c>
      <c r="B28" s="112" t="s">
        <v>5</v>
      </c>
      <c r="C28" s="97"/>
      <c r="D28" s="113">
        <f>IF(Year1_West_Sussex Year1_CP_Plans="","",Year1_West_Sussex Year1_CP_Plans)</f>
        <v>489</v>
      </c>
      <c r="E28" s="118">
        <f>IF(Year2_West_Sussex Year2_CP_Plans="","",Year2_West_Sussex Year2_CP_Plans)</f>
        <v>502</v>
      </c>
      <c r="F28" s="113">
        <f>IF(Year3_West_Sussex Year3_CP_Plans="","",Year3_West_Sussex Year3_CP_Plans)</f>
        <v>417</v>
      </c>
      <c r="G28" s="113">
        <f>IF(Year4_West_Sussex Year4_CP_Plans="","",Year4_West_Sussex Year4_CP_Plans)</f>
        <v>549</v>
      </c>
      <c r="H28" s="114">
        <f>IF(Year5_West_Sussex Year5_CP_Plans="","",Year5_West_Sussex Year5_CP_Plans)</f>
        <v>775</v>
      </c>
      <c r="I28" s="392">
        <f t="shared" si="7"/>
        <v>0.54382470119521908</v>
      </c>
      <c r="J28" s="115"/>
      <c r="K28" s="116">
        <f>IF(ISNUMBER(D28),D28/Population!C27*10000,NA())</f>
        <v>29.281437125748504</v>
      </c>
      <c r="L28" s="116">
        <f>IF(ISNUMBER(E28),E28/Population!D27*10000,NA())</f>
        <v>29.739336492890995</v>
      </c>
      <c r="M28" s="116">
        <f>IF(ISNUMBER(F28),F28/Population!E27*10000,NA())</f>
        <v>24.471830985915492</v>
      </c>
      <c r="N28" s="116">
        <f>IF(ISNUMBER(G28),G28/Population!F27*10000,NA())</f>
        <v>31.96301838019108</v>
      </c>
      <c r="O28" s="117">
        <f>IF(ISNUMBER(H28),H28/Population!G27*10000,NA())</f>
        <v>44.725041983829733</v>
      </c>
      <c r="P28" s="397">
        <f t="shared" si="2"/>
        <v>8</v>
      </c>
      <c r="Q28" s="70"/>
      <c r="R28" s="387">
        <f>IDACI!C28</f>
        <v>12.9</v>
      </c>
      <c r="S28" s="388">
        <f t="shared" si="3"/>
        <v>38.825867217810533</v>
      </c>
      <c r="T28" s="389">
        <f t="shared" si="4"/>
        <v>5.8991747660192004</v>
      </c>
      <c r="U28" s="139"/>
      <c r="V28" s="154"/>
      <c r="W28" s="170"/>
      <c r="X28" s="72" t="str">
        <f t="shared" si="1"/>
        <v>West Sussex</v>
      </c>
      <c r="Y28" s="235">
        <v>20</v>
      </c>
      <c r="Z28" s="236">
        <f>IF(D28&gt;0,Population!C27,"")</f>
        <v>167000</v>
      </c>
      <c r="AA28" s="236">
        <f>IF(E28&gt;0,Population!D27,"")</f>
        <v>168800</v>
      </c>
      <c r="AB28" s="236">
        <f>IF(F28&gt;0,Population!E27,"")</f>
        <v>170400</v>
      </c>
      <c r="AC28" s="236">
        <f>IF(G28&gt;0,Population!F27,"")</f>
        <v>171761</v>
      </c>
      <c r="AD28" s="236">
        <f>IF(H28&gt;0,Population!G27,"")</f>
        <v>173281</v>
      </c>
      <c r="AE28" s="232"/>
      <c r="AF28" s="232"/>
      <c r="AG28" s="232"/>
      <c r="AH28" s="217"/>
      <c r="AI28" s="232"/>
      <c r="AJ28" s="178"/>
    </row>
    <row r="29" spans="1:36" s="101" customFormat="1" ht="13.5" customHeight="1" x14ac:dyDescent="0.2">
      <c r="A29" s="533">
        <f>VLOOKUP(B29,Sheet1!$B$4:$C$25,2,FALSE)</f>
        <v>0</v>
      </c>
      <c r="B29" s="112" t="s">
        <v>31</v>
      </c>
      <c r="C29" s="97"/>
      <c r="D29" s="118">
        <f>IF(Year1_Windsor_Maidenhead Year1_CP_Plans="","",Year1_Windsor_Maidenhead Year1_CP_Plans)</f>
        <v>89</v>
      </c>
      <c r="E29" s="113">
        <f>IF(Year2_Windsor_Maidenhead Year2_CP_Plans="","",Year2_Windsor_Maidenhead Year2_CP_Plans)</f>
        <v>64</v>
      </c>
      <c r="F29" s="113">
        <f>IF(Year3_Windsor_Maidenhead Year3_CP_Plans="","",Year3_Windsor_Maidenhead Year3_CP_Plans)</f>
        <v>145</v>
      </c>
      <c r="G29" s="113">
        <f>IF(Year4_Windsor_Maidenhead Year4_CP_Plans="","",Year4_Windsor_Maidenhead Year4_CP_Plans)</f>
        <v>141</v>
      </c>
      <c r="H29" s="114">
        <f>IF(Year5_Windsor_Maidenhead Year5_CP_Plans="","",Year5_Windsor_Maidenhead Year5_CP_Plans)</f>
        <v>74</v>
      </c>
      <c r="I29" s="392">
        <f t="shared" si="7"/>
        <v>0.15625</v>
      </c>
      <c r="J29" s="115"/>
      <c r="K29" s="116">
        <f>IF(ISNUMBER(D29),D29/Population!C28*10000,NA())</f>
        <v>26.726726726726728</v>
      </c>
      <c r="L29" s="116">
        <f>IF(ISNUMBER(E29),E29/Population!D28*10000,NA())</f>
        <v>19.161676646706585</v>
      </c>
      <c r="M29" s="116">
        <f>IF(ISNUMBER(F29),F29/Population!E28*10000,NA())</f>
        <v>43.026706231454007</v>
      </c>
      <c r="N29" s="116">
        <f>IF(ISNUMBER(G29),G29/Population!F28*10000,NA())</f>
        <v>41.257022471910112</v>
      </c>
      <c r="O29" s="117">
        <f>IF(ISNUMBER(H29),H29/Population!G28*10000,NA())</f>
        <v>21.541686073591059</v>
      </c>
      <c r="P29" s="397">
        <f t="shared" si="2"/>
        <v>2</v>
      </c>
      <c r="Q29" s="70"/>
      <c r="R29" s="387">
        <f>IDACI!C29</f>
        <v>8.4</v>
      </c>
      <c r="S29" s="388">
        <f t="shared" si="3"/>
        <v>33.464558656323625</v>
      </c>
      <c r="T29" s="389">
        <f t="shared" si="4"/>
        <v>-11.922872582732566</v>
      </c>
      <c r="U29" s="139"/>
      <c r="V29" s="154"/>
      <c r="W29" s="170"/>
      <c r="X29" s="72" t="str">
        <f t="shared" si="1"/>
        <v>Windsor &amp; Maidenhead</v>
      </c>
      <c r="Y29" s="235">
        <v>21</v>
      </c>
      <c r="Z29" s="236">
        <f>IF(D29&gt;0,Population!C28,"")</f>
        <v>33300</v>
      </c>
      <c r="AA29" s="236">
        <f>IF(E29&gt;0,Population!D28,"")</f>
        <v>33400</v>
      </c>
      <c r="AB29" s="236">
        <f>IF(F29&gt;0,Population!E28,"")</f>
        <v>33700</v>
      </c>
      <c r="AC29" s="236">
        <f>IF(G29&gt;0,Population!F28,"")</f>
        <v>34176</v>
      </c>
      <c r="AD29" s="236">
        <f>IF(H29&gt;0,Population!G28,"")</f>
        <v>34352</v>
      </c>
      <c r="AE29" s="232"/>
      <c r="AF29" s="232"/>
      <c r="AG29" s="232"/>
      <c r="AH29" s="217"/>
      <c r="AI29" s="232"/>
      <c r="AJ29" s="178"/>
    </row>
    <row r="30" spans="1:36" s="101" customFormat="1" ht="13.5" customHeight="1" x14ac:dyDescent="0.2">
      <c r="A30" s="533">
        <f>VLOOKUP(B30,Sheet1!$B$4:$C$25,2,FALSE)</f>
        <v>0</v>
      </c>
      <c r="B30" s="112" t="s">
        <v>17</v>
      </c>
      <c r="C30" s="97"/>
      <c r="D30" s="118">
        <f>IF(Year1_Wokingham Year1_CP_Plans="","",Year1_Wokingham Year1_CP_Plans)</f>
        <v>95</v>
      </c>
      <c r="E30" s="113">
        <f>IF(Year2_Wokingham Year2_CP_Plans="","",Year2_Wokingham Year2_CP_Plans)</f>
        <v>48</v>
      </c>
      <c r="F30" s="113">
        <f>IF(Year3_Wokingham Year3_CP_Plans="","",Year3_Wokingham Year3_CP_Plans)</f>
        <v>65</v>
      </c>
      <c r="G30" s="113">
        <f>IF(Year4_Wokingham Year4_CP_Plans="","",Year4_Wokingham Year4_CP_Plans)</f>
        <v>46</v>
      </c>
      <c r="H30" s="114">
        <f>IF(Year5_Wokingham Year5_CP_Plans="","",Year5_Wokingham Year5_CP_Plans)</f>
        <v>126</v>
      </c>
      <c r="I30" s="392">
        <f t="shared" si="7"/>
        <v>1.625</v>
      </c>
      <c r="J30" s="115"/>
      <c r="K30" s="116">
        <f>IF(ISNUMBER(D30),D30/Population!C29*10000,NA())</f>
        <v>26.243093922651934</v>
      </c>
      <c r="L30" s="116">
        <f>IF(ISNUMBER(E30),E30/Population!D29*10000,NA())</f>
        <v>13.008130081300813</v>
      </c>
      <c r="M30" s="116">
        <f>IF(ISNUMBER(F30),F30/Population!E29*10000,NA())</f>
        <v>17.426273458445039</v>
      </c>
      <c r="N30" s="116">
        <f>IF(ISNUMBER(G30),G30/Population!F29*10000,NA())</f>
        <v>12.099213551119178</v>
      </c>
      <c r="O30" s="117">
        <f>IF(ISNUMBER(H30),H30/Population!G29*10000,NA())</f>
        <v>32.55645703064441</v>
      </c>
      <c r="P30" s="397">
        <f t="shared" si="2"/>
        <v>3</v>
      </c>
      <c r="Q30" s="70"/>
      <c r="R30" s="387">
        <f>IDACI!C30</f>
        <v>6.8000000000000007</v>
      </c>
      <c r="S30" s="388">
        <f t="shared" si="3"/>
        <v>31.55831561223939</v>
      </c>
      <c r="T30" s="389">
        <f t="shared" si="4"/>
        <v>0.99814141840501946</v>
      </c>
      <c r="U30" s="139"/>
      <c r="V30" s="154"/>
      <c r="W30" s="170"/>
      <c r="X30" s="72" t="str">
        <f t="shared" si="1"/>
        <v>Wokingham</v>
      </c>
      <c r="Y30" s="235">
        <v>22</v>
      </c>
      <c r="Z30" s="236">
        <f>IF(D30&gt;0,Population!C29,"")</f>
        <v>36200</v>
      </c>
      <c r="AA30" s="236">
        <f>IF(E30&gt;0,Population!D29,"")</f>
        <v>36900</v>
      </c>
      <c r="AB30" s="236">
        <f>IF(F30&gt;0,Population!E29,"")</f>
        <v>37300</v>
      </c>
      <c r="AC30" s="236">
        <f>IF(G30&gt;0,Population!F29,"")</f>
        <v>38019</v>
      </c>
      <c r="AD30" s="236">
        <f>IF(H30&gt;0,Population!G29,"")</f>
        <v>38702</v>
      </c>
      <c r="AE30" s="232"/>
      <c r="AF30" s="232"/>
      <c r="AG30" s="232"/>
      <c r="AH30" s="217"/>
      <c r="AI30" s="232"/>
      <c r="AJ30" s="178"/>
    </row>
    <row r="31" spans="1:36" s="101" customFormat="1" ht="13.5" customHeight="1" x14ac:dyDescent="0.2">
      <c r="A31" s="138"/>
      <c r="B31" s="146" t="s">
        <v>74</v>
      </c>
      <c r="C31" s="97"/>
      <c r="D31" s="147">
        <f>IF(Year1_SouthEast Year1_CP_Plans="","",Year1_SouthEast Year1_CP_Plans)</f>
        <v>7196</v>
      </c>
      <c r="E31" s="147">
        <f>IF(Year2_SouthEast Year2_CP_Plans="","",Year2_SouthEast Year2_CP_Plans)</f>
        <v>7800</v>
      </c>
      <c r="F31" s="147">
        <f>IF(Year3_SouthEast Year3_CP_Plans="","",Year3_SouthEast Year3_CP_Plans)</f>
        <v>8070</v>
      </c>
      <c r="G31" s="147">
        <f>IF(Year4_SouthEast Year4_CP_Plans="","",Year4_SouthEast Year4_CP_Plans)</f>
        <v>7980</v>
      </c>
      <c r="H31" s="148">
        <f>IF(Year5_SouthEast Year5_CP_Plans="","",Year5_SouthEast Year5_CP_Plans)</f>
        <v>8980</v>
      </c>
      <c r="I31" s="407">
        <f t="shared" si="7"/>
        <v>0.15128205128205127</v>
      </c>
      <c r="J31" s="115"/>
      <c r="K31" s="149">
        <f>IF(ISNUMBER(D31),D31/Z31*10000,NA())</f>
        <v>38.138647445410221</v>
      </c>
      <c r="L31" s="149">
        <f>IF(ISNUMBER(E31),E31/AA31*10000,NA())</f>
        <v>40.962083814725347</v>
      </c>
      <c r="M31" s="149">
        <f t="shared" ref="M31:O31" si="8">IF(ISNUMBER(F31),F31/AB31*10000,NA())</f>
        <v>42.072884625410566</v>
      </c>
      <c r="N31" s="149">
        <f t="shared" si="8"/>
        <v>41.278858344717776</v>
      </c>
      <c r="O31" s="150">
        <f t="shared" si="8"/>
        <v>46.196623736730693</v>
      </c>
      <c r="P31" s="383" t="str">
        <f t="shared" si="2"/>
        <v>--</v>
      </c>
      <c r="Q31" s="70"/>
      <c r="R31" s="385">
        <f>IDACI!C31</f>
        <v>14.45223640702325</v>
      </c>
      <c r="S31" s="149">
        <f t="shared" si="3"/>
        <v>40.675204626349512</v>
      </c>
      <c r="T31" s="390">
        <f t="shared" si="4"/>
        <v>5.5214191103811814</v>
      </c>
      <c r="U31" s="139"/>
      <c r="V31" s="154"/>
      <c r="W31" s="170"/>
      <c r="X31" s="72" t="str">
        <f t="shared" si="1"/>
        <v>South East</v>
      </c>
      <c r="Y31" s="235">
        <v>23</v>
      </c>
      <c r="Z31" s="236">
        <f>IF(D31&gt;0,Population!C30,"")</f>
        <v>1886800</v>
      </c>
      <c r="AA31" s="236">
        <f>IF(E31&gt;0,Population!D30,"")</f>
        <v>1904200</v>
      </c>
      <c r="AB31" s="236">
        <f>IF(F31&gt;0,Population!E30,"")</f>
        <v>1918100</v>
      </c>
      <c r="AC31" s="236">
        <f>IF(G31&gt;0,Population!F30,"")</f>
        <v>1933193</v>
      </c>
      <c r="AD31" s="236">
        <f>SUM(AD9:AD21,AD23:AD24,AD27:AD30)</f>
        <v>1943865</v>
      </c>
      <c r="AE31" s="232"/>
      <c r="AF31" s="232"/>
      <c r="AG31" s="232"/>
      <c r="AH31" s="217"/>
      <c r="AI31" s="232"/>
      <c r="AJ31" s="178"/>
    </row>
    <row r="32" spans="1:36" s="101" customFormat="1" ht="13.5" customHeight="1" x14ac:dyDescent="0.2">
      <c r="A32" s="324"/>
      <c r="B32" s="370" t="s">
        <v>130</v>
      </c>
      <c r="C32" s="97"/>
      <c r="D32" s="371">
        <f>IF(Year1_England Year1_CP_Plans="","",Year1_England Year1_CP_Plans)</f>
        <v>48300</v>
      </c>
      <c r="E32" s="371">
        <f>IF(Year2_England Year2_CP_Plans="","",Year2_England Year2_CP_Plans)</f>
        <v>49700</v>
      </c>
      <c r="F32" s="371">
        <f>IF(Year3_England Year3_CP_Plans="","",Year3_England Year3_CP_Plans)</f>
        <v>50310</v>
      </c>
      <c r="G32" s="371">
        <f>IF(Year4_England Year4_CP_Plans="","",Year4_England Year4_CP_Plans)</f>
        <v>51080</v>
      </c>
      <c r="H32" s="372">
        <f>IF(Year5_England Year5_CP_Plans="","",Year5_England Year5_CP_Plans)</f>
        <v>53790</v>
      </c>
      <c r="I32" s="408">
        <f t="shared" si="7"/>
        <v>8.229376257545272E-2</v>
      </c>
      <c r="J32" s="115"/>
      <c r="K32" s="373">
        <f>IF(ISNUMBER(D32),D32/Population!C31*10000,NA())</f>
        <v>42.077202519405169</v>
      </c>
      <c r="L32" s="373">
        <f>IF(ISNUMBER(E32),E32/Population!D31*10000,NA())</f>
        <v>42.875505749803743</v>
      </c>
      <c r="M32" s="373">
        <f>IF(ISNUMBER(F32),F32/Population!E31*10000,NA())</f>
        <v>43.081375932316604</v>
      </c>
      <c r="N32" s="373">
        <f>IF(ISNUMBER(G32),G32/Population!F31*10000,NA())</f>
        <v>43.342214188092477</v>
      </c>
      <c r="O32" s="374">
        <f>IF(ISNUMBER(H32),H32/Population!G31*10000,NA())</f>
        <v>45.327542688492088</v>
      </c>
      <c r="P32" s="384" t="str">
        <f t="shared" si="2"/>
        <v>--</v>
      </c>
      <c r="Q32" s="70"/>
      <c r="R32" s="386">
        <f>IDACI!C32</f>
        <v>19.902611588091716</v>
      </c>
      <c r="S32" s="373">
        <f t="shared" si="3"/>
        <v>47.168791986700207</v>
      </c>
      <c r="T32" s="391">
        <f t="shared" si="4"/>
        <v>-1.841249298208119</v>
      </c>
      <c r="U32" s="139"/>
      <c r="V32" s="154"/>
      <c r="W32" s="170"/>
      <c r="X32" s="72" t="str">
        <f t="shared" si="1"/>
        <v>England</v>
      </c>
      <c r="Y32" s="235">
        <v>24</v>
      </c>
      <c r="Z32" s="236">
        <f>IF(D32&gt;0,Population!C31,"")</f>
        <v>11478900</v>
      </c>
      <c r="AA32" s="236">
        <f>IF(E32&gt;0,Population!D31,"")</f>
        <v>11591700</v>
      </c>
      <c r="AB32" s="236">
        <f>IF(F32&gt;0,Population!E31,"")</f>
        <v>11677900</v>
      </c>
      <c r="AC32" s="236">
        <f>IF(G32&gt;0,Population!F31,"")</f>
        <v>11785277</v>
      </c>
      <c r="AD32" s="236">
        <f>IF(H32&gt;0,Population!G31,"")</f>
        <v>11866957</v>
      </c>
      <c r="AE32" s="232"/>
      <c r="AF32" s="232"/>
      <c r="AG32" s="232"/>
      <c r="AH32" s="217"/>
      <c r="AI32" s="232"/>
      <c r="AJ32" s="178"/>
    </row>
    <row r="33" spans="1:64" s="88" customFormat="1" ht="13.5" customHeight="1" x14ac:dyDescent="0.2">
      <c r="A33" s="135"/>
      <c r="B33" s="140" t="s">
        <v>90</v>
      </c>
      <c r="C33" s="64"/>
      <c r="D33" s="64"/>
      <c r="E33" s="64"/>
      <c r="F33" s="64"/>
      <c r="G33" s="64"/>
      <c r="H33" s="64"/>
      <c r="I33" s="64"/>
      <c r="J33" s="64"/>
      <c r="K33" s="64"/>
      <c r="L33" s="64"/>
      <c r="M33" s="64"/>
      <c r="N33" s="64"/>
      <c r="O33" s="64"/>
      <c r="P33" s="151" t="s">
        <v>111</v>
      </c>
      <c r="R33" s="64"/>
      <c r="S33" s="64"/>
      <c r="T33" s="64"/>
      <c r="U33" s="134"/>
      <c r="V33" s="152"/>
      <c r="W33" s="168"/>
      <c r="X33" s="87"/>
      <c r="Y33" s="210"/>
      <c r="Z33" s="210"/>
      <c r="AA33" s="210"/>
      <c r="AB33" s="210"/>
      <c r="AC33" s="210"/>
      <c r="AD33" s="210"/>
      <c r="AE33" s="210"/>
      <c r="AF33" s="210"/>
      <c r="AG33" s="210"/>
      <c r="AI33" s="210"/>
      <c r="AJ33" s="179"/>
    </row>
    <row r="34" spans="1:64" s="88" customFormat="1" ht="29.25" customHeight="1" x14ac:dyDescent="0.2">
      <c r="A34" s="135"/>
      <c r="B34" s="1024"/>
      <c r="C34" s="1025"/>
      <c r="D34" s="1025"/>
      <c r="E34" s="1025"/>
      <c r="F34" s="1025"/>
      <c r="G34" s="1025"/>
      <c r="H34" s="1025"/>
      <c r="I34" s="1025"/>
      <c r="J34" s="1025"/>
      <c r="K34" s="1025"/>
      <c r="L34" s="1025"/>
      <c r="M34" s="1025"/>
      <c r="N34" s="1025"/>
      <c r="O34" s="1025"/>
      <c r="P34" s="1025"/>
      <c r="Q34" s="1025"/>
      <c r="R34" s="1025"/>
      <c r="S34" s="1025"/>
      <c r="T34" s="1026"/>
      <c r="U34" s="134"/>
      <c r="V34" s="152"/>
      <c r="W34" s="168"/>
      <c r="X34" s="87"/>
      <c r="Y34" s="210"/>
      <c r="Z34" s="210"/>
      <c r="AA34" s="210"/>
      <c r="AB34" s="210"/>
      <c r="AC34" s="210"/>
      <c r="AD34" s="210"/>
      <c r="AE34" s="210"/>
      <c r="AF34" s="210"/>
      <c r="AG34" s="210"/>
      <c r="AI34" s="210"/>
      <c r="AJ34" s="175"/>
      <c r="AK34" s="80"/>
      <c r="AL34" s="80"/>
      <c r="AM34" s="80"/>
      <c r="AN34" s="80"/>
      <c r="AO34" s="80"/>
      <c r="AP34" s="80"/>
      <c r="AQ34" s="80"/>
    </row>
    <row r="35" spans="1:64" s="88" customFormat="1" ht="7.5" customHeight="1" thickBot="1" x14ac:dyDescent="0.25">
      <c r="A35" s="135"/>
      <c r="B35" s="18"/>
      <c r="C35" s="18"/>
      <c r="D35" s="17"/>
      <c r="E35" s="17"/>
      <c r="F35" s="17"/>
      <c r="G35" s="17"/>
      <c r="H35" s="17"/>
      <c r="I35" s="17"/>
      <c r="J35" s="13"/>
      <c r="K35" s="19"/>
      <c r="L35" s="19"/>
      <c r="M35" s="19"/>
      <c r="N35" s="19"/>
      <c r="O35" s="19"/>
      <c r="P35" s="19"/>
      <c r="Q35" s="19"/>
      <c r="R35" s="19"/>
      <c r="S35" s="19"/>
      <c r="T35" s="20"/>
      <c r="U35" s="134"/>
      <c r="V35" s="152"/>
      <c r="W35" s="168"/>
      <c r="Y35" s="217"/>
      <c r="AI35" s="210"/>
      <c r="AJ35" s="175"/>
      <c r="AK35" s="80"/>
      <c r="AL35" s="80"/>
      <c r="AM35" s="80"/>
      <c r="AN35" s="80"/>
      <c r="AO35" s="80"/>
      <c r="AP35" s="80"/>
      <c r="AQ35" s="80"/>
    </row>
    <row r="36" spans="1:64" s="88" customFormat="1" ht="15" customHeight="1" x14ac:dyDescent="0.2">
      <c r="A36" s="1010"/>
      <c r="B36" s="1018"/>
      <c r="C36" s="1018"/>
      <c r="D36" s="1018"/>
      <c r="E36" s="1018"/>
      <c r="F36" s="1018"/>
      <c r="G36" s="1018"/>
      <c r="H36" s="1018"/>
      <c r="I36" s="1018"/>
      <c r="J36" s="1018"/>
      <c r="K36" s="1018"/>
      <c r="L36" s="1018"/>
      <c r="M36" s="1018"/>
      <c r="N36" s="1018"/>
      <c r="O36" s="1018"/>
      <c r="P36" s="1018"/>
      <c r="Q36" s="1018"/>
      <c r="R36" s="1018"/>
      <c r="S36" s="1018"/>
      <c r="T36" s="1018"/>
      <c r="U36" s="1019"/>
      <c r="V36" s="152"/>
      <c r="W36" s="168"/>
      <c r="Y36" s="217"/>
      <c r="AJ36" s="179"/>
      <c r="AL36" s="88">
        <v>10</v>
      </c>
      <c r="AM36" s="88">
        <v>11</v>
      </c>
      <c r="AN36" s="88">
        <v>12</v>
      </c>
      <c r="AO36" s="88">
        <v>13</v>
      </c>
      <c r="AP36" s="88">
        <v>14</v>
      </c>
      <c r="AR36" s="496">
        <v>3</v>
      </c>
      <c r="AS36" s="497">
        <v>4</v>
      </c>
      <c r="AT36" s="497">
        <v>5</v>
      </c>
      <c r="AU36" s="497">
        <v>6</v>
      </c>
      <c r="AV36" s="498">
        <v>7</v>
      </c>
      <c r="AW36" s="496">
        <v>3</v>
      </c>
      <c r="AX36" s="497">
        <v>4</v>
      </c>
      <c r="AY36" s="497">
        <v>5</v>
      </c>
      <c r="AZ36" s="497">
        <v>6</v>
      </c>
      <c r="BA36" s="498">
        <v>7</v>
      </c>
      <c r="BB36" s="507">
        <v>3</v>
      </c>
      <c r="BC36" s="508">
        <v>4</v>
      </c>
      <c r="BD36" s="508">
        <v>5</v>
      </c>
      <c r="BE36" s="508">
        <v>6</v>
      </c>
      <c r="BF36" s="498">
        <v>7</v>
      </c>
      <c r="BG36" s="508" t="str">
        <f>AK64</f>
        <v>Selected LA- (none)</v>
      </c>
      <c r="BH36" s="496">
        <v>3</v>
      </c>
      <c r="BI36" s="497">
        <v>4</v>
      </c>
      <c r="BJ36" s="497">
        <v>5</v>
      </c>
      <c r="BK36" s="497">
        <v>6</v>
      </c>
      <c r="BL36" s="498">
        <v>7</v>
      </c>
    </row>
    <row r="37" spans="1:64" s="88" customFormat="1" ht="11.25" customHeight="1" x14ac:dyDescent="0.2">
      <c r="A37" s="1020" t="str">
        <f>Home!$A$35</f>
        <v>LA's provide quarterly data on the condition that it is used by the benchmarking group for internal reporting only. Please DO NOT share other LA's data with any external partners or the public</v>
      </c>
      <c r="B37" s="1021"/>
      <c r="C37" s="1021"/>
      <c r="D37" s="1021"/>
      <c r="E37" s="1021"/>
      <c r="F37" s="1021"/>
      <c r="G37" s="1021"/>
      <c r="H37" s="1021"/>
      <c r="I37" s="1022"/>
      <c r="J37" s="1021"/>
      <c r="K37" s="1021"/>
      <c r="L37" s="1021"/>
      <c r="M37" s="1021"/>
      <c r="N37" s="1021"/>
      <c r="O37" s="1021"/>
      <c r="P37" s="1021"/>
      <c r="Q37" s="1021"/>
      <c r="R37" s="1021"/>
      <c r="S37" s="1022"/>
      <c r="T37" s="1021"/>
      <c r="U37" s="1023"/>
      <c r="V37" s="152"/>
      <c r="W37" s="168"/>
      <c r="Y37" s="217"/>
      <c r="AI37" s="210"/>
      <c r="AJ37" s="178"/>
      <c r="AK37" s="101"/>
      <c r="AL37" s="419" t="s">
        <v>89</v>
      </c>
      <c r="AM37" s="420"/>
      <c r="AN37" s="420"/>
      <c r="AO37" s="420"/>
      <c r="AP37" s="420"/>
      <c r="AQ37" s="494" t="s">
        <v>95</v>
      </c>
      <c r="AR37" s="499" t="s">
        <v>155</v>
      </c>
      <c r="AS37" s="25"/>
      <c r="AT37" s="25"/>
      <c r="AU37" s="25"/>
      <c r="AV37" s="500"/>
      <c r="AW37" s="499" t="s">
        <v>156</v>
      </c>
      <c r="AX37" s="25"/>
      <c r="AY37" s="25"/>
      <c r="AZ37" s="25"/>
      <c r="BA37" s="500"/>
      <c r="BB37" s="499" t="s">
        <v>209</v>
      </c>
      <c r="BC37" s="24"/>
      <c r="BD37" s="24"/>
      <c r="BE37" s="24"/>
      <c r="BF37" s="500"/>
      <c r="BG37" s="24"/>
      <c r="BH37" s="499" t="s">
        <v>157</v>
      </c>
      <c r="BI37" s="25"/>
      <c r="BJ37" s="25"/>
      <c r="BK37" s="25"/>
      <c r="BL37" s="500"/>
    </row>
    <row r="38" spans="1:64" s="88" customFormat="1" ht="11.25" customHeight="1" x14ac:dyDescent="0.2">
      <c r="A38" s="129"/>
      <c r="B38" s="130"/>
      <c r="C38" s="130"/>
      <c r="D38" s="130"/>
      <c r="E38" s="130"/>
      <c r="F38" s="130"/>
      <c r="G38" s="130"/>
      <c r="H38" s="130"/>
      <c r="I38" s="130"/>
      <c r="J38" s="131"/>
      <c r="K38" s="130"/>
      <c r="L38" s="130"/>
      <c r="M38" s="130"/>
      <c r="N38" s="130"/>
      <c r="O38" s="130"/>
      <c r="P38" s="130"/>
      <c r="Q38" s="130"/>
      <c r="R38" s="130"/>
      <c r="S38" s="130"/>
      <c r="T38" s="130"/>
      <c r="U38" s="132"/>
      <c r="V38" s="152"/>
      <c r="W38" s="167" t="s">
        <v>102</v>
      </c>
      <c r="X38" s="224"/>
      <c r="Y38" s="224"/>
      <c r="Z38" s="224"/>
      <c r="AA38" s="224"/>
      <c r="AB38" s="224"/>
      <c r="AI38" s="210"/>
      <c r="AJ38" s="178"/>
      <c r="AK38" s="101"/>
      <c r="AL38" s="419"/>
      <c r="AM38" s="419"/>
      <c r="AN38" s="419"/>
      <c r="AO38" s="419"/>
      <c r="AP38" s="419"/>
      <c r="AQ38" s="495"/>
      <c r="AR38" s="501"/>
      <c r="AS38" s="485"/>
      <c r="AT38" s="485"/>
      <c r="AU38" s="485"/>
      <c r="AV38" s="338"/>
      <c r="AW38" s="501"/>
      <c r="AX38" s="485"/>
      <c r="AY38" s="485"/>
      <c r="AZ38" s="485"/>
      <c r="BA38" s="338"/>
      <c r="BB38" s="501"/>
      <c r="BC38" s="485"/>
      <c r="BD38" s="485"/>
      <c r="BE38" s="485"/>
      <c r="BF38" s="338"/>
      <c r="BG38" s="541"/>
      <c r="BH38" s="501"/>
      <c r="BI38" s="485"/>
      <c r="BJ38" s="485"/>
      <c r="BK38" s="485"/>
      <c r="BL38" s="338"/>
    </row>
    <row r="39" spans="1:64" s="88" customFormat="1" ht="7.5" customHeight="1" x14ac:dyDescent="0.25">
      <c r="A39" s="133"/>
      <c r="B39" s="9"/>
      <c r="C39" s="9"/>
      <c r="D39" s="9"/>
      <c r="E39" s="9"/>
      <c r="F39" s="9"/>
      <c r="G39" s="9"/>
      <c r="H39" s="9"/>
      <c r="I39" s="9"/>
      <c r="J39" s="13"/>
      <c r="K39" s="9"/>
      <c r="L39" s="9"/>
      <c r="M39" s="9"/>
      <c r="N39" s="9"/>
      <c r="O39" s="9"/>
      <c r="P39" s="9"/>
      <c r="Q39" s="9"/>
      <c r="R39" s="9"/>
      <c r="S39" s="9"/>
      <c r="T39" s="9"/>
      <c r="U39" s="134"/>
      <c r="V39" s="152"/>
      <c r="W39" s="326"/>
      <c r="X39" s="646" t="s">
        <v>30</v>
      </c>
      <c r="Y39" s="259" t="s">
        <v>8</v>
      </c>
      <c r="Z39" s="259" t="s">
        <v>103</v>
      </c>
      <c r="AA39" s="1033" t="s">
        <v>76</v>
      </c>
      <c r="AB39" s="1033" t="s">
        <v>77</v>
      </c>
      <c r="AJ39" s="178"/>
      <c r="AK39" s="101"/>
      <c r="AL39" s="419">
        <f>D8</f>
        <v>2014</v>
      </c>
      <c r="AM39" s="419">
        <f>E8</f>
        <v>2015</v>
      </c>
      <c r="AN39" s="419">
        <f>F8</f>
        <v>2016</v>
      </c>
      <c r="AO39" s="419">
        <f>G8</f>
        <v>2017</v>
      </c>
      <c r="AP39" s="419">
        <f>H8</f>
        <v>2018</v>
      </c>
      <c r="AQ39" s="495"/>
      <c r="AR39" s="501">
        <f>K8</f>
        <v>2014</v>
      </c>
      <c r="AS39" s="485">
        <f>L8</f>
        <v>2015</v>
      </c>
      <c r="AT39" s="485">
        <f>M8</f>
        <v>2016</v>
      </c>
      <c r="AU39" s="485">
        <f>N8</f>
        <v>2017</v>
      </c>
      <c r="AV39" s="338">
        <f>O8</f>
        <v>2018</v>
      </c>
      <c r="AW39" s="501">
        <f t="shared" ref="AW39:BB39" si="9">AR39</f>
        <v>2014</v>
      </c>
      <c r="AX39" s="485">
        <f t="shared" si="9"/>
        <v>2015</v>
      </c>
      <c r="AY39" s="485">
        <f t="shared" si="9"/>
        <v>2016</v>
      </c>
      <c r="AZ39" s="485">
        <f t="shared" si="9"/>
        <v>2017</v>
      </c>
      <c r="BA39" s="338">
        <f t="shared" si="9"/>
        <v>2018</v>
      </c>
      <c r="BB39" s="501">
        <f t="shared" si="9"/>
        <v>2014</v>
      </c>
      <c r="BC39" s="485">
        <f t="shared" ref="BC39:BF39" si="10">AX39</f>
        <v>2015</v>
      </c>
      <c r="BD39" s="485">
        <f t="shared" si="10"/>
        <v>2016</v>
      </c>
      <c r="BE39" s="485">
        <f t="shared" si="10"/>
        <v>2017</v>
      </c>
      <c r="BF39" s="338">
        <f t="shared" si="10"/>
        <v>2018</v>
      </c>
      <c r="BG39" s="541"/>
      <c r="BH39" s="501">
        <f>AW39</f>
        <v>2014</v>
      </c>
      <c r="BI39" s="485">
        <f t="shared" ref="BI39" si="11">AX39</f>
        <v>2015</v>
      </c>
      <c r="BJ39" s="485">
        <f t="shared" ref="BJ39" si="12">AY39</f>
        <v>2016</v>
      </c>
      <c r="BK39" s="485">
        <f t="shared" ref="BK39" si="13">AZ39</f>
        <v>2017</v>
      </c>
      <c r="BL39" s="338">
        <f t="shared" ref="BL39" si="14">BA39</f>
        <v>2018</v>
      </c>
    </row>
    <row r="40" spans="1:64" s="88" customFormat="1" ht="14.25" customHeight="1" x14ac:dyDescent="0.2">
      <c r="A40" s="135"/>
      <c r="B40" s="9"/>
      <c r="C40" s="9"/>
      <c r="D40" s="9"/>
      <c r="E40" s="9"/>
      <c r="F40" s="9"/>
      <c r="G40" s="9"/>
      <c r="H40" s="9"/>
      <c r="I40" s="9"/>
      <c r="J40" s="13"/>
      <c r="K40" s="9"/>
      <c r="L40" s="9"/>
      <c r="M40" s="9"/>
      <c r="N40" s="9"/>
      <c r="O40" s="9"/>
      <c r="P40" s="9"/>
      <c r="Q40" s="9"/>
      <c r="R40" s="9"/>
      <c r="S40" s="9"/>
      <c r="T40" s="9"/>
      <c r="U40" s="134"/>
      <c r="V40" s="152"/>
      <c r="W40" s="326"/>
      <c r="X40" s="647" t="e">
        <f ca="1">OFFSET(B8,$X$4,0)</f>
        <v>#N/A</v>
      </c>
      <c r="Y40" s="238" t="e">
        <f ca="1">OFFSET(R7,(VLOOKUP(X40,$Y$41:$Z$62,2,FALSE)),0)</f>
        <v>#N/A</v>
      </c>
      <c r="Z40" s="238" t="e">
        <f ca="1">(OFFSET(O7,(VLOOKUP(X40,$Y$41:$Z$62,2,FALSE)),0))</f>
        <v>#N/A</v>
      </c>
      <c r="AA40" s="1034"/>
      <c r="AB40" s="1034"/>
      <c r="AI40" s="642" t="b">
        <v>1</v>
      </c>
      <c r="AJ40" s="178" t="s">
        <v>0</v>
      </c>
      <c r="AK40" s="101" t="str">
        <f t="shared" ref="AK40:AK63" si="15">IF(AI40=TRUE,B9,"")</f>
        <v>Bracknell Forest</v>
      </c>
      <c r="AL40" s="164">
        <f t="shared" ref="AL40:AP62" si="16">VLOOKUP($AK40,$B$9:$O$32,AL$36,FALSE)</f>
        <v>39.852398523985237</v>
      </c>
      <c r="AM40" s="164">
        <f t="shared" si="16"/>
        <v>43.884892086330929</v>
      </c>
      <c r="AN40" s="164">
        <f t="shared" si="16"/>
        <v>40.780141843971627</v>
      </c>
      <c r="AO40" s="164">
        <f t="shared" si="16"/>
        <v>62.468942997089513</v>
      </c>
      <c r="AP40" s="164">
        <f t="shared" si="16"/>
        <v>37.4051512236828</v>
      </c>
      <c r="AQ40" s="165">
        <f>VLOOKUP(AK40,$B$9:$T$32,17,FALSE)</f>
        <v>11</v>
      </c>
      <c r="AR40" s="502">
        <f>VLOOKUP($AK40,$B$110:$H$133,AR$36,FALSE)</f>
        <v>8.5271317829457363E-2</v>
      </c>
      <c r="AS40" s="398">
        <f t="shared" ref="AS40:AV55" si="17">VLOOKUP($AK40,$B$110:$H$133,AS$36,FALSE)</f>
        <v>5.3846153846153849E-2</v>
      </c>
      <c r="AT40" s="398">
        <f t="shared" si="17"/>
        <v>0.12162162162162163</v>
      </c>
      <c r="AU40" s="398">
        <f t="shared" si="17"/>
        <v>8.9171974522292988E-2</v>
      </c>
      <c r="AV40" s="503">
        <f t="shared" si="17"/>
        <v>0</v>
      </c>
      <c r="AW40" s="502">
        <f>VLOOKUP($AK40,$B$145:$H$168,AW$36,FALSE)</f>
        <v>0.128</v>
      </c>
      <c r="AX40" s="398">
        <f t="shared" ref="AX40:BA40" si="18">VLOOKUP($AK40,$B$145:$H$168,AX$36,FALSE)</f>
        <v>0.1388888888888889</v>
      </c>
      <c r="AY40" s="398">
        <f t="shared" si="18"/>
        <v>0.24822695035460993</v>
      </c>
      <c r="AZ40" s="398">
        <f t="shared" si="18"/>
        <v>0.26146788990825687</v>
      </c>
      <c r="BA40" s="503">
        <f t="shared" si="18"/>
        <v>0.17751479289940827</v>
      </c>
      <c r="BB40" s="502" t="e">
        <f>VLOOKUP($AK40,#REF!,BB$36,FALSE)</f>
        <v>#REF!</v>
      </c>
      <c r="BC40" s="398" t="e">
        <f>VLOOKUP($AK40,#REF!,BC$36,FALSE)</f>
        <v>#REF!</v>
      </c>
      <c r="BD40" s="398" t="e">
        <f>VLOOKUP($AK40,#REF!,BD$36,FALSE)</f>
        <v>#REF!</v>
      </c>
      <c r="BE40" s="398" t="e">
        <f>VLOOKUP($AK40,#REF!,BE$36,FALSE)</f>
        <v>#REF!</v>
      </c>
      <c r="BF40" s="503" t="e">
        <f>VLOOKUP($AK40,#REF!,BF$36,FALSE)</f>
        <v>#REF!</v>
      </c>
      <c r="BG40" s="398" t="b">
        <f>IF($AK40=$Y$4,BF40)</f>
        <v>0</v>
      </c>
      <c r="BH40" s="502">
        <f t="shared" ref="BH40:BL49" si="19">VLOOKUP($AK40,$B$180:$H$203,BH$36,FALSE)</f>
        <v>1</v>
      </c>
      <c r="BI40" s="398">
        <f t="shared" si="19"/>
        <v>1</v>
      </c>
      <c r="BJ40" s="398">
        <f t="shared" si="19"/>
        <v>0.98484848484848486</v>
      </c>
      <c r="BK40" s="398">
        <f t="shared" si="19"/>
        <v>0.97727272727272729</v>
      </c>
      <c r="BL40" s="503">
        <f t="shared" si="19"/>
        <v>0.98461538461538467</v>
      </c>
    </row>
    <row r="41" spans="1:64" s="88" customFormat="1" ht="14.25" customHeight="1" x14ac:dyDescent="0.2">
      <c r="A41" s="135"/>
      <c r="B41" s="9"/>
      <c r="C41" s="9"/>
      <c r="D41" s="9"/>
      <c r="E41" s="9"/>
      <c r="F41" s="9"/>
      <c r="G41" s="9"/>
      <c r="H41" s="9"/>
      <c r="I41" s="9"/>
      <c r="J41" s="13"/>
      <c r="K41" s="9"/>
      <c r="L41" s="9"/>
      <c r="M41" s="9"/>
      <c r="N41" s="9"/>
      <c r="O41" s="9"/>
      <c r="P41" s="9"/>
      <c r="Q41" s="9"/>
      <c r="R41" s="9"/>
      <c r="S41" s="9"/>
      <c r="T41" s="9"/>
      <c r="U41" s="134"/>
      <c r="V41" s="152"/>
      <c r="W41" s="326"/>
      <c r="X41" s="647">
        <v>1</v>
      </c>
      <c r="Y41" s="50" t="str">
        <f t="shared" ref="Y41:Y64" si="20">B9</f>
        <v>Bracknell Forest</v>
      </c>
      <c r="Z41" s="45">
        <v>2</v>
      </c>
      <c r="AA41" s="46">
        <f>IF(H9&gt;0,IDACI!D9,0)</f>
        <v>23799</v>
      </c>
      <c r="AB41" s="46">
        <f>IF(H9&gt;0,IDACI!E9,0)</f>
        <v>2617.89</v>
      </c>
      <c r="AI41" s="642" t="b">
        <v>1</v>
      </c>
      <c r="AJ41" s="178" t="s">
        <v>32</v>
      </c>
      <c r="AK41" s="101" t="str">
        <f t="shared" si="15"/>
        <v>Brighton &amp; Hove</v>
      </c>
      <c r="AL41" s="164">
        <f t="shared" si="16"/>
        <v>57.029702970297031</v>
      </c>
      <c r="AM41" s="164">
        <f t="shared" si="16"/>
        <v>60.588235294117652</v>
      </c>
      <c r="AN41" s="164">
        <f t="shared" si="16"/>
        <v>76.5625</v>
      </c>
      <c r="AO41" s="164">
        <f t="shared" si="16"/>
        <v>71.566467112575808</v>
      </c>
      <c r="AP41" s="164">
        <f t="shared" si="16"/>
        <v>77.479845432612152</v>
      </c>
      <c r="AQ41" s="165">
        <f t="shared" ref="AQ41:AQ63" si="21">VLOOKUP(AK41,$B$9:$T$31,17,FALSE)</f>
        <v>18.3</v>
      </c>
      <c r="AR41" s="502">
        <f t="shared" ref="AR41:AV63" si="22">VLOOKUP($AK41,$B$110:$H$133,AR$36,FALSE)</f>
        <v>5.232558139534884E-2</v>
      </c>
      <c r="AS41" s="398">
        <f t="shared" si="17"/>
        <v>2.865329512893983E-2</v>
      </c>
      <c r="AT41" s="398">
        <f t="shared" si="17"/>
        <v>7.6704545454545456E-2</v>
      </c>
      <c r="AU41" s="398">
        <f t="shared" si="17"/>
        <v>3.2407407407407406E-2</v>
      </c>
      <c r="AV41" s="503">
        <f t="shared" si="17"/>
        <v>7.575757575757576E-2</v>
      </c>
      <c r="AW41" s="502">
        <f t="shared" ref="AW41:BA63" si="23">VLOOKUP($AK41,$B$145:$H$168,AW$36,FALSE)</f>
        <v>0.27478753541076489</v>
      </c>
      <c r="AX41" s="398">
        <f t="shared" si="23"/>
        <v>0.21832884097035041</v>
      </c>
      <c r="AY41" s="398">
        <f t="shared" si="23"/>
        <v>0.25517241379310346</v>
      </c>
      <c r="AZ41" s="398">
        <f t="shared" si="23"/>
        <v>0.21897810218978103</v>
      </c>
      <c r="BA41" s="503">
        <f t="shared" si="23"/>
        <v>0.23820754716981132</v>
      </c>
      <c r="BB41" s="502" t="e">
        <f>VLOOKUP($AK41,#REF!,BB$36,FALSE)</f>
        <v>#REF!</v>
      </c>
      <c r="BC41" s="398" t="e">
        <f>VLOOKUP($AK41,#REF!,BC$36,FALSE)</f>
        <v>#REF!</v>
      </c>
      <c r="BD41" s="398" t="e">
        <f>VLOOKUP($AK41,#REF!,BD$36,FALSE)</f>
        <v>#REF!</v>
      </c>
      <c r="BE41" s="398" t="e">
        <f>VLOOKUP($AK41,#REF!,BE$36,FALSE)</f>
        <v>#REF!</v>
      </c>
      <c r="BF41" s="503" t="e">
        <f>VLOOKUP($AK41,#REF!,BF$36,FALSE)</f>
        <v>#REF!</v>
      </c>
      <c r="BG41" s="398" t="b">
        <f t="shared" ref="BG41:BG64" si="24">IF($AK41=$Y$4,BF41)</f>
        <v>0</v>
      </c>
      <c r="BH41" s="502">
        <f t="shared" si="19"/>
        <v>0.99543378995433784</v>
      </c>
      <c r="BI41" s="398">
        <f t="shared" si="19"/>
        <v>1</v>
      </c>
      <c r="BJ41" s="398">
        <f t="shared" si="19"/>
        <v>0.98006644518272423</v>
      </c>
      <c r="BK41" s="398">
        <f t="shared" si="19"/>
        <v>0.72834645669291342</v>
      </c>
      <c r="BL41" s="503">
        <f t="shared" si="19"/>
        <v>0.99293286219081267</v>
      </c>
    </row>
    <row r="42" spans="1:64" ht="14.25" customHeight="1" x14ac:dyDescent="0.2">
      <c r="A42" s="135"/>
      <c r="B42" s="9"/>
      <c r="C42" s="9"/>
      <c r="D42" s="9"/>
      <c r="E42" s="9"/>
      <c r="F42" s="9"/>
      <c r="G42" s="9"/>
      <c r="H42" s="9"/>
      <c r="I42" s="9"/>
      <c r="J42" s="13"/>
      <c r="K42" s="9"/>
      <c r="L42" s="9"/>
      <c r="M42" s="9"/>
      <c r="N42" s="9"/>
      <c r="O42" s="9"/>
      <c r="P42" s="9"/>
      <c r="Q42" s="9"/>
      <c r="R42" s="9"/>
      <c r="S42" s="9"/>
      <c r="T42" s="9"/>
      <c r="U42" s="134"/>
      <c r="V42" s="152"/>
      <c r="W42" s="326"/>
      <c r="X42" s="647">
        <v>2</v>
      </c>
      <c r="Y42" s="50" t="str">
        <f t="shared" si="20"/>
        <v>Brighton &amp; Hove</v>
      </c>
      <c r="Z42" s="45">
        <v>3</v>
      </c>
      <c r="AA42" s="46">
        <f>IF(H10&gt;0,IDACI!D10,0)</f>
        <v>44814</v>
      </c>
      <c r="AB42" s="46">
        <f>IF(H10&gt;0,IDACI!E10,0)</f>
        <v>8200.9619999999995</v>
      </c>
      <c r="AI42" s="642" t="b">
        <v>1</v>
      </c>
      <c r="AJ42" s="178" t="s">
        <v>9</v>
      </c>
      <c r="AK42" s="101" t="str">
        <f t="shared" si="15"/>
        <v>Buckinghamshire</v>
      </c>
      <c r="AL42" s="164">
        <f t="shared" si="16"/>
        <v>20.578231292517007</v>
      </c>
      <c r="AM42" s="164">
        <f t="shared" si="16"/>
        <v>27.922624053826748</v>
      </c>
      <c r="AN42" s="164">
        <f t="shared" si="16"/>
        <v>37.645107794361529</v>
      </c>
      <c r="AO42" s="164">
        <f t="shared" si="16"/>
        <v>45.251830939814248</v>
      </c>
      <c r="AP42" s="164">
        <f t="shared" si="16"/>
        <v>51.838309973593333</v>
      </c>
      <c r="AQ42" s="165">
        <f t="shared" si="21"/>
        <v>9.8000000000000007</v>
      </c>
      <c r="AR42" s="502">
        <f t="shared" si="22"/>
        <v>9.166666666666666E-2</v>
      </c>
      <c r="AS42" s="398">
        <f t="shared" si="17"/>
        <v>2.8248587570621469E-2</v>
      </c>
      <c r="AT42" s="398">
        <f t="shared" si="17"/>
        <v>3.5490605427974949E-2</v>
      </c>
      <c r="AU42" s="398">
        <f t="shared" si="17"/>
        <v>2.3961661341853034E-2</v>
      </c>
      <c r="AV42" s="503">
        <f t="shared" si="17"/>
        <v>3.1645569620253167E-2</v>
      </c>
      <c r="AW42" s="502">
        <f t="shared" si="23"/>
        <v>0.2226027397260274</v>
      </c>
      <c r="AX42" s="398">
        <f t="shared" si="23"/>
        <v>0.16816143497757849</v>
      </c>
      <c r="AY42" s="398">
        <f t="shared" si="23"/>
        <v>0.19281045751633988</v>
      </c>
      <c r="AZ42" s="398">
        <f t="shared" si="23"/>
        <v>0.14344827586206896</v>
      </c>
      <c r="BA42" s="503">
        <f t="shared" si="23"/>
        <v>0.18784530386740331</v>
      </c>
      <c r="BB42" s="502" t="e">
        <f>VLOOKUP($AK42,#REF!,BB$36,FALSE)</f>
        <v>#REF!</v>
      </c>
      <c r="BC42" s="398" t="e">
        <f>VLOOKUP($AK42,#REF!,BC$36,FALSE)</f>
        <v>#REF!</v>
      </c>
      <c r="BD42" s="398" t="e">
        <f>VLOOKUP($AK42,#REF!,BD$36,FALSE)</f>
        <v>#REF!</v>
      </c>
      <c r="BE42" s="398" t="e">
        <f>VLOOKUP($AK42,#REF!,BE$36,FALSE)</f>
        <v>#REF!</v>
      </c>
      <c r="BF42" s="503" t="e">
        <f>VLOOKUP($AK42,#REF!,BF$36,FALSE)</f>
        <v>#REF!</v>
      </c>
      <c r="BG42" s="398" t="b">
        <f t="shared" si="24"/>
        <v>0</v>
      </c>
      <c r="BH42" s="502">
        <f t="shared" si="19"/>
        <v>0.79374999999999996</v>
      </c>
      <c r="BI42" s="398">
        <f t="shared" si="19"/>
        <v>0.78801843317972353</v>
      </c>
      <c r="BJ42" s="398">
        <f t="shared" si="19"/>
        <v>0.9285714285714286</v>
      </c>
      <c r="BK42" s="398">
        <f t="shared" si="19"/>
        <v>0.84571428571428575</v>
      </c>
      <c r="BL42" s="503">
        <f t="shared" si="19"/>
        <v>0.87885010266940455</v>
      </c>
    </row>
    <row r="43" spans="1:64" ht="14.25" customHeight="1" x14ac:dyDescent="0.2">
      <c r="A43" s="135"/>
      <c r="B43" s="9"/>
      <c r="C43" s="9"/>
      <c r="D43" s="9"/>
      <c r="E43" s="9"/>
      <c r="F43" s="9"/>
      <c r="G43" s="9"/>
      <c r="H43" s="9"/>
      <c r="I43" s="9"/>
      <c r="J43" s="13"/>
      <c r="K43" s="14"/>
      <c r="L43" s="14"/>
      <c r="M43" s="14"/>
      <c r="N43" s="14"/>
      <c r="O43" s="15"/>
      <c r="P43" s="15"/>
      <c r="Q43" s="15"/>
      <c r="R43" s="15"/>
      <c r="S43" s="15"/>
      <c r="T43" s="15"/>
      <c r="U43" s="134"/>
      <c r="V43" s="152"/>
      <c r="W43" s="326"/>
      <c r="X43" s="647">
        <v>3</v>
      </c>
      <c r="Y43" s="50" t="str">
        <f t="shared" si="20"/>
        <v>Buckinghamshire</v>
      </c>
      <c r="Z43" s="45">
        <v>4</v>
      </c>
      <c r="AA43" s="46">
        <f>IF(H11&gt;0,IDACI!D11,0)</f>
        <v>103548</v>
      </c>
      <c r="AB43" s="46">
        <f>IF(H11&gt;0,IDACI!E11,0)</f>
        <v>10147.704</v>
      </c>
      <c r="AI43" s="642" t="b">
        <v>1</v>
      </c>
      <c r="AJ43" s="178" t="s">
        <v>4</v>
      </c>
      <c r="AK43" s="101" t="str">
        <f t="shared" si="15"/>
        <v>East Sussex</v>
      </c>
      <c r="AL43" s="164">
        <f t="shared" si="16"/>
        <v>58.492366412213741</v>
      </c>
      <c r="AM43" s="164">
        <f t="shared" si="16"/>
        <v>44.497153700189756</v>
      </c>
      <c r="AN43" s="164">
        <f t="shared" si="16"/>
        <v>43.059490084985839</v>
      </c>
      <c r="AO43" s="164">
        <f t="shared" si="16"/>
        <v>44.843896037687756</v>
      </c>
      <c r="AP43" s="164">
        <f t="shared" si="16"/>
        <v>52.807770286199251</v>
      </c>
      <c r="AQ43" s="165">
        <f t="shared" si="21"/>
        <v>17.399999999999999</v>
      </c>
      <c r="AR43" s="502">
        <f t="shared" si="22"/>
        <v>0.10039370078740158</v>
      </c>
      <c r="AS43" s="398">
        <f t="shared" si="17"/>
        <v>0.10641399416909621</v>
      </c>
      <c r="AT43" s="398">
        <f t="shared" si="17"/>
        <v>7.4626865671641784E-2</v>
      </c>
      <c r="AU43" s="398">
        <f t="shared" si="17"/>
        <v>8.8709677419354843E-2</v>
      </c>
      <c r="AV43" s="503">
        <f t="shared" si="17"/>
        <v>9.0740740740740747E-2</v>
      </c>
      <c r="AW43" s="502">
        <f t="shared" si="23"/>
        <v>0.19618055555555555</v>
      </c>
      <c r="AX43" s="398">
        <f t="shared" si="23"/>
        <v>0.20446096654275092</v>
      </c>
      <c r="AY43" s="398">
        <f t="shared" si="23"/>
        <v>0.24943820224719102</v>
      </c>
      <c r="AZ43" s="398">
        <f t="shared" si="23"/>
        <v>0.28298279158699807</v>
      </c>
      <c r="BA43" s="503">
        <f t="shared" si="23"/>
        <v>0.25</v>
      </c>
      <c r="BB43" s="502" t="e">
        <f>VLOOKUP($AK43,#REF!,BB$36,FALSE)</f>
        <v>#REF!</v>
      </c>
      <c r="BC43" s="398" t="e">
        <f>VLOOKUP($AK43,#REF!,BC$36,FALSE)</f>
        <v>#REF!</v>
      </c>
      <c r="BD43" s="398" t="e">
        <f>VLOOKUP($AK43,#REF!,BD$36,FALSE)</f>
        <v>#REF!</v>
      </c>
      <c r="BE43" s="398" t="e">
        <f>VLOOKUP($AK43,#REF!,BE$36,FALSE)</f>
        <v>#REF!</v>
      </c>
      <c r="BF43" s="503" t="e">
        <f>VLOOKUP($AK43,#REF!,BF$36,FALSE)</f>
        <v>#REF!</v>
      </c>
      <c r="BG43" s="398" t="b">
        <f t="shared" si="24"/>
        <v>0</v>
      </c>
      <c r="BH43" s="502">
        <f t="shared" si="19"/>
        <v>0.99564270152505452</v>
      </c>
      <c r="BI43" s="398">
        <f t="shared" si="19"/>
        <v>0.99212598425196852</v>
      </c>
      <c r="BJ43" s="398">
        <f t="shared" si="19"/>
        <v>0.97667638483965014</v>
      </c>
      <c r="BK43" s="398">
        <f t="shared" si="19"/>
        <v>0.92121212121212126</v>
      </c>
      <c r="BL43" s="503">
        <f t="shared" si="19"/>
        <v>0.90600522193211486</v>
      </c>
    </row>
    <row r="44" spans="1:64" s="82" customFormat="1" ht="14.25" customHeight="1" x14ac:dyDescent="0.2">
      <c r="A44" s="136"/>
      <c r="B44" s="256"/>
      <c r="C44" s="256"/>
      <c r="D44" s="257"/>
      <c r="E44" s="257"/>
      <c r="F44" s="257"/>
      <c r="G44" s="257"/>
      <c r="H44" s="257"/>
      <c r="I44" s="257"/>
      <c r="J44" s="16"/>
      <c r="K44" s="9"/>
      <c r="L44" s="9"/>
      <c r="M44" s="9"/>
      <c r="N44" s="9"/>
      <c r="O44" s="9"/>
      <c r="P44" s="9"/>
      <c r="Q44" s="9"/>
      <c r="R44" s="9"/>
      <c r="S44" s="9"/>
      <c r="T44" s="9"/>
      <c r="U44" s="137"/>
      <c r="V44" s="153"/>
      <c r="W44" s="327"/>
      <c r="X44" s="647">
        <v>4</v>
      </c>
      <c r="Y44" s="50" t="str">
        <f t="shared" si="20"/>
        <v>East Sussex</v>
      </c>
      <c r="Z44" s="45">
        <v>5</v>
      </c>
      <c r="AA44" s="46">
        <f>IF(H12&gt;0,IDACI!D12,0)</f>
        <v>91918</v>
      </c>
      <c r="AB44" s="46">
        <f>IF(H12&gt;0,IDACI!E12,0)</f>
        <v>15993.731999999998</v>
      </c>
      <c r="AC44" s="88"/>
      <c r="AD44" s="88"/>
      <c r="AE44" s="88"/>
      <c r="AF44" s="88"/>
      <c r="AG44" s="88"/>
      <c r="AH44" s="88"/>
      <c r="AI44" s="642" t="b">
        <v>1</v>
      </c>
      <c r="AJ44" s="178" t="s">
        <v>6</v>
      </c>
      <c r="AK44" s="101" t="str">
        <f t="shared" si="15"/>
        <v>Hampshire</v>
      </c>
      <c r="AL44" s="164">
        <f t="shared" si="16"/>
        <v>39.411138701667255</v>
      </c>
      <c r="AM44" s="164">
        <f t="shared" si="16"/>
        <v>48.099467140319717</v>
      </c>
      <c r="AN44" s="164">
        <f t="shared" si="16"/>
        <v>51.117417523944667</v>
      </c>
      <c r="AO44" s="164">
        <f t="shared" si="16"/>
        <v>44.661958831787437</v>
      </c>
      <c r="AP44" s="164">
        <f t="shared" si="16"/>
        <v>45.673704793974181</v>
      </c>
      <c r="AQ44" s="165">
        <f t="shared" si="21"/>
        <v>11.799999999999999</v>
      </c>
      <c r="AR44" s="502">
        <f t="shared" si="22"/>
        <v>3.1662269129287601E-2</v>
      </c>
      <c r="AS44" s="398">
        <f t="shared" si="17"/>
        <v>2.7112232030264818E-2</v>
      </c>
      <c r="AT44" s="398">
        <f t="shared" si="17"/>
        <v>4.1009463722397478E-2</v>
      </c>
      <c r="AU44" s="398">
        <f t="shared" si="17"/>
        <v>4.8891415577032402E-2</v>
      </c>
      <c r="AV44" s="503">
        <f t="shared" si="17"/>
        <v>7.1952031978680886E-2</v>
      </c>
      <c r="AW44" s="502">
        <f t="shared" si="23"/>
        <v>0.17388059701492536</v>
      </c>
      <c r="AX44" s="398">
        <f t="shared" si="23"/>
        <v>0.1632208922742111</v>
      </c>
      <c r="AY44" s="398">
        <f t="shared" si="23"/>
        <v>0.20095693779904306</v>
      </c>
      <c r="AZ44" s="398">
        <f t="shared" si="23"/>
        <v>0.24273072060682679</v>
      </c>
      <c r="BA44" s="503">
        <f t="shared" si="23"/>
        <v>0.23046875</v>
      </c>
      <c r="BB44" s="502" t="e">
        <f>VLOOKUP($AK44,#REF!,BB$36,FALSE)</f>
        <v>#REF!</v>
      </c>
      <c r="BC44" s="398" t="e">
        <f>VLOOKUP($AK44,#REF!,BC$36,FALSE)</f>
        <v>#REF!</v>
      </c>
      <c r="BD44" s="398" t="e">
        <f>VLOOKUP($AK44,#REF!,BD$36,FALSE)</f>
        <v>#REF!</v>
      </c>
      <c r="BE44" s="398" t="e">
        <f>VLOOKUP($AK44,#REF!,BE$36,FALSE)</f>
        <v>#REF!</v>
      </c>
      <c r="BF44" s="503" t="e">
        <f>VLOOKUP($AK44,#REF!,BF$36,FALSE)</f>
        <v>#REF!</v>
      </c>
      <c r="BG44" s="398" t="b">
        <f t="shared" si="24"/>
        <v>0</v>
      </c>
      <c r="BH44" s="502">
        <f t="shared" si="19"/>
        <v>0.86363636363636365</v>
      </c>
      <c r="BI44" s="398">
        <f t="shared" si="19"/>
        <v>0.8628691983122363</v>
      </c>
      <c r="BJ44" s="398">
        <f t="shared" si="19"/>
        <v>0.88361683079677711</v>
      </c>
      <c r="BK44" s="398">
        <f t="shared" si="19"/>
        <v>0.87581699346405228</v>
      </c>
      <c r="BL44" s="503">
        <f t="shared" si="19"/>
        <v>0.80021030494216616</v>
      </c>
    </row>
    <row r="45" spans="1:64" ht="14.25" customHeight="1" x14ac:dyDescent="0.2">
      <c r="A45" s="135"/>
      <c r="B45" s="257"/>
      <c r="C45" s="257"/>
      <c r="D45" s="257"/>
      <c r="E45" s="257"/>
      <c r="F45" s="257"/>
      <c r="G45" s="257"/>
      <c r="H45" s="257"/>
      <c r="I45" s="257"/>
      <c r="J45" s="13"/>
      <c r="K45" s="15"/>
      <c r="L45" s="15"/>
      <c r="M45" s="15"/>
      <c r="N45" s="15"/>
      <c r="O45" s="9"/>
      <c r="P45" s="9"/>
      <c r="Q45" s="9"/>
      <c r="R45" s="9"/>
      <c r="S45" s="9"/>
      <c r="T45" s="9"/>
      <c r="U45" s="134"/>
      <c r="V45" s="152"/>
      <c r="W45" s="326"/>
      <c r="X45" s="647">
        <v>5</v>
      </c>
      <c r="Y45" s="50" t="str">
        <f t="shared" si="20"/>
        <v>Hampshire</v>
      </c>
      <c r="Z45" s="45">
        <v>6</v>
      </c>
      <c r="AA45" s="46">
        <f>IF(H13&gt;0,IDACI!D13,0)</f>
        <v>247800</v>
      </c>
      <c r="AB45" s="46">
        <f>IF(H13&gt;0,IDACI!E13,0)</f>
        <v>29240.399999999998</v>
      </c>
      <c r="AI45" s="642" t="b">
        <v>1</v>
      </c>
      <c r="AJ45" s="178" t="s">
        <v>1</v>
      </c>
      <c r="AK45" s="101" t="str">
        <f t="shared" si="15"/>
        <v>Isle of Wight</v>
      </c>
      <c r="AL45" s="164">
        <f t="shared" si="16"/>
        <v>63.565891472868216</v>
      </c>
      <c r="AM45" s="164">
        <f t="shared" si="16"/>
        <v>99.607843137254903</v>
      </c>
      <c r="AN45" s="164">
        <f t="shared" si="16"/>
        <v>84.584980237154156</v>
      </c>
      <c r="AO45" s="164">
        <f t="shared" si="16"/>
        <v>78.968253968253975</v>
      </c>
      <c r="AP45" s="164">
        <f t="shared" si="16"/>
        <v>77.030532827778885</v>
      </c>
      <c r="AQ45" s="165">
        <f t="shared" si="21"/>
        <v>20.399999999999999</v>
      </c>
      <c r="AR45" s="502" t="e">
        <f t="shared" si="22"/>
        <v>#N/A</v>
      </c>
      <c r="AS45" s="398">
        <f t="shared" si="17"/>
        <v>3.608247422680412E-2</v>
      </c>
      <c r="AT45" s="398">
        <f t="shared" si="17"/>
        <v>4.5180722891566265E-2</v>
      </c>
      <c r="AU45" s="398">
        <f t="shared" si="17"/>
        <v>3.6885245901639344E-2</v>
      </c>
      <c r="AV45" s="503">
        <f t="shared" si="17"/>
        <v>5.7777777777777775E-2</v>
      </c>
      <c r="AW45" s="502">
        <f t="shared" si="23"/>
        <v>0.14634146341463414</v>
      </c>
      <c r="AX45" s="398">
        <f t="shared" si="23"/>
        <v>0.15438596491228071</v>
      </c>
      <c r="AY45" s="398">
        <f t="shared" si="23"/>
        <v>0.14726027397260275</v>
      </c>
      <c r="AZ45" s="398">
        <f t="shared" si="23"/>
        <v>0.20779220779220781</v>
      </c>
      <c r="BA45" s="503">
        <f t="shared" si="23"/>
        <v>0.23287671232876711</v>
      </c>
      <c r="BB45" s="502" t="e">
        <f>VLOOKUP($AK45,#REF!,BB$36,FALSE)</f>
        <v>#REF!</v>
      </c>
      <c r="BC45" s="398" t="e">
        <f>VLOOKUP($AK45,#REF!,BC$36,FALSE)</f>
        <v>#REF!</v>
      </c>
      <c r="BD45" s="398" t="e">
        <f>VLOOKUP($AK45,#REF!,BD$36,FALSE)</f>
        <v>#REF!</v>
      </c>
      <c r="BE45" s="398" t="e">
        <f>VLOOKUP($AK45,#REF!,BE$36,FALSE)</f>
        <v>#REF!</v>
      </c>
      <c r="BF45" s="503" t="e">
        <f>VLOOKUP($AK45,#REF!,BF$36,FALSE)</f>
        <v>#REF!</v>
      </c>
      <c r="BG45" s="398" t="b">
        <f t="shared" si="24"/>
        <v>0</v>
      </c>
      <c r="BH45" s="502">
        <f t="shared" si="19"/>
        <v>0.97029702970297027</v>
      </c>
      <c r="BI45" s="398">
        <f t="shared" si="19"/>
        <v>0.88775510204081631</v>
      </c>
      <c r="BJ45" s="398">
        <f t="shared" si="19"/>
        <v>0.97241379310344822</v>
      </c>
      <c r="BK45" s="398">
        <f t="shared" si="19"/>
        <v>0.875</v>
      </c>
      <c r="BL45" s="503">
        <f t="shared" si="19"/>
        <v>0.95394736842105265</v>
      </c>
    </row>
    <row r="46" spans="1:64" ht="14.25" customHeight="1" x14ac:dyDescent="0.2">
      <c r="A46" s="135"/>
      <c r="B46" s="257"/>
      <c r="C46" s="257"/>
      <c r="D46" s="257"/>
      <c r="E46" s="257"/>
      <c r="F46" s="257"/>
      <c r="G46" s="257"/>
      <c r="H46" s="257"/>
      <c r="I46" s="257"/>
      <c r="J46" s="13"/>
      <c r="K46" s="15"/>
      <c r="L46" s="15"/>
      <c r="M46" s="15"/>
      <c r="N46" s="15"/>
      <c r="O46" s="9"/>
      <c r="P46" s="9"/>
      <c r="Q46" s="9"/>
      <c r="R46" s="9"/>
      <c r="S46" s="9"/>
      <c r="T46" s="9"/>
      <c r="U46" s="134"/>
      <c r="V46" s="152"/>
      <c r="W46" s="326"/>
      <c r="X46" s="647">
        <v>6</v>
      </c>
      <c r="Y46" s="50" t="str">
        <f t="shared" si="20"/>
        <v>Isle of Wight</v>
      </c>
      <c r="Z46" s="45">
        <v>7</v>
      </c>
      <c r="AA46" s="46">
        <f>IF(H14&gt;0,IDACI!D14,0)</f>
        <v>22502</v>
      </c>
      <c r="AB46" s="46">
        <f>IF(H14&gt;0,IDACI!E14,0)</f>
        <v>4590.4079999999994</v>
      </c>
      <c r="AC46" s="239"/>
      <c r="AI46" s="642" t="b">
        <v>1</v>
      </c>
      <c r="AJ46" s="178" t="s">
        <v>10</v>
      </c>
      <c r="AK46" s="101" t="str">
        <f t="shared" si="15"/>
        <v>Kent</v>
      </c>
      <c r="AL46" s="164">
        <f t="shared" si="16"/>
        <v>36.578624078624081</v>
      </c>
      <c r="AM46" s="164">
        <f t="shared" si="16"/>
        <v>37.831251903746576</v>
      </c>
      <c r="AN46" s="164">
        <f t="shared" si="16"/>
        <v>31.74939467312349</v>
      </c>
      <c r="AO46" s="164">
        <f t="shared" si="16"/>
        <v>35.58077737242715</v>
      </c>
      <c r="AP46" s="164">
        <f t="shared" si="16"/>
        <v>43.500252908447145</v>
      </c>
      <c r="AQ46" s="165">
        <f t="shared" si="21"/>
        <v>17.8</v>
      </c>
      <c r="AR46" s="502">
        <f t="shared" si="22"/>
        <v>4.9050632911392403E-2</v>
      </c>
      <c r="AS46" s="398">
        <f t="shared" si="17"/>
        <v>2.176696542893726E-2</v>
      </c>
      <c r="AT46" s="398">
        <f t="shared" si="17"/>
        <v>2.911978821972204E-2</v>
      </c>
      <c r="AU46" s="398">
        <f t="shared" si="17"/>
        <v>3.7800687285223365E-2</v>
      </c>
      <c r="AV46" s="503">
        <f t="shared" si="17"/>
        <v>4.1309431021044424E-2</v>
      </c>
      <c r="AW46" s="502">
        <f t="shared" si="23"/>
        <v>0.18113975576662145</v>
      </c>
      <c r="AX46" s="398">
        <f t="shared" si="23"/>
        <v>0.18411330049261085</v>
      </c>
      <c r="AY46" s="398">
        <f t="shared" si="23"/>
        <v>0.20090978013646701</v>
      </c>
      <c r="AZ46" s="398">
        <f t="shared" si="23"/>
        <v>0.19384615384615383</v>
      </c>
      <c r="BA46" s="503">
        <f t="shared" si="23"/>
        <v>0.20397690827453496</v>
      </c>
      <c r="BB46" s="502" t="e">
        <f>VLOOKUP($AK46,#REF!,BB$36,FALSE)</f>
        <v>#REF!</v>
      </c>
      <c r="BC46" s="398" t="e">
        <f>VLOOKUP($AK46,#REF!,BC$36,FALSE)</f>
        <v>#REF!</v>
      </c>
      <c r="BD46" s="398" t="e">
        <f>VLOOKUP($AK46,#REF!,BD$36,FALSE)</f>
        <v>#REF!</v>
      </c>
      <c r="BE46" s="398" t="e">
        <f>VLOOKUP($AK46,#REF!,BE$36,FALSE)</f>
        <v>#REF!</v>
      </c>
      <c r="BF46" s="503" t="e">
        <f>VLOOKUP($AK46,#REF!,BF$36,FALSE)</f>
        <v>#REF!</v>
      </c>
      <c r="BG46" s="398" t="b">
        <f t="shared" si="24"/>
        <v>0</v>
      </c>
      <c r="BH46" s="502">
        <f t="shared" si="19"/>
        <v>0.95764705882352941</v>
      </c>
      <c r="BI46" s="398">
        <f t="shared" si="19"/>
        <v>0.99395405078597343</v>
      </c>
      <c r="BJ46" s="398">
        <f t="shared" si="19"/>
        <v>1</v>
      </c>
      <c r="BK46" s="398">
        <f t="shared" si="19"/>
        <v>1</v>
      </c>
      <c r="BL46" s="503">
        <f t="shared" si="19"/>
        <v>0.99653078924544669</v>
      </c>
    </row>
    <row r="47" spans="1:64" ht="14.25" customHeight="1" x14ac:dyDescent="0.2">
      <c r="A47" s="135"/>
      <c r="B47" s="58"/>
      <c r="C47" s="58"/>
      <c r="D47" s="58"/>
      <c r="E47" s="58"/>
      <c r="F47" s="58"/>
      <c r="G47" s="58"/>
      <c r="H47" s="58"/>
      <c r="I47" s="58"/>
      <c r="J47" s="13"/>
      <c r="K47" s="15"/>
      <c r="L47" s="15"/>
      <c r="M47" s="15"/>
      <c r="N47" s="15"/>
      <c r="O47" s="9"/>
      <c r="P47" s="9"/>
      <c r="Q47" s="9"/>
      <c r="R47" s="9"/>
      <c r="S47" s="9"/>
      <c r="T47" s="9"/>
      <c r="U47" s="134"/>
      <c r="V47" s="152"/>
      <c r="W47" s="326"/>
      <c r="X47" s="647">
        <v>7</v>
      </c>
      <c r="Y47" s="50" t="str">
        <f t="shared" si="20"/>
        <v>Kent</v>
      </c>
      <c r="Z47" s="45">
        <v>8</v>
      </c>
      <c r="AA47" s="46">
        <f>IF(H15&gt;0,IDACI!D15,0)</f>
        <v>286168</v>
      </c>
      <c r="AB47" s="46">
        <f>IF(H15&gt;0,IDACI!E15,0)</f>
        <v>50937.904000000002</v>
      </c>
      <c r="AC47" s="210"/>
      <c r="AI47" s="642" t="b">
        <v>1</v>
      </c>
      <c r="AJ47" s="178" t="s">
        <v>2</v>
      </c>
      <c r="AK47" s="101" t="str">
        <f t="shared" si="15"/>
        <v>Medway</v>
      </c>
      <c r="AL47" s="164">
        <f t="shared" si="16"/>
        <v>58.116883116883123</v>
      </c>
      <c r="AM47" s="164">
        <f t="shared" si="16"/>
        <v>76</v>
      </c>
      <c r="AN47" s="164">
        <f t="shared" si="16"/>
        <v>85.284810126582272</v>
      </c>
      <c r="AO47" s="164">
        <f t="shared" si="16"/>
        <v>49.138891941535711</v>
      </c>
      <c r="AP47" s="164">
        <f t="shared" si="16"/>
        <v>53.797913766948689</v>
      </c>
      <c r="AQ47" s="165">
        <f t="shared" si="21"/>
        <v>22</v>
      </c>
      <c r="AR47" s="502">
        <f t="shared" si="22"/>
        <v>8.6580086580086577E-2</v>
      </c>
      <c r="AS47" s="398">
        <f t="shared" si="17"/>
        <v>5.2132701421800945E-2</v>
      </c>
      <c r="AT47" s="398">
        <f t="shared" si="17"/>
        <v>4.4715447154471545E-2</v>
      </c>
      <c r="AU47" s="398">
        <f t="shared" si="17"/>
        <v>5.9782608695652176E-2</v>
      </c>
      <c r="AV47" s="503">
        <f t="shared" si="17"/>
        <v>5.089820359281437E-2</v>
      </c>
      <c r="AW47" s="502">
        <f t="shared" si="23"/>
        <v>0.14948453608247422</v>
      </c>
      <c r="AX47" s="398">
        <f t="shared" si="23"/>
        <v>0.14842300556586271</v>
      </c>
      <c r="AY47" s="398">
        <f t="shared" si="23"/>
        <v>0.18165467625899281</v>
      </c>
      <c r="AZ47" s="398">
        <f t="shared" si="23"/>
        <v>0.2073170731707317</v>
      </c>
      <c r="BA47" s="503">
        <f t="shared" si="23"/>
        <v>0.22465753424657534</v>
      </c>
      <c r="BB47" s="502" t="e">
        <f>VLOOKUP($AK47,#REF!,BB$36,FALSE)</f>
        <v>#REF!</v>
      </c>
      <c r="BC47" s="398" t="e">
        <f>VLOOKUP($AK47,#REF!,BC$36,FALSE)</f>
        <v>#REF!</v>
      </c>
      <c r="BD47" s="398" t="e">
        <f>VLOOKUP($AK47,#REF!,BD$36,FALSE)</f>
        <v>#REF!</v>
      </c>
      <c r="BE47" s="398" t="e">
        <f>VLOOKUP($AK47,#REF!,BE$36,FALSE)</f>
        <v>#REF!</v>
      </c>
      <c r="BF47" s="503" t="e">
        <f>VLOOKUP($AK47,#REF!,BF$36,FALSE)</f>
        <v>#REF!</v>
      </c>
      <c r="BG47" s="398" t="b">
        <f t="shared" si="24"/>
        <v>0</v>
      </c>
      <c r="BH47" s="502">
        <f t="shared" si="19"/>
        <v>0.97424892703862664</v>
      </c>
      <c r="BI47" s="398">
        <f t="shared" si="19"/>
        <v>0.96296296296296291</v>
      </c>
      <c r="BJ47" s="398">
        <f t="shared" si="19"/>
        <v>0.98987341772151893</v>
      </c>
      <c r="BK47" s="398">
        <f t="shared" si="19"/>
        <v>0.97844827586206895</v>
      </c>
      <c r="BL47" s="503">
        <f t="shared" si="19"/>
        <v>0.9507575757575758</v>
      </c>
    </row>
    <row r="48" spans="1:64" ht="14.25" customHeight="1" x14ac:dyDescent="0.2">
      <c r="A48" s="135"/>
      <c r="B48" s="58"/>
      <c r="C48" s="58"/>
      <c r="D48" s="69"/>
      <c r="E48" s="70"/>
      <c r="F48" s="69"/>
      <c r="G48" s="70"/>
      <c r="H48" s="70"/>
      <c r="I48" s="70"/>
      <c r="J48" s="13"/>
      <c r="K48" s="15"/>
      <c r="L48" s="15"/>
      <c r="M48" s="15"/>
      <c r="N48" s="15"/>
      <c r="O48" s="9"/>
      <c r="P48" s="9"/>
      <c r="Q48" s="9"/>
      <c r="R48" s="9"/>
      <c r="S48" s="9"/>
      <c r="T48" s="9"/>
      <c r="U48" s="134"/>
      <c r="V48" s="152"/>
      <c r="W48" s="326"/>
      <c r="X48" s="647">
        <v>8</v>
      </c>
      <c r="Y48" s="50" t="str">
        <f t="shared" si="20"/>
        <v>Medway</v>
      </c>
      <c r="Z48" s="45">
        <v>9</v>
      </c>
      <c r="AA48" s="46">
        <f>IF(H16&gt;0,IDACI!D16,0)</f>
        <v>54280</v>
      </c>
      <c r="AB48" s="46">
        <f>IF(H16&gt;0,IDACI!E16,0)</f>
        <v>11941.6</v>
      </c>
      <c r="AI48" s="642" t="b">
        <v>1</v>
      </c>
      <c r="AJ48" s="178" t="s">
        <v>11</v>
      </c>
      <c r="AK48" s="101" t="str">
        <f t="shared" si="15"/>
        <v>Milton Keynes</v>
      </c>
      <c r="AL48" s="164">
        <f t="shared" si="16"/>
        <v>5.15625</v>
      </c>
      <c r="AM48" s="164">
        <f t="shared" si="16"/>
        <v>8.7423312883435589</v>
      </c>
      <c r="AN48" s="164">
        <f t="shared" si="16"/>
        <v>13.918305597579424</v>
      </c>
      <c r="AO48" s="164">
        <f t="shared" si="16"/>
        <v>13.403627915289071</v>
      </c>
      <c r="AP48" s="164">
        <f t="shared" si="16"/>
        <v>15.373926412109924</v>
      </c>
      <c r="AQ48" s="165">
        <f t="shared" si="21"/>
        <v>19.7</v>
      </c>
      <c r="AR48" s="502">
        <f t="shared" si="22"/>
        <v>0</v>
      </c>
      <c r="AS48" s="398">
        <f t="shared" si="17"/>
        <v>0</v>
      </c>
      <c r="AT48" s="398" t="e">
        <f t="shared" si="17"/>
        <v>#N/A</v>
      </c>
      <c r="AU48" s="398">
        <f t="shared" si="17"/>
        <v>0</v>
      </c>
      <c r="AV48" s="503">
        <f t="shared" si="17"/>
        <v>0</v>
      </c>
      <c r="AW48" s="502" t="e">
        <f t="shared" si="23"/>
        <v>#N/A</v>
      </c>
      <c r="AX48" s="398">
        <f t="shared" si="23"/>
        <v>8.247422680412371E-2</v>
      </c>
      <c r="AY48" s="398" t="e">
        <f t="shared" si="23"/>
        <v>#N/A</v>
      </c>
      <c r="AZ48" s="398">
        <f t="shared" si="23"/>
        <v>8.6956521739130432E-2</v>
      </c>
      <c r="BA48" s="503">
        <f t="shared" si="23"/>
        <v>8.0246913580246909E-2</v>
      </c>
      <c r="BB48" s="502" t="e">
        <f>VLOOKUP($AK48,#REF!,BB$36,FALSE)</f>
        <v>#REF!</v>
      </c>
      <c r="BC48" s="398" t="e">
        <f>VLOOKUP($AK48,#REF!,BC$36,FALSE)</f>
        <v>#REF!</v>
      </c>
      <c r="BD48" s="398" t="e">
        <f>VLOOKUP($AK48,#REF!,BD$36,FALSE)</f>
        <v>#REF!</v>
      </c>
      <c r="BE48" s="398" t="e">
        <f>VLOOKUP($AK48,#REF!,BE$36,FALSE)</f>
        <v>#REF!</v>
      </c>
      <c r="BF48" s="503" t="e">
        <f>VLOOKUP($AK48,#REF!,BF$36,FALSE)</f>
        <v>#REF!</v>
      </c>
      <c r="BG48" s="398" t="b">
        <f t="shared" si="24"/>
        <v>0</v>
      </c>
      <c r="BH48" s="502">
        <f t="shared" si="19"/>
        <v>1</v>
      </c>
      <c r="BI48" s="398">
        <f t="shared" si="19"/>
        <v>1</v>
      </c>
      <c r="BJ48" s="398">
        <f t="shared" si="19"/>
        <v>0.95652173913043481</v>
      </c>
      <c r="BK48" s="398">
        <f t="shared" si="19"/>
        <v>1</v>
      </c>
      <c r="BL48" s="503">
        <f t="shared" si="19"/>
        <v>0.98529411764705888</v>
      </c>
    </row>
    <row r="49" spans="1:64" ht="14.25" customHeight="1" x14ac:dyDescent="0.2">
      <c r="A49" s="135"/>
      <c r="B49" s="58"/>
      <c r="C49" s="58"/>
      <c r="D49" s="62"/>
      <c r="E49" s="62"/>
      <c r="F49" s="62"/>
      <c r="G49" s="62"/>
      <c r="H49" s="62"/>
      <c r="I49" s="62"/>
      <c r="J49" s="13"/>
      <c r="K49" s="15"/>
      <c r="L49" s="15"/>
      <c r="M49" s="15"/>
      <c r="N49" s="15"/>
      <c r="O49" s="9"/>
      <c r="P49" s="9"/>
      <c r="Q49" s="9"/>
      <c r="R49" s="9"/>
      <c r="S49" s="9"/>
      <c r="T49" s="9"/>
      <c r="U49" s="134"/>
      <c r="V49" s="152"/>
      <c r="W49" s="326"/>
      <c r="X49" s="647">
        <v>9</v>
      </c>
      <c r="Y49" s="50" t="str">
        <f t="shared" si="20"/>
        <v>Milton Keynes</v>
      </c>
      <c r="Z49" s="45">
        <v>10</v>
      </c>
      <c r="AA49" s="46">
        <f>IF(H17&gt;0,IDACI!D17,0)</f>
        <v>56637</v>
      </c>
      <c r="AB49" s="46">
        <f>IF(H17&gt;0,IDACI!E17,0)</f>
        <v>11157.489</v>
      </c>
      <c r="AI49" s="642" t="b">
        <v>1</v>
      </c>
      <c r="AJ49" s="178" t="s">
        <v>12</v>
      </c>
      <c r="AK49" s="101" t="str">
        <f t="shared" si="15"/>
        <v>Oxfordshire</v>
      </c>
      <c r="AL49" s="164">
        <f t="shared" si="16"/>
        <v>35.923022095509623</v>
      </c>
      <c r="AM49" s="164">
        <f t="shared" si="16"/>
        <v>40.297450424929174</v>
      </c>
      <c r="AN49" s="164">
        <f t="shared" si="16"/>
        <v>40.267983074753175</v>
      </c>
      <c r="AO49" s="164">
        <f t="shared" si="16"/>
        <v>42.618109547436269</v>
      </c>
      <c r="AP49" s="164">
        <f t="shared" si="16"/>
        <v>47.893254510470989</v>
      </c>
      <c r="AQ49" s="165">
        <f t="shared" si="21"/>
        <v>11.799999999999999</v>
      </c>
      <c r="AR49" s="502">
        <f t="shared" si="22"/>
        <v>9.3439363817097415E-2</v>
      </c>
      <c r="AS49" s="398">
        <f t="shared" si="17"/>
        <v>6.32688927943761E-2</v>
      </c>
      <c r="AT49" s="398">
        <f t="shared" si="17"/>
        <v>4.9645390070921988E-2</v>
      </c>
      <c r="AU49" s="398">
        <f t="shared" si="17"/>
        <v>4.4619422572178477E-2</v>
      </c>
      <c r="AV49" s="503">
        <f t="shared" si="17"/>
        <v>4.0935672514619881E-2</v>
      </c>
      <c r="AW49" s="502">
        <f t="shared" si="23"/>
        <v>0.21588946459412781</v>
      </c>
      <c r="AX49" s="398">
        <f t="shared" si="23"/>
        <v>0.16561514195583596</v>
      </c>
      <c r="AY49" s="398">
        <f t="shared" si="23"/>
        <v>0.2132768361581921</v>
      </c>
      <c r="AZ49" s="398">
        <f t="shared" si="23"/>
        <v>0.18375</v>
      </c>
      <c r="BA49" s="503">
        <f t="shared" si="23"/>
        <v>0.23415265200517466</v>
      </c>
      <c r="BB49" s="502" t="e">
        <f>VLOOKUP($AK49,#REF!,BB$36,FALSE)</f>
        <v>#REF!</v>
      </c>
      <c r="BC49" s="398" t="e">
        <f>VLOOKUP($AK49,#REF!,BC$36,FALSE)</f>
        <v>#REF!</v>
      </c>
      <c r="BD49" s="398" t="e">
        <f>VLOOKUP($AK49,#REF!,BD$36,FALSE)</f>
        <v>#REF!</v>
      </c>
      <c r="BE49" s="398" t="e">
        <f>VLOOKUP($AK49,#REF!,BE$36,FALSE)</f>
        <v>#REF!</v>
      </c>
      <c r="BF49" s="503" t="e">
        <f>VLOOKUP($AK49,#REF!,BF$36,FALSE)</f>
        <v>#REF!</v>
      </c>
      <c r="BG49" s="398" t="b">
        <f t="shared" si="24"/>
        <v>0</v>
      </c>
      <c r="BH49" s="502">
        <f t="shared" si="19"/>
        <v>0.96927374301675973</v>
      </c>
      <c r="BI49" s="398">
        <f t="shared" si="19"/>
        <v>0.95454545454545459</v>
      </c>
      <c r="BJ49" s="398">
        <f t="shared" si="19"/>
        <v>0.95674300254452926</v>
      </c>
      <c r="BK49" s="398">
        <f t="shared" si="19"/>
        <v>0.97136038186157514</v>
      </c>
      <c r="BL49" s="503">
        <f t="shared" si="19"/>
        <v>0.93724696356275305</v>
      </c>
    </row>
    <row r="50" spans="1:64" ht="14.25" customHeight="1" x14ac:dyDescent="0.2">
      <c r="A50" s="135"/>
      <c r="B50" s="415"/>
      <c r="C50" s="415"/>
      <c r="D50" s="58"/>
      <c r="E50" s="58"/>
      <c r="F50" s="58"/>
      <c r="G50" s="58"/>
      <c r="H50" s="58"/>
      <c r="I50" s="58"/>
      <c r="J50" s="13"/>
      <c r="K50" s="15"/>
      <c r="L50" s="15"/>
      <c r="M50" s="15"/>
      <c r="N50" s="15"/>
      <c r="O50" s="9"/>
      <c r="P50" s="9"/>
      <c r="Q50" s="9"/>
      <c r="R50" s="9"/>
      <c r="S50" s="9"/>
      <c r="T50" s="9"/>
      <c r="U50" s="134"/>
      <c r="V50" s="152"/>
      <c r="W50" s="326"/>
      <c r="X50" s="647">
        <v>10</v>
      </c>
      <c r="Y50" s="50" t="str">
        <f t="shared" si="20"/>
        <v>Oxfordshire</v>
      </c>
      <c r="Z50" s="45">
        <v>11</v>
      </c>
      <c r="AA50" s="46">
        <f>IF(H18&gt;0,IDACI!D18,0)</f>
        <v>123975</v>
      </c>
      <c r="AB50" s="46">
        <f>IF(H18&gt;0,IDACI!E18,0)</f>
        <v>14629.05</v>
      </c>
      <c r="AI50" s="642" t="b">
        <v>1</v>
      </c>
      <c r="AJ50" s="178" t="s">
        <v>13</v>
      </c>
      <c r="AK50" s="101" t="str">
        <f t="shared" si="15"/>
        <v>Portsmouth</v>
      </c>
      <c r="AL50" s="164">
        <f t="shared" si="16"/>
        <v>54.929577464788736</v>
      </c>
      <c r="AM50" s="164">
        <f t="shared" si="16"/>
        <v>53.456221198156683</v>
      </c>
      <c r="AN50" s="164">
        <f t="shared" si="16"/>
        <v>62.785388127853878</v>
      </c>
      <c r="AO50" s="164">
        <f t="shared" si="16"/>
        <v>55</v>
      </c>
      <c r="AP50" s="164">
        <f t="shared" si="16"/>
        <v>64.717595944967414</v>
      </c>
      <c r="AQ50" s="165">
        <f t="shared" si="21"/>
        <v>23.799999999999997</v>
      </c>
      <c r="AR50" s="502">
        <f t="shared" si="22"/>
        <v>0.1099476439790576</v>
      </c>
      <c r="AS50" s="398">
        <f t="shared" si="17"/>
        <v>8.984375E-2</v>
      </c>
      <c r="AT50" s="398" t="e">
        <f t="shared" si="17"/>
        <v>#N/A</v>
      </c>
      <c r="AU50" s="398">
        <f t="shared" si="17"/>
        <v>3.9473684210526314E-2</v>
      </c>
      <c r="AV50" s="503">
        <f t="shared" si="17"/>
        <v>5.8091286307053944E-2</v>
      </c>
      <c r="AW50" s="502">
        <f t="shared" si="23"/>
        <v>0.10743801652892562</v>
      </c>
      <c r="AX50" s="398">
        <f t="shared" si="23"/>
        <v>0.18217054263565891</v>
      </c>
      <c r="AY50" s="398">
        <f t="shared" si="23"/>
        <v>0.20202020202020202</v>
      </c>
      <c r="AZ50" s="398">
        <f t="shared" si="23"/>
        <v>0.2029520295202952</v>
      </c>
      <c r="BA50" s="503">
        <f t="shared" si="23"/>
        <v>0.25964912280701752</v>
      </c>
      <c r="BB50" s="502" t="e">
        <f>VLOOKUP($AK50,#REF!,BB$36,FALSE)</f>
        <v>#REF!</v>
      </c>
      <c r="BC50" s="398" t="e">
        <f>VLOOKUP($AK50,#REF!,BC$36,FALSE)</f>
        <v>#REF!</v>
      </c>
      <c r="BD50" s="398" t="e">
        <f>VLOOKUP($AK50,#REF!,BD$36,FALSE)</f>
        <v>#REF!</v>
      </c>
      <c r="BE50" s="398" t="e">
        <f>VLOOKUP($AK50,#REF!,BE$36,FALSE)</f>
        <v>#REF!</v>
      </c>
      <c r="BF50" s="503" t="e">
        <f>VLOOKUP($AK50,#REF!,BF$36,FALSE)</f>
        <v>#REF!</v>
      </c>
      <c r="BG50" s="398" t="b">
        <f t="shared" si="24"/>
        <v>0</v>
      </c>
      <c r="BH50" s="502">
        <f t="shared" ref="BH50:BL63" si="25">VLOOKUP($AK50,$B$180:$H$203,BH$36,FALSE)</f>
        <v>1</v>
      </c>
      <c r="BI50" s="398">
        <f t="shared" si="25"/>
        <v>0.99397590361445787</v>
      </c>
      <c r="BJ50" s="398">
        <f t="shared" si="25"/>
        <v>0.93577981651376152</v>
      </c>
      <c r="BK50" s="398">
        <f t="shared" si="25"/>
        <v>0.99425287356321834</v>
      </c>
      <c r="BL50" s="503">
        <f t="shared" si="25"/>
        <v>1</v>
      </c>
    </row>
    <row r="51" spans="1:64" ht="14.25" customHeight="1" x14ac:dyDescent="0.2">
      <c r="A51" s="135"/>
      <c r="B51" s="415"/>
      <c r="C51" s="415"/>
      <c r="D51" s="58"/>
      <c r="E51" s="58"/>
      <c r="F51" s="58"/>
      <c r="G51" s="58"/>
      <c r="H51" s="58"/>
      <c r="I51" s="58"/>
      <c r="J51" s="13"/>
      <c r="K51" s="15"/>
      <c r="L51" s="15"/>
      <c r="M51" s="15"/>
      <c r="N51" s="15"/>
      <c r="O51" s="9"/>
      <c r="P51" s="9"/>
      <c r="Q51" s="9"/>
      <c r="R51" s="9"/>
      <c r="S51" s="9"/>
      <c r="T51" s="9"/>
      <c r="U51" s="134"/>
      <c r="V51" s="152"/>
      <c r="W51" s="326"/>
      <c r="X51" s="647">
        <v>11</v>
      </c>
      <c r="Y51" s="50" t="str">
        <f t="shared" si="20"/>
        <v>Portsmouth</v>
      </c>
      <c r="Z51" s="45">
        <v>12</v>
      </c>
      <c r="AA51" s="46">
        <f>IF(H19&gt;0,IDACI!D19,0)</f>
        <v>37912</v>
      </c>
      <c r="AB51" s="46">
        <f>IF(H19&gt;0,IDACI!E19,0)</f>
        <v>9023.0559999999987</v>
      </c>
      <c r="AI51" s="642" t="b">
        <v>1</v>
      </c>
      <c r="AJ51" s="178" t="s">
        <v>3</v>
      </c>
      <c r="AK51" s="101" t="str">
        <f t="shared" si="15"/>
        <v>Reading</v>
      </c>
      <c r="AL51" s="164">
        <f t="shared" si="16"/>
        <v>44.380403458213252</v>
      </c>
      <c r="AM51" s="164">
        <f t="shared" si="16"/>
        <v>56.824512534818943</v>
      </c>
      <c r="AN51" s="164">
        <f t="shared" si="16"/>
        <v>69.230769230769226</v>
      </c>
      <c r="AO51" s="164">
        <f t="shared" si="16"/>
        <v>95.248492126306601</v>
      </c>
      <c r="AP51" s="164">
        <f t="shared" si="16"/>
        <v>78.181867198662829</v>
      </c>
      <c r="AQ51" s="165">
        <f t="shared" si="21"/>
        <v>19.8</v>
      </c>
      <c r="AR51" s="502">
        <f t="shared" si="22"/>
        <v>8.45771144278607E-2</v>
      </c>
      <c r="AS51" s="398">
        <f t="shared" si="17"/>
        <v>6.9306930693069313E-2</v>
      </c>
      <c r="AT51" s="398">
        <f t="shared" si="17"/>
        <v>3.1358885017421602E-2</v>
      </c>
      <c r="AU51" s="398">
        <f t="shared" si="17"/>
        <v>2.6229508196721311E-2</v>
      </c>
      <c r="AV51" s="503">
        <f t="shared" si="17"/>
        <v>3.6764705882352942E-2</v>
      </c>
      <c r="AW51" s="502">
        <f t="shared" si="23"/>
        <v>0.21105527638190955</v>
      </c>
      <c r="AX51" s="398">
        <f t="shared" si="23"/>
        <v>0.23809523809523808</v>
      </c>
      <c r="AY51" s="398">
        <f t="shared" si="23"/>
        <v>0.21791044776119403</v>
      </c>
      <c r="AZ51" s="398">
        <f t="shared" si="23"/>
        <v>0.28878281622911695</v>
      </c>
      <c r="BA51" s="503">
        <f t="shared" si="23"/>
        <v>0.17714285714285713</v>
      </c>
      <c r="BB51" s="502" t="e">
        <f>VLOOKUP($AK51,#REF!,BB$36,FALSE)</f>
        <v>#REF!</v>
      </c>
      <c r="BC51" s="398" t="e">
        <f>VLOOKUP($AK51,#REF!,BC$36,FALSE)</f>
        <v>#REF!</v>
      </c>
      <c r="BD51" s="398" t="e">
        <f>VLOOKUP($AK51,#REF!,BD$36,FALSE)</f>
        <v>#REF!</v>
      </c>
      <c r="BE51" s="398" t="e">
        <f>VLOOKUP($AK51,#REF!,BE$36,FALSE)</f>
        <v>#REF!</v>
      </c>
      <c r="BF51" s="503" t="e">
        <f>VLOOKUP($AK51,#REF!,BF$36,FALSE)</f>
        <v>#REF!</v>
      </c>
      <c r="BG51" s="398" t="b">
        <f t="shared" si="24"/>
        <v>0</v>
      </c>
      <c r="BH51" s="502">
        <f t="shared" si="25"/>
        <v>0.97478991596638653</v>
      </c>
      <c r="BI51" s="398">
        <f t="shared" si="25"/>
        <v>0.9850746268656716</v>
      </c>
      <c r="BJ51" s="398">
        <f t="shared" si="25"/>
        <v>0.78523489932885904</v>
      </c>
      <c r="BK51" s="398">
        <f t="shared" si="25"/>
        <v>3.3898305084745763E-2</v>
      </c>
      <c r="BL51" s="503">
        <f t="shared" si="25"/>
        <v>0.7142857142857143</v>
      </c>
    </row>
    <row r="52" spans="1:64" ht="14.25" customHeight="1" x14ac:dyDescent="0.2">
      <c r="A52" s="135"/>
      <c r="B52" s="415"/>
      <c r="C52" s="415"/>
      <c r="D52" s="58"/>
      <c r="E52" s="58"/>
      <c r="F52" s="58"/>
      <c r="G52" s="58"/>
      <c r="H52" s="58"/>
      <c r="I52" s="58"/>
      <c r="J52" s="13"/>
      <c r="K52" s="15"/>
      <c r="L52" s="15"/>
      <c r="M52" s="15"/>
      <c r="N52" s="15"/>
      <c r="O52" s="9"/>
      <c r="P52" s="9"/>
      <c r="Q52" s="9"/>
      <c r="R52" s="9"/>
      <c r="S52" s="9"/>
      <c r="T52" s="9"/>
      <c r="U52" s="134"/>
      <c r="V52" s="152"/>
      <c r="W52" s="326"/>
      <c r="X52" s="647">
        <v>12</v>
      </c>
      <c r="Y52" s="50" t="str">
        <f t="shared" si="20"/>
        <v>Reading</v>
      </c>
      <c r="Z52" s="45">
        <v>13</v>
      </c>
      <c r="AA52" s="46">
        <f>IF(H20&gt;0,IDACI!D20,0)</f>
        <v>30916</v>
      </c>
      <c r="AB52" s="46">
        <f>IF(H20&gt;0,IDACI!E20,0)</f>
        <v>6121.3680000000004</v>
      </c>
      <c r="AI52" s="642" t="b">
        <v>1</v>
      </c>
      <c r="AJ52" s="178" t="s">
        <v>14</v>
      </c>
      <c r="AK52" s="101" t="str">
        <f t="shared" si="15"/>
        <v>Slough</v>
      </c>
      <c r="AL52" s="164">
        <f t="shared" si="16"/>
        <v>65.552699228791781</v>
      </c>
      <c r="AM52" s="164">
        <f t="shared" si="16"/>
        <v>28.07017543859649</v>
      </c>
      <c r="AN52" s="164">
        <f t="shared" si="16"/>
        <v>56.650246305418719</v>
      </c>
      <c r="AO52" s="164">
        <f t="shared" si="16"/>
        <v>36.951166497609044</v>
      </c>
      <c r="AP52" s="164">
        <f t="shared" si="16"/>
        <v>38.169748696064481</v>
      </c>
      <c r="AQ52" s="165">
        <f t="shared" si="21"/>
        <v>19.5</v>
      </c>
      <c r="AR52" s="502">
        <f t="shared" si="22"/>
        <v>5.4054054054054057E-2</v>
      </c>
      <c r="AS52" s="398" t="e">
        <f t="shared" si="17"/>
        <v>#N/A</v>
      </c>
      <c r="AT52" s="398" t="e">
        <f t="shared" si="17"/>
        <v>#N/A</v>
      </c>
      <c r="AU52" s="398" t="e">
        <f t="shared" si="17"/>
        <v>#N/A</v>
      </c>
      <c r="AV52" s="503" t="e">
        <f t="shared" si="17"/>
        <v>#N/A</v>
      </c>
      <c r="AW52" s="502">
        <f t="shared" si="23"/>
        <v>0.19346049046321526</v>
      </c>
      <c r="AX52" s="398">
        <f t="shared" si="23"/>
        <v>0.14450867052023122</v>
      </c>
      <c r="AY52" s="398">
        <f t="shared" si="23"/>
        <v>0.16772151898734178</v>
      </c>
      <c r="AZ52" s="398">
        <f t="shared" si="23"/>
        <v>0.22602739726027396</v>
      </c>
      <c r="BA52" s="503">
        <f t="shared" si="23"/>
        <v>0.23333333333333334</v>
      </c>
      <c r="BB52" s="502" t="e">
        <f>VLOOKUP($AK52,#REF!,BB$36,FALSE)</f>
        <v>#REF!</v>
      </c>
      <c r="BC52" s="398" t="e">
        <f>VLOOKUP($AK52,#REF!,BC$36,FALSE)</f>
        <v>#REF!</v>
      </c>
      <c r="BD52" s="398" t="e">
        <f>VLOOKUP($AK52,#REF!,BD$36,FALSE)</f>
        <v>#REF!</v>
      </c>
      <c r="BE52" s="398" t="e">
        <f>VLOOKUP($AK52,#REF!,BE$36,FALSE)</f>
        <v>#REF!</v>
      </c>
      <c r="BF52" s="503" t="e">
        <f>VLOOKUP($AK52,#REF!,BF$36,FALSE)</f>
        <v>#REF!</v>
      </c>
      <c r="BG52" s="398" t="b">
        <f t="shared" si="24"/>
        <v>0</v>
      </c>
      <c r="BH52" s="502">
        <f t="shared" si="25"/>
        <v>0.87012987012987009</v>
      </c>
      <c r="BI52" s="398">
        <f t="shared" si="25"/>
        <v>0.81333333333333335</v>
      </c>
      <c r="BJ52" s="398">
        <f t="shared" si="25"/>
        <v>0.96062992125984248</v>
      </c>
      <c r="BK52" s="398">
        <f t="shared" si="25"/>
        <v>0.9642857142857143</v>
      </c>
      <c r="BL52" s="503">
        <f t="shared" si="25"/>
        <v>0.39175257731958762</v>
      </c>
    </row>
    <row r="53" spans="1:64" ht="14.25" customHeight="1" x14ac:dyDescent="0.2">
      <c r="A53" s="135"/>
      <c r="B53" s="415"/>
      <c r="C53" s="415"/>
      <c r="D53" s="58"/>
      <c r="E53" s="58"/>
      <c r="F53" s="58"/>
      <c r="G53" s="58"/>
      <c r="H53" s="58"/>
      <c r="I53" s="58"/>
      <c r="J53" s="13"/>
      <c r="K53" s="15"/>
      <c r="L53" s="15"/>
      <c r="M53" s="15"/>
      <c r="N53" s="15"/>
      <c r="O53" s="9"/>
      <c r="P53" s="9"/>
      <c r="Q53" s="9"/>
      <c r="R53" s="9"/>
      <c r="S53" s="9"/>
      <c r="T53" s="9"/>
      <c r="U53" s="134"/>
      <c r="V53" s="152"/>
      <c r="W53" s="326"/>
      <c r="X53" s="647">
        <v>13</v>
      </c>
      <c r="Y53" s="50" t="str">
        <f t="shared" si="20"/>
        <v>Slough</v>
      </c>
      <c r="Z53" s="45">
        <v>14</v>
      </c>
      <c r="AA53" s="46">
        <f>IF(H21&gt;0,IDACI!D21,0)</f>
        <v>34703</v>
      </c>
      <c r="AB53" s="46">
        <f>IF(H21&gt;0,IDACI!E21,0)</f>
        <v>6767.085</v>
      </c>
      <c r="AI53" s="642" t="b">
        <v>1</v>
      </c>
      <c r="AJ53" s="178" t="s">
        <v>93</v>
      </c>
      <c r="AK53" s="101" t="str">
        <f t="shared" si="15"/>
        <v>Somerset</v>
      </c>
      <c r="AL53" s="164">
        <f t="shared" si="16"/>
        <v>37.867647058823529</v>
      </c>
      <c r="AM53" s="164">
        <f t="shared" si="16"/>
        <v>47.933884297520663</v>
      </c>
      <c r="AN53" s="164">
        <f t="shared" si="16"/>
        <v>25.641025641025642</v>
      </c>
      <c r="AO53" s="164">
        <f t="shared" si="16"/>
        <v>37.66289429767366</v>
      </c>
      <c r="AP53" s="164">
        <f t="shared" si="16"/>
        <v>38.879401184549977</v>
      </c>
      <c r="AQ53" s="165">
        <f t="shared" si="21"/>
        <v>14.8</v>
      </c>
      <c r="AR53" s="502">
        <f t="shared" si="22"/>
        <v>1.804123711340206E-2</v>
      </c>
      <c r="AS53" s="398">
        <f t="shared" si="17"/>
        <v>3.3268101761252444E-2</v>
      </c>
      <c r="AT53" s="398">
        <f t="shared" si="17"/>
        <v>4.7473200612557429E-2</v>
      </c>
      <c r="AU53" s="398">
        <f t="shared" si="17"/>
        <v>0.02</v>
      </c>
      <c r="AV53" s="503">
        <f t="shared" si="17"/>
        <v>1.1857707509881422E-2</v>
      </c>
      <c r="AW53" s="502">
        <f t="shared" si="23"/>
        <v>0.12857142857142856</v>
      </c>
      <c r="AX53" s="398">
        <f t="shared" si="23"/>
        <v>0.19935691318327975</v>
      </c>
      <c r="AY53" s="398">
        <f t="shared" si="23"/>
        <v>0.25304136253041365</v>
      </c>
      <c r="AZ53" s="398">
        <f t="shared" si="23"/>
        <v>0.1934931506849315</v>
      </c>
      <c r="BA53" s="503">
        <f t="shared" si="23"/>
        <v>0.21132075471698114</v>
      </c>
      <c r="BB53" s="502" t="e">
        <f>VLOOKUP($AK53,#REF!,BB$36,FALSE)</f>
        <v>#REF!</v>
      </c>
      <c r="BC53" s="398" t="e">
        <f>VLOOKUP($AK53,#REF!,BC$36,FALSE)</f>
        <v>#REF!</v>
      </c>
      <c r="BD53" s="398" t="e">
        <f>VLOOKUP($AK53,#REF!,BD$36,FALSE)</f>
        <v>#REF!</v>
      </c>
      <c r="BE53" s="398" t="e">
        <f>VLOOKUP($AK53,#REF!,BE$36,FALSE)</f>
        <v>#REF!</v>
      </c>
      <c r="BF53" s="503" t="e">
        <f>VLOOKUP($AK53,#REF!,BF$36,FALSE)</f>
        <v>#REF!</v>
      </c>
      <c r="BG53" s="398" t="b">
        <f t="shared" si="24"/>
        <v>0</v>
      </c>
      <c r="BH53" s="502">
        <f t="shared" si="25"/>
        <v>1</v>
      </c>
      <c r="BI53" s="398">
        <f t="shared" si="25"/>
        <v>1</v>
      </c>
      <c r="BJ53" s="398">
        <f t="shared" si="25"/>
        <v>0.9732620320855615</v>
      </c>
      <c r="BK53" s="398">
        <f t="shared" si="25"/>
        <v>0.95528455284552849</v>
      </c>
      <c r="BL53" s="503">
        <f t="shared" si="25"/>
        <v>0.96065573770491808</v>
      </c>
    </row>
    <row r="54" spans="1:64" ht="14.25" customHeight="1" x14ac:dyDescent="0.2">
      <c r="A54" s="135"/>
      <c r="B54" s="415"/>
      <c r="C54" s="415"/>
      <c r="D54" s="58"/>
      <c r="E54" s="58"/>
      <c r="F54" s="58"/>
      <c r="G54" s="58"/>
      <c r="H54" s="58"/>
      <c r="I54" s="58"/>
      <c r="J54" s="13"/>
      <c r="K54" s="15"/>
      <c r="L54" s="15"/>
      <c r="M54" s="15"/>
      <c r="N54" s="15"/>
      <c r="O54" s="9"/>
      <c r="P54" s="9"/>
      <c r="Q54" s="9"/>
      <c r="R54" s="9"/>
      <c r="S54" s="9"/>
      <c r="T54" s="9"/>
      <c r="U54" s="134"/>
      <c r="V54" s="152"/>
      <c r="W54" s="326"/>
      <c r="X54" s="647">
        <v>14</v>
      </c>
      <c r="Y54" s="50" t="str">
        <f t="shared" si="20"/>
        <v>Somerset</v>
      </c>
      <c r="Z54" s="45">
        <v>15</v>
      </c>
      <c r="AA54" s="46">
        <f>IF(H22&gt;0,IDACI!D22,0)</f>
        <v>94797</v>
      </c>
      <c r="AB54" s="46">
        <f>IF(H22&gt;0,IDACI!E22,0)</f>
        <v>14029.956000000002</v>
      </c>
      <c r="AI54" s="642" t="b">
        <v>1</v>
      </c>
      <c r="AJ54" s="178" t="s">
        <v>15</v>
      </c>
      <c r="AK54" s="101" t="str">
        <f t="shared" si="15"/>
        <v>Southampton</v>
      </c>
      <c r="AL54" s="164">
        <f t="shared" si="16"/>
        <v>49.789029535864984</v>
      </c>
      <c r="AM54" s="164">
        <f t="shared" si="16"/>
        <v>66.666666666666671</v>
      </c>
      <c r="AN54" s="164">
        <f t="shared" si="16"/>
        <v>67.682926829268297</v>
      </c>
      <c r="AO54" s="164">
        <f t="shared" si="16"/>
        <v>55.309512835414118</v>
      </c>
      <c r="AP54" s="164">
        <f t="shared" si="16"/>
        <v>64.407116588808265</v>
      </c>
      <c r="AQ54" s="165">
        <f t="shared" si="21"/>
        <v>25</v>
      </c>
      <c r="AR54" s="502">
        <f t="shared" si="22"/>
        <v>1.6260162601626018E-2</v>
      </c>
      <c r="AS54" s="398">
        <f t="shared" si="17"/>
        <v>0</v>
      </c>
      <c r="AT54" s="398">
        <f t="shared" si="17"/>
        <v>1.0849909584086799E-2</v>
      </c>
      <c r="AU54" s="398">
        <f t="shared" si="17"/>
        <v>4.2452830188679243E-2</v>
      </c>
      <c r="AV54" s="503">
        <f t="shared" si="17"/>
        <v>3.0612244897959183E-2</v>
      </c>
      <c r="AW54" s="502">
        <f t="shared" si="23"/>
        <v>0.15549597855227881</v>
      </c>
      <c r="AX54" s="398">
        <f t="shared" si="23"/>
        <v>3.6363636363636362E-2</v>
      </c>
      <c r="AY54" s="398">
        <f t="shared" si="23"/>
        <v>0.29591836734693877</v>
      </c>
      <c r="AZ54" s="398">
        <f t="shared" si="23"/>
        <v>0.28496042216358841</v>
      </c>
      <c r="BA54" s="503">
        <f t="shared" si="23"/>
        <v>0.30626450116009279</v>
      </c>
      <c r="BB54" s="502" t="e">
        <f>VLOOKUP($AK54,#REF!,BB$36,FALSE)</f>
        <v>#REF!</v>
      </c>
      <c r="BC54" s="398" t="e">
        <f>VLOOKUP($AK54,#REF!,BC$36,FALSE)</f>
        <v>#REF!</v>
      </c>
      <c r="BD54" s="398" t="e">
        <f>VLOOKUP($AK54,#REF!,BD$36,FALSE)</f>
        <v>#REF!</v>
      </c>
      <c r="BE54" s="398" t="e">
        <f>VLOOKUP($AK54,#REF!,BE$36,FALSE)</f>
        <v>#REF!</v>
      </c>
      <c r="BF54" s="503" t="e">
        <f>VLOOKUP($AK54,#REF!,BF$36,FALSE)</f>
        <v>#REF!</v>
      </c>
      <c r="BG54" s="398" t="b">
        <f t="shared" si="24"/>
        <v>0</v>
      </c>
      <c r="BH54" s="502" t="e">
        <f t="shared" si="25"/>
        <v>#N/A</v>
      </c>
      <c r="BI54" s="398">
        <f t="shared" si="25"/>
        <v>0.73300970873786409</v>
      </c>
      <c r="BJ54" s="398">
        <f t="shared" si="25"/>
        <v>0.72</v>
      </c>
      <c r="BK54" s="398">
        <f t="shared" si="25"/>
        <v>0.75</v>
      </c>
      <c r="BL54" s="503">
        <f t="shared" si="25"/>
        <v>0.72033898305084743</v>
      </c>
    </row>
    <row r="55" spans="1:64" ht="14.25" customHeight="1" x14ac:dyDescent="0.2">
      <c r="A55" s="135"/>
      <c r="B55" s="415"/>
      <c r="C55" s="415"/>
      <c r="D55" s="58"/>
      <c r="E55" s="58"/>
      <c r="F55" s="58"/>
      <c r="G55" s="58"/>
      <c r="H55" s="58"/>
      <c r="I55" s="58"/>
      <c r="J55" s="13"/>
      <c r="K55" s="15"/>
      <c r="L55" s="15"/>
      <c r="M55" s="15"/>
      <c r="N55" s="15"/>
      <c r="O55" s="9"/>
      <c r="P55" s="9"/>
      <c r="Q55" s="9"/>
      <c r="R55" s="9"/>
      <c r="S55" s="9"/>
      <c r="T55" s="9"/>
      <c r="U55" s="134"/>
      <c r="V55" s="152"/>
      <c r="W55" s="326"/>
      <c r="X55" s="647">
        <v>15</v>
      </c>
      <c r="Y55" s="50" t="str">
        <f t="shared" si="20"/>
        <v>Southampton</v>
      </c>
      <c r="Z55" s="45">
        <v>16</v>
      </c>
      <c r="AA55" s="46">
        <f>IF(H23&gt;0,IDACI!D23,0)</f>
        <v>42079</v>
      </c>
      <c r="AB55" s="46">
        <f>IF(H23&gt;0,IDACI!E23,0)</f>
        <v>10519.75</v>
      </c>
      <c r="AI55" s="642" t="b">
        <v>1</v>
      </c>
      <c r="AJ55" s="178" t="s">
        <v>7</v>
      </c>
      <c r="AK55" s="101" t="str">
        <f t="shared" si="15"/>
        <v>Surrey</v>
      </c>
      <c r="AL55" s="164">
        <f t="shared" si="16"/>
        <v>36.706349206349209</v>
      </c>
      <c r="AM55" s="164">
        <f t="shared" si="16"/>
        <v>39.080911233307155</v>
      </c>
      <c r="AN55" s="164">
        <f t="shared" si="16"/>
        <v>34.360374414976597</v>
      </c>
      <c r="AO55" s="164">
        <f t="shared" si="16"/>
        <v>32.548388217715129</v>
      </c>
      <c r="AP55" s="164">
        <f t="shared" si="16"/>
        <v>38.262807091680912</v>
      </c>
      <c r="AQ55" s="165">
        <f t="shared" si="21"/>
        <v>9.7000000000000011</v>
      </c>
      <c r="AR55" s="502">
        <f t="shared" si="22"/>
        <v>6.7669172932330823E-2</v>
      </c>
      <c r="AS55" s="398">
        <f t="shared" si="17"/>
        <v>6.5261044176706834E-2</v>
      </c>
      <c r="AT55" s="398">
        <f t="shared" si="17"/>
        <v>9.8654708520179366E-2</v>
      </c>
      <c r="AU55" s="398">
        <f t="shared" si="17"/>
        <v>5.5762081784386616E-2</v>
      </c>
      <c r="AV55" s="503">
        <f t="shared" si="17"/>
        <v>6.0544904137235116E-2</v>
      </c>
      <c r="AW55" s="502">
        <f t="shared" si="23"/>
        <v>0.20165460186142709</v>
      </c>
      <c r="AX55" s="398">
        <f t="shared" si="23"/>
        <v>0.17011278195488722</v>
      </c>
      <c r="AY55" s="398">
        <f t="shared" si="23"/>
        <v>0.23084577114427859</v>
      </c>
      <c r="AZ55" s="398">
        <f t="shared" si="23"/>
        <v>0.22447013487475914</v>
      </c>
      <c r="BA55" s="503">
        <f t="shared" si="23"/>
        <v>0.24413553431798435</v>
      </c>
      <c r="BB55" s="502" t="e">
        <f>VLOOKUP($AK55,#REF!,BB$36,FALSE)</f>
        <v>#REF!</v>
      </c>
      <c r="BC55" s="398" t="e">
        <f>VLOOKUP($AK55,#REF!,BC$36,FALSE)</f>
        <v>#REF!</v>
      </c>
      <c r="BD55" s="398" t="e">
        <f>VLOOKUP($AK55,#REF!,BD$36,FALSE)</f>
        <v>#REF!</v>
      </c>
      <c r="BE55" s="398" t="e">
        <f>VLOOKUP($AK55,#REF!,BE$36,FALSE)</f>
        <v>#REF!</v>
      </c>
      <c r="BF55" s="503" t="e">
        <f>VLOOKUP($AK55,#REF!,BF$36,FALSE)</f>
        <v>#REF!</v>
      </c>
      <c r="BG55" s="398" t="b">
        <f t="shared" si="24"/>
        <v>0</v>
      </c>
      <c r="BH55" s="502">
        <f t="shared" si="25"/>
        <v>0.93993993993993996</v>
      </c>
      <c r="BI55" s="398">
        <f t="shared" si="25"/>
        <v>0.851123595505618</v>
      </c>
      <c r="BJ55" s="398">
        <f t="shared" si="25"/>
        <v>0.97249190938511332</v>
      </c>
      <c r="BK55" s="398">
        <f t="shared" si="25"/>
        <v>0.97734627831715215</v>
      </c>
      <c r="BL55" s="503">
        <f t="shared" si="25"/>
        <v>0.95</v>
      </c>
    </row>
    <row r="56" spans="1:64" ht="14.25" customHeight="1" x14ac:dyDescent="0.2">
      <c r="A56" s="309"/>
      <c r="B56" s="415"/>
      <c r="C56" s="415"/>
      <c r="D56" s="58"/>
      <c r="E56" s="58"/>
      <c r="F56" s="58"/>
      <c r="G56" s="58"/>
      <c r="H56" s="58"/>
      <c r="I56" s="58"/>
      <c r="J56" s="13"/>
      <c r="K56" s="15"/>
      <c r="L56" s="15"/>
      <c r="M56" s="15"/>
      <c r="N56" s="15"/>
      <c r="O56" s="9"/>
      <c r="P56" s="9"/>
      <c r="Q56" s="9"/>
      <c r="R56" s="9"/>
      <c r="S56" s="9"/>
      <c r="T56" s="9"/>
      <c r="U56" s="134"/>
      <c r="V56" s="152"/>
      <c r="W56" s="326"/>
      <c r="X56" s="647">
        <v>16</v>
      </c>
      <c r="Y56" s="50" t="str">
        <f t="shared" si="20"/>
        <v>Surrey</v>
      </c>
      <c r="Z56" s="45">
        <v>17</v>
      </c>
      <c r="AA56" s="46">
        <f>IF(H24&gt;0,IDACI!D24,0)</f>
        <v>221989</v>
      </c>
      <c r="AB56" s="46">
        <f>IF(H24&gt;0,IDACI!E24,0)</f>
        <v>21532.933000000005</v>
      </c>
      <c r="AI56" s="642" t="b">
        <v>1</v>
      </c>
      <c r="AJ56" s="178" t="s">
        <v>116</v>
      </c>
      <c r="AK56" s="101" t="str">
        <f t="shared" si="15"/>
        <v>Swindon</v>
      </c>
      <c r="AL56" s="164">
        <f t="shared" si="16"/>
        <v>44.676409185803763</v>
      </c>
      <c r="AM56" s="164">
        <f t="shared" si="16"/>
        <v>43.827160493827158</v>
      </c>
      <c r="AN56" s="164">
        <f t="shared" si="16"/>
        <v>48.571428571428569</v>
      </c>
      <c r="AO56" s="164">
        <f t="shared" si="16"/>
        <v>49.330799401560796</v>
      </c>
      <c r="AP56" s="164">
        <f t="shared" si="16"/>
        <v>72.510215527601957</v>
      </c>
      <c r="AQ56" s="165">
        <f t="shared" si="21"/>
        <v>17.2</v>
      </c>
      <c r="AR56" s="502">
        <f t="shared" si="22"/>
        <v>5.4298642533936653E-2</v>
      </c>
      <c r="AS56" s="398" t="e">
        <f t="shared" si="22"/>
        <v>#N/A</v>
      </c>
      <c r="AT56" s="398">
        <f t="shared" si="22"/>
        <v>3.125E-2</v>
      </c>
      <c r="AU56" s="398">
        <f t="shared" si="22"/>
        <v>3.5598705501618123E-2</v>
      </c>
      <c r="AV56" s="503">
        <f t="shared" si="22"/>
        <v>1.5706806282722512E-2</v>
      </c>
      <c r="AW56" s="502">
        <f t="shared" si="23"/>
        <v>0.12413793103448276</v>
      </c>
      <c r="AX56" s="398">
        <f t="shared" si="23"/>
        <v>0.19172932330827067</v>
      </c>
      <c r="AY56" s="398">
        <f t="shared" si="23"/>
        <v>0.19031141868512111</v>
      </c>
      <c r="AZ56" s="398">
        <f t="shared" si="23"/>
        <v>0.20170454545454544</v>
      </c>
      <c r="BA56" s="503">
        <f t="shared" si="23"/>
        <v>0.19755600814663951</v>
      </c>
      <c r="BB56" s="502" t="e">
        <f>VLOOKUP($AK56,#REF!,BB$36,FALSE)</f>
        <v>#REF!</v>
      </c>
      <c r="BC56" s="398" t="e">
        <f>VLOOKUP($AK56,#REF!,BC$36,FALSE)</f>
        <v>#REF!</v>
      </c>
      <c r="BD56" s="398" t="e">
        <f>VLOOKUP($AK56,#REF!,BD$36,FALSE)</f>
        <v>#REF!</v>
      </c>
      <c r="BE56" s="398" t="e">
        <f>VLOOKUP($AK56,#REF!,BE$36,FALSE)</f>
        <v>#REF!</v>
      </c>
      <c r="BF56" s="503" t="e">
        <f>VLOOKUP($AK56,#REF!,BF$36,FALSE)</f>
        <v>#REF!</v>
      </c>
      <c r="BG56" s="398" t="b">
        <f t="shared" si="24"/>
        <v>0</v>
      </c>
      <c r="BH56" s="502">
        <f t="shared" si="25"/>
        <v>0.9838709677419355</v>
      </c>
      <c r="BI56" s="398">
        <f t="shared" si="25"/>
        <v>0.93377483443708609</v>
      </c>
      <c r="BJ56" s="398">
        <f t="shared" si="25"/>
        <v>0.94374999999999998</v>
      </c>
      <c r="BK56" s="398">
        <f t="shared" si="25"/>
        <v>0.91719745222929938</v>
      </c>
      <c r="BL56" s="503">
        <f t="shared" si="25"/>
        <v>0.98473282442748089</v>
      </c>
    </row>
    <row r="57" spans="1:64" ht="14.25" customHeight="1" x14ac:dyDescent="0.2">
      <c r="A57" s="309"/>
      <c r="B57" s="415"/>
      <c r="C57" s="415"/>
      <c r="D57" s="58"/>
      <c r="E57" s="58"/>
      <c r="F57" s="58"/>
      <c r="G57" s="58"/>
      <c r="H57" s="58"/>
      <c r="I57" s="58"/>
      <c r="J57" s="13"/>
      <c r="K57" s="15"/>
      <c r="L57" s="15"/>
      <c r="M57" s="15"/>
      <c r="N57" s="15"/>
      <c r="O57" s="9"/>
      <c r="P57" s="9"/>
      <c r="Q57" s="9"/>
      <c r="R57" s="9"/>
      <c r="S57" s="9"/>
      <c r="T57" s="9"/>
      <c r="U57" s="134"/>
      <c r="V57" s="152"/>
      <c r="W57" s="326"/>
      <c r="X57" s="647">
        <v>17</v>
      </c>
      <c r="Y57" s="50" t="str">
        <f t="shared" si="20"/>
        <v>Swindon</v>
      </c>
      <c r="Z57" s="45">
        <v>18</v>
      </c>
      <c r="AA57" s="46">
        <f>IF(H25&gt;0,IDACI!D25,0)</f>
        <v>42184</v>
      </c>
      <c r="AB57" s="46">
        <f>IF(H25&gt;0,IDACI!E25,0)</f>
        <v>7255.6479999999992</v>
      </c>
      <c r="AI57" s="642" t="b">
        <v>1</v>
      </c>
      <c r="AJ57" s="178" t="s">
        <v>117</v>
      </c>
      <c r="AK57" s="101" t="str">
        <f t="shared" si="15"/>
        <v>Torbay</v>
      </c>
      <c r="AL57" s="164">
        <f t="shared" si="16"/>
        <v>66.935483870967744</v>
      </c>
      <c r="AM57" s="164">
        <f t="shared" si="16"/>
        <v>60.159362549800797</v>
      </c>
      <c r="AN57" s="164">
        <f t="shared" si="16"/>
        <v>51.587301587301589</v>
      </c>
      <c r="AO57" s="164">
        <f t="shared" si="16"/>
        <v>83.553383517912735</v>
      </c>
      <c r="AP57" s="164">
        <f t="shared" si="16"/>
        <v>55.474682299248535</v>
      </c>
      <c r="AQ57" s="165">
        <f t="shared" si="21"/>
        <v>24.1</v>
      </c>
      <c r="AR57" s="502">
        <f t="shared" si="22"/>
        <v>6.1320754716981132E-2</v>
      </c>
      <c r="AS57" s="398">
        <f t="shared" si="22"/>
        <v>2.7777777777777776E-2</v>
      </c>
      <c r="AT57" s="398" t="e">
        <f t="shared" si="22"/>
        <v>#N/A</v>
      </c>
      <c r="AU57" s="398" t="e">
        <f t="shared" si="22"/>
        <v>#N/A</v>
      </c>
      <c r="AV57" s="503">
        <f t="shared" si="22"/>
        <v>3.2967032967032968E-2</v>
      </c>
      <c r="AW57" s="502">
        <f t="shared" si="23"/>
        <v>0.12935323383084577</v>
      </c>
      <c r="AX57" s="398">
        <f t="shared" si="23"/>
        <v>0.16738197424892703</v>
      </c>
      <c r="AY57" s="398">
        <f t="shared" si="23"/>
        <v>0.23134328358208955</v>
      </c>
      <c r="AZ57" s="398">
        <f t="shared" si="23"/>
        <v>0.21212121212121213</v>
      </c>
      <c r="BA57" s="503">
        <f t="shared" si="23"/>
        <v>0.26896551724137929</v>
      </c>
      <c r="BB57" s="502" t="e">
        <f>VLOOKUP($AK57,#REF!,BB$36,FALSE)</f>
        <v>#REF!</v>
      </c>
      <c r="BC57" s="398" t="e">
        <f>VLOOKUP($AK57,#REF!,BC$36,FALSE)</f>
        <v>#REF!</v>
      </c>
      <c r="BD57" s="398" t="e">
        <f>VLOOKUP($AK57,#REF!,BD$36,FALSE)</f>
        <v>#REF!</v>
      </c>
      <c r="BE57" s="398" t="e">
        <f>VLOOKUP($AK57,#REF!,BE$36,FALSE)</f>
        <v>#REF!</v>
      </c>
      <c r="BF57" s="503" t="e">
        <f>VLOOKUP($AK57,#REF!,BF$36,FALSE)</f>
        <v>#REF!</v>
      </c>
      <c r="BG57" s="398" t="b">
        <f t="shared" si="24"/>
        <v>0</v>
      </c>
      <c r="BH57" s="502">
        <f t="shared" si="25"/>
        <v>0.92783505154639179</v>
      </c>
      <c r="BI57" s="398">
        <f t="shared" si="25"/>
        <v>0.96842105263157896</v>
      </c>
      <c r="BJ57" s="398">
        <f t="shared" si="25"/>
        <v>0.90566037735849059</v>
      </c>
      <c r="BK57" s="398">
        <f t="shared" si="25"/>
        <v>0.80916030534351147</v>
      </c>
      <c r="BL57" s="503">
        <f t="shared" si="25"/>
        <v>0.74117647058823533</v>
      </c>
    </row>
    <row r="58" spans="1:64" ht="14.25" customHeight="1" x14ac:dyDescent="0.2">
      <c r="A58" s="135"/>
      <c r="B58" s="415"/>
      <c r="C58" s="415"/>
      <c r="D58" s="58"/>
      <c r="E58" s="58"/>
      <c r="F58" s="58"/>
      <c r="G58" s="58"/>
      <c r="H58" s="58"/>
      <c r="I58" s="58"/>
      <c r="J58" s="13"/>
      <c r="K58" s="15"/>
      <c r="L58" s="15"/>
      <c r="M58" s="15"/>
      <c r="N58" s="15"/>
      <c r="O58" s="9"/>
      <c r="P58" s="9"/>
      <c r="Q58" s="9"/>
      <c r="R58" s="9"/>
      <c r="S58" s="9"/>
      <c r="T58" s="9"/>
      <c r="U58" s="134"/>
      <c r="V58" s="152"/>
      <c r="W58" s="326"/>
      <c r="X58" s="647">
        <v>18</v>
      </c>
      <c r="Y58" s="50" t="str">
        <f t="shared" si="20"/>
        <v>Torbay</v>
      </c>
      <c r="Z58" s="45">
        <v>19</v>
      </c>
      <c r="AA58" s="46">
        <f>IF(H26&gt;0,IDACI!D26,0)</f>
        <v>21714</v>
      </c>
      <c r="AB58" s="46">
        <f>IF(H26&gt;0,IDACI!E26,0)</f>
        <v>5233.0740000000005</v>
      </c>
      <c r="AI58" s="642" t="b">
        <v>1</v>
      </c>
      <c r="AJ58" s="178" t="s">
        <v>16</v>
      </c>
      <c r="AK58" s="101" t="str">
        <f t="shared" si="15"/>
        <v>West Berkshire</v>
      </c>
      <c r="AL58" s="164">
        <f t="shared" si="16"/>
        <v>29.971988795518207</v>
      </c>
      <c r="AM58" s="164">
        <f t="shared" si="16"/>
        <v>35.393258426966291</v>
      </c>
      <c r="AN58" s="164">
        <f t="shared" si="16"/>
        <v>40.616246498599445</v>
      </c>
      <c r="AO58" s="164">
        <f t="shared" si="16"/>
        <v>43.13823717681111</v>
      </c>
      <c r="AP58" s="164">
        <f t="shared" si="16"/>
        <v>46.940486169321034</v>
      </c>
      <c r="AQ58" s="165">
        <f t="shared" si="21"/>
        <v>10.4</v>
      </c>
      <c r="AR58" s="502" t="e">
        <f t="shared" si="22"/>
        <v>#N/A</v>
      </c>
      <c r="AS58" s="398" t="e">
        <f t="shared" si="22"/>
        <v>#N/A</v>
      </c>
      <c r="AT58" s="398" t="e">
        <f t="shared" si="22"/>
        <v>#N/A</v>
      </c>
      <c r="AU58" s="398" t="e">
        <f t="shared" si="22"/>
        <v>#N/A</v>
      </c>
      <c r="AV58" s="503">
        <f t="shared" si="22"/>
        <v>2.2222222222222223E-2</v>
      </c>
      <c r="AW58" s="502">
        <f t="shared" si="23"/>
        <v>0.15827338129496402</v>
      </c>
      <c r="AX58" s="398">
        <f t="shared" si="23"/>
        <v>0.19883040935672514</v>
      </c>
      <c r="AY58" s="398">
        <f t="shared" si="23"/>
        <v>0.10784313725490197</v>
      </c>
      <c r="AZ58" s="398">
        <f t="shared" si="23"/>
        <v>0.22748815165876776</v>
      </c>
      <c r="BA58" s="503">
        <f t="shared" si="23"/>
        <v>0.18181818181818182</v>
      </c>
      <c r="BB58" s="502" t="e">
        <f>VLOOKUP($AK58,#REF!,BB$36,FALSE)</f>
        <v>#REF!</v>
      </c>
      <c r="BC58" s="398" t="e">
        <f>VLOOKUP($AK58,#REF!,BC$36,FALSE)</f>
        <v>#REF!</v>
      </c>
      <c r="BD58" s="398" t="e">
        <f>VLOOKUP($AK58,#REF!,BD$36,FALSE)</f>
        <v>#REF!</v>
      </c>
      <c r="BE58" s="398" t="e">
        <f>VLOOKUP($AK58,#REF!,BE$36,FALSE)</f>
        <v>#REF!</v>
      </c>
      <c r="BF58" s="503" t="e">
        <f>VLOOKUP($AK58,#REF!,BF$36,FALSE)</f>
        <v>#REF!</v>
      </c>
      <c r="BG58" s="398" t="b">
        <f t="shared" si="24"/>
        <v>0</v>
      </c>
      <c r="BH58" s="502">
        <f t="shared" si="25"/>
        <v>0.93150684931506844</v>
      </c>
      <c r="BI58" s="398">
        <f t="shared" si="25"/>
        <v>1</v>
      </c>
      <c r="BJ58" s="398">
        <f t="shared" si="25"/>
        <v>0.98936170212765961</v>
      </c>
      <c r="BK58" s="398">
        <f t="shared" si="25"/>
        <v>0.98780487804878048</v>
      </c>
      <c r="BL58" s="503">
        <f t="shared" si="25"/>
        <v>1</v>
      </c>
    </row>
    <row r="59" spans="1:64" ht="14.25" customHeight="1" x14ac:dyDescent="0.2">
      <c r="A59" s="135"/>
      <c r="B59" s="415"/>
      <c r="C59" s="415"/>
      <c r="D59" s="58"/>
      <c r="E59" s="58"/>
      <c r="F59" s="58"/>
      <c r="G59" s="58"/>
      <c r="H59" s="58"/>
      <c r="I59" s="58"/>
      <c r="J59" s="13"/>
      <c r="K59" s="15"/>
      <c r="L59" s="15"/>
      <c r="M59" s="15"/>
      <c r="N59" s="15"/>
      <c r="O59" s="9"/>
      <c r="P59" s="9"/>
      <c r="Q59" s="9"/>
      <c r="R59" s="9"/>
      <c r="S59" s="9"/>
      <c r="T59" s="9"/>
      <c r="U59" s="134"/>
      <c r="V59" s="152"/>
      <c r="W59" s="326"/>
      <c r="X59" s="647">
        <v>19</v>
      </c>
      <c r="Y59" s="50" t="str">
        <f t="shared" si="20"/>
        <v>West Berkshire</v>
      </c>
      <c r="Z59" s="45">
        <v>20</v>
      </c>
      <c r="AA59" s="46">
        <f>IF(H27&gt;0,IDACI!D27,0)</f>
        <v>31302</v>
      </c>
      <c r="AB59" s="46">
        <f>IF(H27&gt;0,IDACI!E27,0)</f>
        <v>3255.4080000000004</v>
      </c>
      <c r="AI59" s="642" t="b">
        <v>1</v>
      </c>
      <c r="AJ59" s="178" t="s">
        <v>5</v>
      </c>
      <c r="AK59" s="101" t="str">
        <f t="shared" si="15"/>
        <v>West Sussex</v>
      </c>
      <c r="AL59" s="164">
        <f t="shared" si="16"/>
        <v>29.281437125748504</v>
      </c>
      <c r="AM59" s="164">
        <f t="shared" si="16"/>
        <v>29.739336492890995</v>
      </c>
      <c r="AN59" s="164">
        <f t="shared" si="16"/>
        <v>24.471830985915492</v>
      </c>
      <c r="AO59" s="164">
        <f t="shared" si="16"/>
        <v>31.96301838019108</v>
      </c>
      <c r="AP59" s="164">
        <f t="shared" si="16"/>
        <v>44.725041983829733</v>
      </c>
      <c r="AQ59" s="165">
        <f t="shared" si="21"/>
        <v>12.9</v>
      </c>
      <c r="AR59" s="502" t="e">
        <f t="shared" si="22"/>
        <v>#N/A</v>
      </c>
      <c r="AS59" s="398">
        <f t="shared" si="22"/>
        <v>2.309782608695652E-2</v>
      </c>
      <c r="AT59" s="398">
        <f t="shared" si="22"/>
        <v>3.5294117647058823E-2</v>
      </c>
      <c r="AU59" s="398">
        <f t="shared" si="22"/>
        <v>6.6162570888468802E-2</v>
      </c>
      <c r="AV59" s="503">
        <f t="shared" si="22"/>
        <v>3.5135135135135137E-2</v>
      </c>
      <c r="AW59" s="502">
        <f t="shared" si="23"/>
        <v>0.181169757489301</v>
      </c>
      <c r="AX59" s="398">
        <f t="shared" si="23"/>
        <v>0.22770919067215364</v>
      </c>
      <c r="AY59" s="398">
        <f t="shared" si="23"/>
        <v>0.22794117647058823</v>
      </c>
      <c r="AZ59" s="398">
        <f t="shared" si="23"/>
        <v>0.22748815165876776</v>
      </c>
      <c r="BA59" s="503">
        <f t="shared" si="23"/>
        <v>0.2437759336099585</v>
      </c>
      <c r="BB59" s="502" t="e">
        <f>VLOOKUP($AK59,#REF!,BB$36,FALSE)</f>
        <v>#REF!</v>
      </c>
      <c r="BC59" s="398" t="e">
        <f>VLOOKUP($AK59,#REF!,BC$36,FALSE)</f>
        <v>#REF!</v>
      </c>
      <c r="BD59" s="398" t="e">
        <f>VLOOKUP($AK59,#REF!,BD$36,FALSE)</f>
        <v>#REF!</v>
      </c>
      <c r="BE59" s="398" t="e">
        <f>VLOOKUP($AK59,#REF!,BE$36,FALSE)</f>
        <v>#REF!</v>
      </c>
      <c r="BF59" s="503" t="e">
        <f>VLOOKUP($AK59,#REF!,BF$36,FALSE)</f>
        <v>#REF!</v>
      </c>
      <c r="BG59" s="398" t="b">
        <f t="shared" si="24"/>
        <v>0</v>
      </c>
      <c r="BH59" s="502">
        <f t="shared" si="25"/>
        <v>0.99076923076923074</v>
      </c>
      <c r="BI59" s="398">
        <f t="shared" si="25"/>
        <v>0.98016997167138808</v>
      </c>
      <c r="BJ59" s="398">
        <f t="shared" si="25"/>
        <v>0.92086330935251803</v>
      </c>
      <c r="BK59" s="398">
        <f t="shared" si="25"/>
        <v>0.83377308707124009</v>
      </c>
      <c r="BL59" s="503">
        <f t="shared" si="25"/>
        <v>0.88682432432432434</v>
      </c>
    </row>
    <row r="60" spans="1:64" s="88" customFormat="1" ht="14.25" customHeight="1" x14ac:dyDescent="0.2">
      <c r="A60" s="135"/>
      <c r="B60" s="415"/>
      <c r="C60" s="415"/>
      <c r="D60" s="58"/>
      <c r="E60" s="58"/>
      <c r="F60" s="58"/>
      <c r="G60" s="58"/>
      <c r="H60" s="58"/>
      <c r="I60" s="58"/>
      <c r="J60" s="13"/>
      <c r="K60" s="15"/>
      <c r="L60" s="15"/>
      <c r="M60" s="15"/>
      <c r="N60" s="15"/>
      <c r="O60" s="9"/>
      <c r="P60" s="9"/>
      <c r="Q60" s="9"/>
      <c r="R60" s="9"/>
      <c r="S60" s="9"/>
      <c r="T60" s="9"/>
      <c r="U60" s="134"/>
      <c r="V60" s="152"/>
      <c r="W60" s="326"/>
      <c r="X60" s="647">
        <v>20</v>
      </c>
      <c r="Y60" s="50" t="str">
        <f t="shared" si="20"/>
        <v>West Sussex</v>
      </c>
      <c r="Z60" s="45">
        <v>21</v>
      </c>
      <c r="AA60" s="46">
        <f>IF(H28&gt;0,IDACI!D28,0)</f>
        <v>146958</v>
      </c>
      <c r="AB60" s="46">
        <f>IF(H28&gt;0,IDACI!E28,0)</f>
        <v>18957.582000000002</v>
      </c>
      <c r="AI60" s="642" t="b">
        <v>1</v>
      </c>
      <c r="AJ60" s="178" t="s">
        <v>31</v>
      </c>
      <c r="AK60" s="101" t="str">
        <f t="shared" si="15"/>
        <v>Windsor &amp; Maidenhead</v>
      </c>
      <c r="AL60" s="164">
        <f t="shared" si="16"/>
        <v>26.726726726726728</v>
      </c>
      <c r="AM60" s="164">
        <f t="shared" si="16"/>
        <v>19.161676646706585</v>
      </c>
      <c r="AN60" s="164">
        <f t="shared" si="16"/>
        <v>43.026706231454007</v>
      </c>
      <c r="AO60" s="164">
        <f t="shared" si="16"/>
        <v>41.257022471910112</v>
      </c>
      <c r="AP60" s="164">
        <f t="shared" si="16"/>
        <v>21.541686073591059</v>
      </c>
      <c r="AQ60" s="165">
        <f t="shared" si="21"/>
        <v>8.4</v>
      </c>
      <c r="AR60" s="502" t="e">
        <f t="shared" si="22"/>
        <v>#N/A</v>
      </c>
      <c r="AS60" s="398" t="e">
        <f t="shared" si="22"/>
        <v>#N/A</v>
      </c>
      <c r="AT60" s="398">
        <f t="shared" si="22"/>
        <v>0</v>
      </c>
      <c r="AU60" s="398" t="e">
        <f t="shared" si="22"/>
        <v>#N/A</v>
      </c>
      <c r="AV60" s="503" t="e">
        <f t="shared" si="22"/>
        <v>#N/A</v>
      </c>
      <c r="AW60" s="502">
        <f t="shared" si="23"/>
        <v>0.41379310344827586</v>
      </c>
      <c r="AX60" s="398">
        <f t="shared" si="23"/>
        <v>0.11235955056179775</v>
      </c>
      <c r="AY60" s="398">
        <f t="shared" si="23"/>
        <v>0.13714285714285715</v>
      </c>
      <c r="AZ60" s="398">
        <f t="shared" si="23"/>
        <v>0.30813953488372092</v>
      </c>
      <c r="BA60" s="503">
        <f t="shared" si="23"/>
        <v>0.20634920634920634</v>
      </c>
      <c r="BB60" s="502" t="e">
        <f>VLOOKUP($AK60,#REF!,BB$36,FALSE)</f>
        <v>#REF!</v>
      </c>
      <c r="BC60" s="398" t="e">
        <f>VLOOKUP($AK60,#REF!,BC$36,FALSE)</f>
        <v>#REF!</v>
      </c>
      <c r="BD60" s="398" t="e">
        <f>VLOOKUP($AK60,#REF!,BD$36,FALSE)</f>
        <v>#REF!</v>
      </c>
      <c r="BE60" s="398" t="e">
        <f>VLOOKUP($AK60,#REF!,BE$36,FALSE)</f>
        <v>#REF!</v>
      </c>
      <c r="BF60" s="503" t="e">
        <f>VLOOKUP($AK60,#REF!,BF$36,FALSE)</f>
        <v>#REF!</v>
      </c>
      <c r="BG60" s="398" t="b">
        <f t="shared" si="24"/>
        <v>0</v>
      </c>
      <c r="BH60" s="502">
        <f t="shared" si="25"/>
        <v>0.92537313432835822</v>
      </c>
      <c r="BI60" s="398">
        <f t="shared" si="25"/>
        <v>0.98039215686274506</v>
      </c>
      <c r="BJ60" s="398">
        <f t="shared" si="25"/>
        <v>1</v>
      </c>
      <c r="BK60" s="398">
        <f t="shared" si="25"/>
        <v>0.96907216494845361</v>
      </c>
      <c r="BL60" s="503">
        <f t="shared" si="25"/>
        <v>0.8</v>
      </c>
    </row>
    <row r="61" spans="1:64" s="88" customFormat="1" ht="14.25" customHeight="1" x14ac:dyDescent="0.2">
      <c r="A61" s="135"/>
      <c r="B61" s="415"/>
      <c r="C61" s="415"/>
      <c r="D61" s="58"/>
      <c r="E61" s="58"/>
      <c r="F61" s="58"/>
      <c r="G61" s="58"/>
      <c r="H61" s="58"/>
      <c r="I61" s="58"/>
      <c r="J61" s="13"/>
      <c r="K61" s="15"/>
      <c r="L61" s="15"/>
      <c r="M61" s="15"/>
      <c r="N61" s="15"/>
      <c r="O61" s="9"/>
      <c r="P61" s="9"/>
      <c r="Q61" s="9"/>
      <c r="R61" s="9"/>
      <c r="S61" s="9"/>
      <c r="T61" s="9"/>
      <c r="U61" s="134"/>
      <c r="V61" s="152"/>
      <c r="W61" s="326"/>
      <c r="X61" s="647">
        <v>21</v>
      </c>
      <c r="Y61" s="50" t="str">
        <f t="shared" si="20"/>
        <v>Windsor &amp; Maidenhead</v>
      </c>
      <c r="Z61" s="45">
        <v>22</v>
      </c>
      <c r="AA61" s="46">
        <f>IF(H29&gt;0,IDACI!D29,0)</f>
        <v>29154</v>
      </c>
      <c r="AB61" s="46">
        <f>IF(H29&gt;0,IDACI!E29,0)</f>
        <v>2448.9360000000001</v>
      </c>
      <c r="AI61" s="642" t="b">
        <v>1</v>
      </c>
      <c r="AJ61" s="178" t="s">
        <v>17</v>
      </c>
      <c r="AK61" s="101" t="str">
        <f t="shared" si="15"/>
        <v>Wokingham</v>
      </c>
      <c r="AL61" s="164">
        <f t="shared" si="16"/>
        <v>26.243093922651934</v>
      </c>
      <c r="AM61" s="164">
        <f t="shared" si="16"/>
        <v>13.008130081300813</v>
      </c>
      <c r="AN61" s="164">
        <f t="shared" si="16"/>
        <v>17.426273458445039</v>
      </c>
      <c r="AO61" s="164">
        <f t="shared" si="16"/>
        <v>12.099213551119178</v>
      </c>
      <c r="AP61" s="164">
        <f t="shared" si="16"/>
        <v>32.55645703064441</v>
      </c>
      <c r="AQ61" s="165">
        <f t="shared" si="21"/>
        <v>6.8000000000000007</v>
      </c>
      <c r="AR61" s="502" t="e">
        <f t="shared" si="22"/>
        <v>#N/A</v>
      </c>
      <c r="AS61" s="398" t="e">
        <f t="shared" si="22"/>
        <v>#N/A</v>
      </c>
      <c r="AT61" s="398" t="e">
        <f t="shared" si="22"/>
        <v>#N/A</v>
      </c>
      <c r="AU61" s="398">
        <f t="shared" si="22"/>
        <v>0</v>
      </c>
      <c r="AV61" s="503">
        <f t="shared" si="22"/>
        <v>0</v>
      </c>
      <c r="AW61" s="502">
        <f t="shared" si="23"/>
        <v>0.21100917431192662</v>
      </c>
      <c r="AX61" s="398">
        <f t="shared" si="23"/>
        <v>0.16393442622950818</v>
      </c>
      <c r="AY61" s="398">
        <f t="shared" si="23"/>
        <v>0.14912280701754385</v>
      </c>
      <c r="AZ61" s="398">
        <f t="shared" si="23"/>
        <v>0.32558139534883723</v>
      </c>
      <c r="BA61" s="503">
        <f t="shared" si="23"/>
        <v>0.24</v>
      </c>
      <c r="BB61" s="502" t="e">
        <f>VLOOKUP($AK61,#REF!,BB$36,FALSE)</f>
        <v>#REF!</v>
      </c>
      <c r="BC61" s="398" t="e">
        <f>VLOOKUP($AK61,#REF!,BC$36,FALSE)</f>
        <v>#REF!</v>
      </c>
      <c r="BD61" s="398" t="e">
        <f>VLOOKUP($AK61,#REF!,BD$36,FALSE)</f>
        <v>#REF!</v>
      </c>
      <c r="BE61" s="398" t="e">
        <f>VLOOKUP($AK61,#REF!,BE$36,FALSE)</f>
        <v>#REF!</v>
      </c>
      <c r="BF61" s="503" t="e">
        <f>VLOOKUP($AK61,#REF!,BF$36,FALSE)</f>
        <v>#REF!</v>
      </c>
      <c r="BG61" s="398" t="b">
        <f t="shared" si="24"/>
        <v>0</v>
      </c>
      <c r="BH61" s="502">
        <f t="shared" si="25"/>
        <v>0.98484848484848486</v>
      </c>
      <c r="BI61" s="398">
        <f t="shared" si="25"/>
        <v>1</v>
      </c>
      <c r="BJ61" s="398">
        <f t="shared" si="25"/>
        <v>0.94736842105263153</v>
      </c>
      <c r="BK61" s="398">
        <f t="shared" si="25"/>
        <v>0.96551724137931039</v>
      </c>
      <c r="BL61" s="503">
        <f t="shared" si="25"/>
        <v>1</v>
      </c>
    </row>
    <row r="62" spans="1:64" s="88" customFormat="1" ht="14.25" customHeight="1" x14ac:dyDescent="0.2">
      <c r="A62" s="135"/>
      <c r="B62" s="415"/>
      <c r="C62" s="415"/>
      <c r="D62" s="58"/>
      <c r="E62" s="58"/>
      <c r="F62" s="58"/>
      <c r="G62" s="58"/>
      <c r="H62" s="58"/>
      <c r="I62" s="58"/>
      <c r="J62" s="13"/>
      <c r="K62" s="15"/>
      <c r="L62" s="15"/>
      <c r="M62" s="15"/>
      <c r="N62" s="15"/>
      <c r="O62" s="9"/>
      <c r="P62" s="9"/>
      <c r="Q62" s="9"/>
      <c r="R62" s="9"/>
      <c r="S62" s="9"/>
      <c r="T62" s="9"/>
      <c r="U62" s="134"/>
      <c r="V62" s="152"/>
      <c r="W62" s="326"/>
      <c r="X62" s="647">
        <v>22</v>
      </c>
      <c r="Y62" s="50" t="str">
        <f t="shared" si="20"/>
        <v>Wokingham</v>
      </c>
      <c r="Z62" s="45">
        <v>23</v>
      </c>
      <c r="AA62" s="46">
        <f>IF(H30&gt;0,IDACI!D30,0)</f>
        <v>31967</v>
      </c>
      <c r="AB62" s="46">
        <f>IF(H30&gt;0,IDACI!E30,0)</f>
        <v>2173.7560000000003</v>
      </c>
      <c r="AI62" s="642" t="b">
        <v>1</v>
      </c>
      <c r="AJ62" s="178" t="s">
        <v>74</v>
      </c>
      <c r="AK62" s="101" t="str">
        <f t="shared" si="15"/>
        <v>South East</v>
      </c>
      <c r="AL62" s="164">
        <f t="shared" si="16"/>
        <v>38.138647445410221</v>
      </c>
      <c r="AM62" s="164">
        <f t="shared" si="16"/>
        <v>40.962083814725347</v>
      </c>
      <c r="AN62" s="164">
        <f t="shared" si="16"/>
        <v>42.072884625410566</v>
      </c>
      <c r="AO62" s="164">
        <f t="shared" si="16"/>
        <v>41.278858344717776</v>
      </c>
      <c r="AP62" s="164">
        <f t="shared" si="16"/>
        <v>46.196623736730693</v>
      </c>
      <c r="AQ62" s="165">
        <f t="shared" si="21"/>
        <v>14.45223640702325</v>
      </c>
      <c r="AR62" s="502">
        <f t="shared" si="22"/>
        <v>5.2796298816165467E-2</v>
      </c>
      <c r="AS62" s="398">
        <f t="shared" si="22"/>
        <v>4.2889390519187359E-2</v>
      </c>
      <c r="AT62" s="398">
        <f t="shared" si="22"/>
        <v>4.5643153526970952E-2</v>
      </c>
      <c r="AU62" s="398">
        <f t="shared" si="22"/>
        <v>4.4806517311608958E-2</v>
      </c>
      <c r="AV62" s="503">
        <f t="shared" si="22"/>
        <v>4.8574445617740235E-2</v>
      </c>
      <c r="AW62" s="502">
        <f t="shared" si="23"/>
        <v>0.18703358208955223</v>
      </c>
      <c r="AX62" s="398">
        <f t="shared" si="23"/>
        <v>0.17023445463812437</v>
      </c>
      <c r="AY62" s="398">
        <f t="shared" si="23"/>
        <v>0.20675537359263049</v>
      </c>
      <c r="AZ62" s="398">
        <f t="shared" si="23"/>
        <v>0.2223360655737705</v>
      </c>
      <c r="BA62" s="503">
        <f t="shared" si="23"/>
        <v>0.22592945662535749</v>
      </c>
      <c r="BB62" s="502" t="e">
        <f>VLOOKUP($AK62,#REF!,BB$36,FALSE)</f>
        <v>#REF!</v>
      </c>
      <c r="BC62" s="398" t="e">
        <f>VLOOKUP($AK62,#REF!,BC$36,FALSE)</f>
        <v>#REF!</v>
      </c>
      <c r="BD62" s="398" t="e">
        <f>VLOOKUP($AK62,#REF!,BD$36,FALSE)</f>
        <v>#REF!</v>
      </c>
      <c r="BE62" s="398" t="e">
        <f>VLOOKUP($AK62,#REF!,BE$36,FALSE)</f>
        <v>#REF!</v>
      </c>
      <c r="BF62" s="503" t="e">
        <f>VLOOKUP($AK62,#REF!,BF$36,FALSE)</f>
        <v>#REF!</v>
      </c>
      <c r="BG62" s="398" t="b">
        <f t="shared" si="24"/>
        <v>0</v>
      </c>
      <c r="BH62" s="502">
        <f t="shared" si="25"/>
        <v>0.94429599177800616</v>
      </c>
      <c r="BI62" s="398">
        <f t="shared" si="25"/>
        <v>0.92727272727272725</v>
      </c>
      <c r="BJ62" s="398">
        <f t="shared" si="25"/>
        <v>0.93772241992882566</v>
      </c>
      <c r="BK62" s="398">
        <f t="shared" si="25"/>
        <v>0.88193202146690519</v>
      </c>
      <c r="BL62" s="503">
        <f t="shared" si="25"/>
        <v>0.9007633587786259</v>
      </c>
    </row>
    <row r="63" spans="1:64" s="88" customFormat="1" ht="14.25" customHeight="1" x14ac:dyDescent="0.2">
      <c r="A63" s="135"/>
      <c r="B63" s="415"/>
      <c r="C63" s="415"/>
      <c r="D63" s="58"/>
      <c r="E63" s="58"/>
      <c r="F63" s="58"/>
      <c r="G63" s="58"/>
      <c r="H63" s="58"/>
      <c r="I63" s="58"/>
      <c r="J63" s="13"/>
      <c r="K63" s="9"/>
      <c r="L63" s="127"/>
      <c r="M63" s="1027" t="s">
        <v>72</v>
      </c>
      <c r="N63" s="1028"/>
      <c r="O63" s="1029"/>
      <c r="P63" s="416"/>
      <c r="Q63" s="1030" t="s">
        <v>101</v>
      </c>
      <c r="R63" s="1031"/>
      <c r="S63" s="1031"/>
      <c r="T63" s="1032"/>
      <c r="U63" s="134"/>
      <c r="V63" s="152"/>
      <c r="W63" s="326"/>
      <c r="X63" s="647">
        <v>23</v>
      </c>
      <c r="Y63" s="50" t="str">
        <f t="shared" si="20"/>
        <v>South East</v>
      </c>
      <c r="Z63" s="45">
        <v>24</v>
      </c>
      <c r="AA63" s="46">
        <f>SUM(AA55:AA56,AA41:AA53,AA59:AA62)</f>
        <v>1662421</v>
      </c>
      <c r="AB63" s="46">
        <f>SUM(AB55:AB56,AB41:AB53,AB59:AB62)</f>
        <v>240257.01299999995</v>
      </c>
      <c r="AI63" s="642" t="b">
        <v>1</v>
      </c>
      <c r="AJ63" s="178" t="s">
        <v>130</v>
      </c>
      <c r="AK63" s="101" t="str">
        <f t="shared" si="15"/>
        <v>England</v>
      </c>
      <c r="AL63" s="164">
        <f>VLOOKUP($AK63,$B$9:$O$32,AL$36,FALSE)</f>
        <v>42.077202519405169</v>
      </c>
      <c r="AM63" s="164">
        <f t="shared" ref="AM63:AP63" si="26">VLOOKUP($AK63,$B$9:$O$32,AM$36,FALSE)</f>
        <v>42.875505749803743</v>
      </c>
      <c r="AN63" s="164">
        <f t="shared" si="26"/>
        <v>43.081375932316604</v>
      </c>
      <c r="AO63" s="164">
        <f t="shared" si="26"/>
        <v>43.342214188092477</v>
      </c>
      <c r="AP63" s="164">
        <f t="shared" si="26"/>
        <v>45.327542688492088</v>
      </c>
      <c r="AQ63" s="165" t="e">
        <f t="shared" si="21"/>
        <v>#N/A</v>
      </c>
      <c r="AR63" s="502">
        <f t="shared" si="22"/>
        <v>4.5053328429569696E-2</v>
      </c>
      <c r="AS63" s="398">
        <f t="shared" si="22"/>
        <v>3.7251655629139076E-2</v>
      </c>
      <c r="AT63" s="398">
        <f t="shared" si="22"/>
        <v>3.8406374501992031E-2</v>
      </c>
      <c r="AU63" s="398">
        <f t="shared" si="22"/>
        <v>3.4087435035157446E-2</v>
      </c>
      <c r="AV63" s="503">
        <f t="shared" si="22"/>
        <v>3.4132281553398057E-2</v>
      </c>
      <c r="AW63" s="502">
        <f t="shared" si="23"/>
        <v>0.15807962529274006</v>
      </c>
      <c r="AX63" s="398">
        <f t="shared" si="23"/>
        <v>0.16572898247870119</v>
      </c>
      <c r="AY63" s="398">
        <f t="shared" si="23"/>
        <v>0.17927657558047702</v>
      </c>
      <c r="AZ63" s="398">
        <f t="shared" si="23"/>
        <v>0.18702002710435175</v>
      </c>
      <c r="BA63" s="503">
        <f>VLOOKUP($AK63,$B$145:$H$168,BA$36,FALSE)</f>
        <v>0.20212301875817945</v>
      </c>
      <c r="BB63" s="502" t="e">
        <f>VLOOKUP($AK63,#REF!,BB$36,FALSE)</f>
        <v>#REF!</v>
      </c>
      <c r="BC63" s="398" t="e">
        <f>VLOOKUP($AK63,#REF!,BC$36,FALSE)</f>
        <v>#REF!</v>
      </c>
      <c r="BD63" s="398" t="e">
        <f>VLOOKUP($AK63,#REF!,BD$36,FALSE)</f>
        <v>#REF!</v>
      </c>
      <c r="BE63" s="398" t="e">
        <f>VLOOKUP($AK63,#REF!,BE$36,FALSE)</f>
        <v>#REF!</v>
      </c>
      <c r="BF63" s="503" t="e">
        <f>VLOOKUP($AK63,#REF!,BF$36,FALSE)</f>
        <v>#REF!</v>
      </c>
      <c r="BG63" s="398" t="b">
        <f t="shared" si="24"/>
        <v>0</v>
      </c>
      <c r="BH63" s="502">
        <f t="shared" si="25"/>
        <v>0.94561933534743203</v>
      </c>
      <c r="BI63" s="398">
        <f t="shared" si="25"/>
        <v>0.94219653179190754</v>
      </c>
      <c r="BJ63" s="398">
        <f t="shared" si="25"/>
        <v>0.93724696356275305</v>
      </c>
      <c r="BK63" s="398">
        <f t="shared" si="25"/>
        <v>0.92191075514874143</v>
      </c>
      <c r="BL63" s="503">
        <f t="shared" si="25"/>
        <v>0.90516782099094295</v>
      </c>
    </row>
    <row r="64" spans="1:64" s="88" customFormat="1" ht="11.25" customHeight="1" thickBot="1" x14ac:dyDescent="0.25">
      <c r="A64" s="135"/>
      <c r="B64" s="415"/>
      <c r="C64" s="415"/>
      <c r="D64" s="58"/>
      <c r="E64" s="58"/>
      <c r="F64" s="58"/>
      <c r="G64" s="58"/>
      <c r="H64" s="58"/>
      <c r="I64" s="58"/>
      <c r="J64" s="13"/>
      <c r="K64" s="9"/>
      <c r="L64" s="481"/>
      <c r="M64" s="1030" t="str">
        <f>Z4</f>
        <v>Selected LA- (none)</v>
      </c>
      <c r="N64" s="1031"/>
      <c r="O64" s="1031"/>
      <c r="P64" s="1032"/>
      <c r="Q64" s="1035"/>
      <c r="R64" s="1036"/>
      <c r="S64" s="1037" t="s">
        <v>205</v>
      </c>
      <c r="T64" s="1038"/>
      <c r="U64" s="134"/>
      <c r="V64" s="152"/>
      <c r="W64" s="168"/>
      <c r="X64" s="647">
        <v>24</v>
      </c>
      <c r="Y64" s="50" t="str">
        <f t="shared" si="20"/>
        <v>England</v>
      </c>
      <c r="Z64" s="45">
        <v>25</v>
      </c>
      <c r="AA64" s="46">
        <f>IF(H32&gt;0,IDACI!D32,0)</f>
        <v>10130158</v>
      </c>
      <c r="AB64" s="46">
        <f>IF(H32&gt;0,IDACI!E32,0)</f>
        <v>2016166</v>
      </c>
      <c r="AJ64" s="179"/>
      <c r="AK64" s="80" t="str">
        <f>Z4</f>
        <v>Selected LA- (none)</v>
      </c>
      <c r="AL64" s="166" t="e">
        <f>VLOOKUP($Y4,$B$9:$O$31,AL$36,FALSE)</f>
        <v>#N/A</v>
      </c>
      <c r="AM64" s="166" t="e">
        <f>VLOOKUP($Y4,$B$9:$O$31,AM$36,FALSE)</f>
        <v>#N/A</v>
      </c>
      <c r="AN64" s="166" t="e">
        <f>VLOOKUP($Y4,$B$9:$O$31,AN$36,FALSE)</f>
        <v>#N/A</v>
      </c>
      <c r="AO64" s="166" t="e">
        <f>VLOOKUP($Y4,$B$9:$O$31,AO$36,FALSE)</f>
        <v>#N/A</v>
      </c>
      <c r="AP64" s="166" t="e">
        <f>VLOOKUP($Y4,$B$9:$O$31,AP$36,FALSE)</f>
        <v>#N/A</v>
      </c>
      <c r="AQ64" s="165" t="e">
        <f>VLOOKUP(Y4,$B$9:$T$31,17,FALSE)</f>
        <v>#N/A</v>
      </c>
      <c r="AR64" s="504" t="e">
        <f>VLOOKUP($Y$4,$B$110:$H$133,AR$36,FALSE)</f>
        <v>#N/A</v>
      </c>
      <c r="AS64" s="505" t="e">
        <f t="shared" ref="AS64:AV64" si="27">VLOOKUP($Y$4,$B$110:$H$133,AS$36,FALSE)</f>
        <v>#N/A</v>
      </c>
      <c r="AT64" s="505" t="e">
        <f t="shared" si="27"/>
        <v>#N/A</v>
      </c>
      <c r="AU64" s="505" t="e">
        <f t="shared" si="27"/>
        <v>#N/A</v>
      </c>
      <c r="AV64" s="506" t="e">
        <f t="shared" si="27"/>
        <v>#N/A</v>
      </c>
      <c r="AW64" s="504" t="e">
        <f>VLOOKUP($Y$4,$B$145:$H$168,AW$36,FALSE)</f>
        <v>#N/A</v>
      </c>
      <c r="AX64" s="505" t="e">
        <f t="shared" ref="AX64:AZ64" si="28">VLOOKUP($Y$4,$B$145:$H$168,AX$36,FALSE)</f>
        <v>#N/A</v>
      </c>
      <c r="AY64" s="505" t="e">
        <f t="shared" si="28"/>
        <v>#N/A</v>
      </c>
      <c r="AZ64" s="505" t="e">
        <f t="shared" si="28"/>
        <v>#N/A</v>
      </c>
      <c r="BA64" s="506" t="e">
        <f>VLOOKUP($Y$4,$B$145:$H$168,BA$36,FALSE)</f>
        <v>#N/A</v>
      </c>
      <c r="BB64" s="509" t="e">
        <f>VLOOKUP($Y$4,#REF!,BB$36,FALSE)</f>
        <v>#REF!</v>
      </c>
      <c r="BC64" s="510" t="e">
        <f>VLOOKUP($Y$4,#REF!,BC$36,FALSE)</f>
        <v>#REF!</v>
      </c>
      <c r="BD64" s="510" t="e">
        <f>VLOOKUP($Y$4,#REF!,BD$36,FALSE)</f>
        <v>#REF!</v>
      </c>
      <c r="BE64" s="510" t="e">
        <f>VLOOKUP($Y$4,#REF!,BE$36,FALSE)</f>
        <v>#REF!</v>
      </c>
      <c r="BF64" s="511" t="e">
        <f>VLOOKUP($Y$4,#REF!,BF$36,FALSE)</f>
        <v>#REF!</v>
      </c>
      <c r="BG64" s="398" t="b">
        <f t="shared" si="24"/>
        <v>0</v>
      </c>
      <c r="BH64" s="504" t="e">
        <f>VLOOKUP($Y$4,$B$180:$H$203,BH$36,FALSE)</f>
        <v>#N/A</v>
      </c>
      <c r="BI64" s="505" t="e">
        <f>VLOOKUP($Y$4,$B$180:$H$203,BI$36,FALSE)</f>
        <v>#N/A</v>
      </c>
      <c r="BJ64" s="505" t="e">
        <f>VLOOKUP($Y$4,$B$180:$H$203,BJ$36,FALSE)</f>
        <v>#N/A</v>
      </c>
      <c r="BK64" s="505" t="e">
        <f>VLOOKUP($Y$4,$B$180:$H$203,BK$36,FALSE)</f>
        <v>#N/A</v>
      </c>
      <c r="BL64" s="506" t="e">
        <f>VLOOKUP($Y$4,$B$180:$H$203,BL$36,FALSE)</f>
        <v>#N/A</v>
      </c>
    </row>
    <row r="65" spans="1:44" s="88" customFormat="1" ht="42" customHeight="1" x14ac:dyDescent="0.2">
      <c r="A65" s="135"/>
      <c r="B65" s="415"/>
      <c r="C65" s="415"/>
      <c r="D65" s="58"/>
      <c r="E65" s="58"/>
      <c r="F65" s="58"/>
      <c r="G65" s="58"/>
      <c r="H65" s="58"/>
      <c r="I65" s="58"/>
      <c r="J65" s="13"/>
      <c r="K65" s="9"/>
      <c r="L65" s="9"/>
      <c r="M65" s="9"/>
      <c r="N65" s="9"/>
      <c r="O65" s="9"/>
      <c r="P65" s="9"/>
      <c r="Q65" s="9"/>
      <c r="R65" s="9"/>
      <c r="S65" s="9"/>
      <c r="T65" s="9"/>
      <c r="U65" s="134"/>
      <c r="V65" s="152"/>
      <c r="W65" s="168"/>
      <c r="X65" s="44" t="s">
        <v>72</v>
      </c>
      <c r="Y65" s="240" t="s">
        <v>70</v>
      </c>
      <c r="Z65" s="44" t="s">
        <v>71</v>
      </c>
      <c r="AA65" s="241">
        <v>5</v>
      </c>
      <c r="AB65" s="242">
        <f>(AA65*Y66)+Z66</f>
        <v>31.593499999999999</v>
      </c>
      <c r="AJ65" s="179"/>
    </row>
    <row r="66" spans="1:44" s="101" customFormat="1" ht="41.25" customHeight="1" x14ac:dyDescent="0.2">
      <c r="A66" s="138"/>
      <c r="B66" s="126"/>
      <c r="C66" s="126"/>
      <c r="D66" s="126"/>
      <c r="E66" s="126"/>
      <c r="F66" s="126"/>
      <c r="G66" s="126"/>
      <c r="H66" s="126"/>
      <c r="I66" s="126"/>
      <c r="J66" s="115"/>
      <c r="K66" s="97"/>
      <c r="L66" s="97"/>
      <c r="M66" s="97"/>
      <c r="N66" s="97"/>
      <c r="O66" s="97"/>
      <c r="P66" s="97"/>
      <c r="Q66" s="97"/>
      <c r="R66" s="97"/>
      <c r="S66" s="97"/>
      <c r="T66" s="97"/>
      <c r="U66" s="139"/>
      <c r="V66" s="154"/>
      <c r="W66" s="170"/>
      <c r="X66" s="243" t="str">
        <f>"Y= "&amp;Y66&amp;"x + "&amp;Z66</f>
        <v>Y= 1.6495x + 23.346</v>
      </c>
      <c r="Y66" s="839">
        <v>1.6495</v>
      </c>
      <c r="Z66" s="840">
        <v>23.346</v>
      </c>
      <c r="AA66" s="246">
        <v>30</v>
      </c>
      <c r="AB66" s="247">
        <f>(AA66*Y66)+Z66</f>
        <v>72.831000000000003</v>
      </c>
      <c r="AC66" s="217"/>
      <c r="AD66" s="217"/>
      <c r="AE66" s="217"/>
      <c r="AF66" s="217"/>
      <c r="AG66" s="217"/>
      <c r="AH66" s="217"/>
      <c r="AI66" s="232"/>
      <c r="AJ66" s="178"/>
    </row>
    <row r="67" spans="1:44" s="101" customFormat="1" ht="42" customHeight="1" x14ac:dyDescent="0.2">
      <c r="A67" s="138"/>
      <c r="B67" s="126"/>
      <c r="C67" s="126"/>
      <c r="D67" s="126"/>
      <c r="E67" s="126"/>
      <c r="F67" s="126"/>
      <c r="G67" s="126"/>
      <c r="H67" s="126"/>
      <c r="I67" s="126"/>
      <c r="J67" s="115"/>
      <c r="K67" s="97"/>
      <c r="L67" s="97"/>
      <c r="M67" s="97"/>
      <c r="N67" s="97"/>
      <c r="O67" s="97"/>
      <c r="P67" s="97"/>
      <c r="Q67" s="97"/>
      <c r="R67" s="97"/>
      <c r="S67" s="97"/>
      <c r="T67" s="97"/>
      <c r="U67" s="139"/>
      <c r="V67" s="154"/>
      <c r="W67" s="170"/>
      <c r="X67" s="44" t="s">
        <v>216</v>
      </c>
      <c r="Y67" s="240" t="s">
        <v>70</v>
      </c>
      <c r="Z67" s="44" t="s">
        <v>71</v>
      </c>
      <c r="AA67" s="241">
        <v>5</v>
      </c>
      <c r="AB67" s="242">
        <f>(AA67*Y68)+Z68</f>
        <v>29.413792187644628</v>
      </c>
      <c r="AC67" s="843" t="s">
        <v>864</v>
      </c>
      <c r="AD67" s="217"/>
      <c r="AE67" s="217"/>
      <c r="AF67" s="217"/>
      <c r="AG67" s="217"/>
      <c r="AH67" s="217"/>
      <c r="AI67" s="232"/>
      <c r="AJ67" s="178"/>
    </row>
    <row r="68" spans="1:44" ht="7.5" customHeight="1" x14ac:dyDescent="0.2">
      <c r="A68" s="135"/>
      <c r="B68" s="18"/>
      <c r="C68" s="18"/>
      <c r="D68" s="17"/>
      <c r="E68" s="17"/>
      <c r="F68" s="17"/>
      <c r="G68" s="17"/>
      <c r="H68" s="17"/>
      <c r="I68" s="17"/>
      <c r="J68" s="13"/>
      <c r="K68" s="19"/>
      <c r="L68" s="19"/>
      <c r="M68" s="19"/>
      <c r="N68" s="19"/>
      <c r="O68" s="19"/>
      <c r="P68" s="19"/>
      <c r="Q68" s="19"/>
      <c r="R68" s="19"/>
      <c r="S68" s="19"/>
      <c r="T68" s="20"/>
      <c r="U68" s="134"/>
      <c r="V68" s="152"/>
      <c r="W68" s="168"/>
      <c r="X68" s="243" t="str">
        <f>"Y= "&amp;Y68&amp;"x + "&amp;Z68</f>
        <v>Y= 1.19140190255265x + 23.4567826748814</v>
      </c>
      <c r="Y68" s="839">
        <v>1.1914019025526459</v>
      </c>
      <c r="Z68" s="840">
        <v>23.456782674881399</v>
      </c>
      <c r="AA68" s="246">
        <v>30</v>
      </c>
      <c r="AB68" s="247">
        <f>(AA68*Y68)+Z68</f>
        <v>59.198839751460781</v>
      </c>
      <c r="AI68" s="210"/>
      <c r="AJ68" s="175"/>
    </row>
    <row r="69" spans="1:44" ht="15" customHeight="1" x14ac:dyDescent="0.2">
      <c r="A69" s="1010"/>
      <c r="B69" s="1018"/>
      <c r="C69" s="1018"/>
      <c r="D69" s="1018"/>
      <c r="E69" s="1018"/>
      <c r="F69" s="1018"/>
      <c r="G69" s="1018"/>
      <c r="H69" s="1018"/>
      <c r="I69" s="1018"/>
      <c r="J69" s="1018"/>
      <c r="K69" s="1018"/>
      <c r="L69" s="1018"/>
      <c r="M69" s="1018"/>
      <c r="N69" s="1018"/>
      <c r="O69" s="1018"/>
      <c r="P69" s="1018"/>
      <c r="Q69" s="1018"/>
      <c r="R69" s="1018"/>
      <c r="S69" s="1018"/>
      <c r="T69" s="1018"/>
      <c r="U69" s="1019"/>
      <c r="V69" s="152"/>
      <c r="W69" s="168"/>
      <c r="X69" s="43">
        <f>D8</f>
        <v>2014</v>
      </c>
      <c r="Y69" s="43">
        <f>E8</f>
        <v>2015</v>
      </c>
      <c r="Z69" s="43">
        <f>F8</f>
        <v>2016</v>
      </c>
      <c r="AA69" s="43">
        <f>G8</f>
        <v>2017</v>
      </c>
      <c r="AB69" s="43">
        <f>H8</f>
        <v>2018</v>
      </c>
      <c r="AI69" s="210"/>
      <c r="AJ69" s="175"/>
    </row>
    <row r="70" spans="1:44" ht="11.25" customHeight="1" x14ac:dyDescent="0.2">
      <c r="A70" s="1020" t="str">
        <f>Home!$A$35</f>
        <v>LA's provide quarterly data on the condition that it is used by the benchmarking group for internal reporting only. Please DO NOT share other LA's data with any external partners or the public</v>
      </c>
      <c r="B70" s="1021"/>
      <c r="C70" s="1021"/>
      <c r="D70" s="1021"/>
      <c r="E70" s="1021"/>
      <c r="F70" s="1021"/>
      <c r="G70" s="1021"/>
      <c r="H70" s="1021"/>
      <c r="I70" s="1022"/>
      <c r="J70" s="1021"/>
      <c r="K70" s="1021"/>
      <c r="L70" s="1021"/>
      <c r="M70" s="1021"/>
      <c r="N70" s="1021"/>
      <c r="O70" s="1021"/>
      <c r="P70" s="1021"/>
      <c r="Q70" s="1021"/>
      <c r="R70" s="1021"/>
      <c r="S70" s="1022"/>
      <c r="T70" s="1021"/>
      <c r="U70" s="1023"/>
      <c r="V70" s="152"/>
      <c r="W70" s="168"/>
      <c r="X70" s="47" t="e">
        <f ca="1">IF(OFFSET(K8,$X$4,0)=0,NA(),OFFSET(K8,$X$4,0))</f>
        <v>#N/A</v>
      </c>
      <c r="Y70" s="248" t="e">
        <f ca="1">IF(OFFSET(L8,$X$4,0)=0,NA(),OFFSET(L8,$X$4,0))</f>
        <v>#N/A</v>
      </c>
      <c r="Z70" s="47" t="e">
        <f ca="1">IF(OFFSET(M8,$X$4,0)=0,NA(),OFFSET(M8,$X$4,0))</f>
        <v>#N/A</v>
      </c>
      <c r="AA70" s="47" t="e">
        <f ca="1">IF(OFFSET(N8,$X$4,0)=0,NA(),OFFSET(N8,$X$4,0))</f>
        <v>#N/A</v>
      </c>
      <c r="AB70" s="47" t="e">
        <f ca="1">IF(OFFSET(O8,$X$4,0)=0,NA(),OFFSET(O8,$X$4,0))</f>
        <v>#N/A</v>
      </c>
      <c r="AI70" s="210"/>
      <c r="AJ70" s="175"/>
    </row>
    <row r="71" spans="1:44" ht="11.25" customHeight="1" x14ac:dyDescent="0.2">
      <c r="A71" s="129"/>
      <c r="B71" s="130"/>
      <c r="C71" s="130"/>
      <c r="D71" s="130"/>
      <c r="E71" s="130"/>
      <c r="F71" s="130"/>
      <c r="G71" s="130"/>
      <c r="H71" s="130"/>
      <c r="I71" s="130"/>
      <c r="J71" s="131"/>
      <c r="K71" s="130"/>
      <c r="L71" s="130"/>
      <c r="M71" s="130"/>
      <c r="N71" s="130"/>
      <c r="O71" s="130"/>
      <c r="P71" s="130"/>
      <c r="Q71" s="130"/>
      <c r="R71" s="130"/>
      <c r="S71" s="130"/>
      <c r="T71" s="130"/>
      <c r="U71" s="132"/>
      <c r="V71" s="152"/>
      <c r="W71" s="168"/>
      <c r="X71" s="215"/>
      <c r="Y71" s="215"/>
      <c r="Z71" s="215"/>
      <c r="AI71" s="210"/>
      <c r="AJ71" s="175"/>
    </row>
    <row r="72" spans="1:44" s="82" customFormat="1" ht="15" customHeight="1" x14ac:dyDescent="0.2">
      <c r="A72" s="136"/>
      <c r="B72" s="60"/>
      <c r="C72" s="414"/>
      <c r="D72" s="414"/>
      <c r="E72" s="414"/>
      <c r="F72" s="414"/>
      <c r="G72" s="414"/>
      <c r="H72" s="414"/>
      <c r="I72" s="414"/>
      <c r="J72" s="70"/>
      <c r="K72" s="70"/>
      <c r="L72" s="70"/>
      <c r="M72" s="70"/>
      <c r="N72" s="409"/>
      <c r="O72" s="70"/>
      <c r="P72" s="70"/>
      <c r="Q72" s="70"/>
      <c r="R72" s="70"/>
      <c r="S72" s="70"/>
      <c r="T72" s="70"/>
      <c r="U72" s="137"/>
      <c r="V72" s="153"/>
      <c r="W72" s="169"/>
      <c r="X72" s="215"/>
      <c r="Y72" s="215"/>
      <c r="Z72" s="215"/>
      <c r="AA72" s="215"/>
      <c r="AB72" s="215"/>
      <c r="AC72" s="215"/>
      <c r="AD72" s="215"/>
      <c r="AE72" s="215"/>
      <c r="AF72" s="215"/>
      <c r="AG72" s="215"/>
      <c r="AH72" s="215"/>
      <c r="AI72" s="215"/>
      <c r="AJ72" s="176"/>
    </row>
    <row r="73" spans="1:44" ht="13.5" customHeight="1" x14ac:dyDescent="0.2">
      <c r="A73" s="135"/>
      <c r="B73" s="414"/>
      <c r="C73" s="414"/>
      <c r="D73" s="414"/>
      <c r="E73" s="414"/>
      <c r="F73" s="414"/>
      <c r="G73" s="414"/>
      <c r="H73" s="414"/>
      <c r="I73" s="414"/>
      <c r="J73" s="70"/>
      <c r="K73" s="70"/>
      <c r="L73" s="70"/>
      <c r="M73" s="70"/>
      <c r="N73" s="409"/>
      <c r="O73" s="70"/>
      <c r="P73" s="70"/>
      <c r="Q73" s="10"/>
      <c r="R73" s="70"/>
      <c r="S73" s="70"/>
      <c r="T73" s="70"/>
      <c r="U73" s="134"/>
      <c r="V73" s="152"/>
      <c r="W73" s="168"/>
      <c r="X73" s="215"/>
      <c r="Y73" s="215"/>
      <c r="Z73" s="223"/>
      <c r="AA73" s="223"/>
      <c r="AB73" s="224"/>
      <c r="AC73" s="224"/>
      <c r="AI73" s="210"/>
      <c r="AJ73" s="175"/>
    </row>
    <row r="74" spans="1:44" s="101" customFormat="1" ht="12" customHeight="1" x14ac:dyDescent="0.2">
      <c r="A74" s="138"/>
      <c r="B74" s="414"/>
      <c r="C74" s="414"/>
      <c r="D74" s="414"/>
      <c r="E74" s="414"/>
      <c r="F74" s="414"/>
      <c r="G74" s="414"/>
      <c r="H74" s="414"/>
      <c r="I74" s="115"/>
      <c r="J74" s="115"/>
      <c r="K74" s="62"/>
      <c r="L74" s="62"/>
      <c r="M74" s="62"/>
      <c r="N74" s="62"/>
      <c r="O74" s="62"/>
      <c r="P74" s="417"/>
      <c r="Q74" s="417"/>
      <c r="R74" s="177"/>
      <c r="S74" s="177"/>
      <c r="T74" s="418"/>
      <c r="U74" s="139"/>
      <c r="V74" s="154"/>
      <c r="W74" s="170"/>
      <c r="X74" s="215"/>
      <c r="Y74" s="215"/>
      <c r="Z74" s="223"/>
      <c r="AA74" s="223"/>
      <c r="AB74" s="224"/>
      <c r="AC74" s="224"/>
      <c r="AD74" s="226"/>
      <c r="AE74" s="217"/>
      <c r="AF74" s="217"/>
      <c r="AG74" s="217"/>
      <c r="AH74" s="217"/>
      <c r="AI74" s="232"/>
      <c r="AJ74" s="178"/>
    </row>
    <row r="75" spans="1:44" s="101" customFormat="1" ht="24" customHeight="1" x14ac:dyDescent="0.2">
      <c r="A75" s="138"/>
      <c r="B75" s="414"/>
      <c r="C75" s="414"/>
      <c r="D75" s="414"/>
      <c r="E75" s="414"/>
      <c r="F75" s="414"/>
      <c r="G75" s="414"/>
      <c r="H75" s="414"/>
      <c r="I75" s="115"/>
      <c r="J75" s="115"/>
      <c r="K75" s="186"/>
      <c r="L75" s="186"/>
      <c r="M75" s="186"/>
      <c r="N75" s="186"/>
      <c r="O75" s="186"/>
      <c r="P75" s="186"/>
      <c r="Q75" s="187"/>
      <c r="R75" s="177"/>
      <c r="S75" s="177"/>
      <c r="T75" s="186"/>
      <c r="U75" s="139"/>
      <c r="V75" s="154"/>
      <c r="W75" s="170"/>
      <c r="Y75" s="403" t="s">
        <v>133</v>
      </c>
      <c r="Z75" s="404" t="s">
        <v>134</v>
      </c>
      <c r="AA75" s="223"/>
      <c r="AB75" s="224"/>
      <c r="AC75" s="224"/>
      <c r="AD75" s="226"/>
      <c r="AE75" s="217"/>
      <c r="AF75" s="217"/>
      <c r="AG75" s="217"/>
      <c r="AH75" s="217"/>
      <c r="AI75" s="232"/>
      <c r="AJ75" s="178"/>
    </row>
    <row r="76" spans="1:44" s="101" customFormat="1" ht="12.75" customHeight="1" x14ac:dyDescent="0.2">
      <c r="A76" s="138"/>
      <c r="B76" s="414"/>
      <c r="C76" s="414"/>
      <c r="D76" s="414"/>
      <c r="E76" s="414"/>
      <c r="F76" s="414"/>
      <c r="G76" s="414"/>
      <c r="H76" s="414"/>
      <c r="I76" s="115"/>
      <c r="J76" s="115"/>
      <c r="K76" s="186"/>
      <c r="L76" s="186"/>
      <c r="M76" s="186"/>
      <c r="N76" s="186"/>
      <c r="O76" s="186"/>
      <c r="P76" s="186"/>
      <c r="Q76" s="187"/>
      <c r="R76" s="177"/>
      <c r="S76" s="177"/>
      <c r="T76" s="186"/>
      <c r="U76" s="139"/>
      <c r="V76" s="154"/>
      <c r="W76" s="170"/>
      <c r="X76" s="405" t="str">
        <f>B9</f>
        <v>Bracknell Forest</v>
      </c>
      <c r="Y76" s="406" t="e">
        <f>IF(X76=$Y$4,I9,#N/A)</f>
        <v>#N/A</v>
      </c>
      <c r="Z76" s="406" t="e">
        <f>IF(X76=$Y$4,T9,#N/A)</f>
        <v>#N/A</v>
      </c>
      <c r="AA76" s="223"/>
      <c r="AB76" s="224"/>
      <c r="AC76" s="224"/>
      <c r="AD76" s="226"/>
      <c r="AE76" s="217"/>
      <c r="AF76" s="217"/>
      <c r="AG76" s="217"/>
      <c r="AH76" s="217"/>
      <c r="AI76" s="232"/>
      <c r="AJ76" s="178"/>
    </row>
    <row r="77" spans="1:44" s="101" customFormat="1" ht="12.75" customHeight="1" x14ac:dyDescent="0.2">
      <c r="A77" s="138"/>
      <c r="B77" s="414"/>
      <c r="C77" s="414"/>
      <c r="D77" s="414"/>
      <c r="E77" s="414"/>
      <c r="F77" s="414"/>
      <c r="G77" s="414"/>
      <c r="H77" s="414"/>
      <c r="I77" s="115"/>
      <c r="J77" s="115"/>
      <c r="K77" s="186"/>
      <c r="L77" s="186"/>
      <c r="M77" s="186"/>
      <c r="N77" s="186"/>
      <c r="O77" s="186"/>
      <c r="P77" s="186"/>
      <c r="Q77" s="187"/>
      <c r="R77" s="177"/>
      <c r="S77" s="177"/>
      <c r="T77" s="186"/>
      <c r="U77" s="139"/>
      <c r="V77" s="154"/>
      <c r="W77" s="170"/>
      <c r="X77" s="405" t="str">
        <f t="shared" ref="X77:X97" si="29">B10</f>
        <v>Brighton &amp; Hove</v>
      </c>
      <c r="Y77" s="406" t="e">
        <f t="shared" ref="Y77:Y99" si="30">IF(X77=$Y$4,I10,#N/A)</f>
        <v>#N/A</v>
      </c>
      <c r="Z77" s="406" t="e">
        <f t="shared" ref="Z77:Z99" si="31">IF(X77=$Y$4,T10,#N/A)</f>
        <v>#N/A</v>
      </c>
      <c r="AA77" s="223"/>
      <c r="AB77" s="224"/>
      <c r="AC77" s="224"/>
      <c r="AD77" s="226"/>
      <c r="AE77" s="217"/>
      <c r="AF77" s="217"/>
      <c r="AG77" s="217"/>
      <c r="AH77" s="217"/>
      <c r="AI77" s="232"/>
      <c r="AJ77" s="178"/>
    </row>
    <row r="78" spans="1:44" s="101" customFormat="1" ht="12.75" customHeight="1" x14ac:dyDescent="0.2">
      <c r="A78" s="138"/>
      <c r="B78" s="414"/>
      <c r="C78" s="414"/>
      <c r="D78" s="414"/>
      <c r="E78" s="414"/>
      <c r="F78" s="414"/>
      <c r="G78" s="414"/>
      <c r="H78" s="414"/>
      <c r="I78" s="115"/>
      <c r="J78" s="115"/>
      <c r="K78" s="186"/>
      <c r="L78" s="186"/>
      <c r="M78" s="186"/>
      <c r="N78" s="186"/>
      <c r="O78" s="186"/>
      <c r="P78" s="186"/>
      <c r="Q78" s="187"/>
      <c r="R78" s="177"/>
      <c r="S78" s="177"/>
      <c r="T78" s="186"/>
      <c r="U78" s="139"/>
      <c r="V78" s="154"/>
      <c r="W78" s="170"/>
      <c r="X78" s="405" t="str">
        <f t="shared" si="29"/>
        <v>Buckinghamshire</v>
      </c>
      <c r="Y78" s="406" t="e">
        <f t="shared" si="30"/>
        <v>#N/A</v>
      </c>
      <c r="Z78" s="406" t="e">
        <f t="shared" si="31"/>
        <v>#N/A</v>
      </c>
      <c r="AA78" s="223"/>
      <c r="AB78" s="224"/>
      <c r="AC78" s="224"/>
      <c r="AD78" s="226"/>
      <c r="AE78" s="217"/>
      <c r="AF78" s="217"/>
      <c r="AG78" s="217"/>
      <c r="AH78" s="217"/>
      <c r="AI78" s="232"/>
      <c r="AJ78" s="178"/>
    </row>
    <row r="79" spans="1:44" s="101" customFormat="1" ht="12.75" customHeight="1" x14ac:dyDescent="0.2">
      <c r="A79" s="138"/>
      <c r="B79" s="414"/>
      <c r="C79" s="414"/>
      <c r="D79" s="414"/>
      <c r="E79" s="414"/>
      <c r="F79" s="414"/>
      <c r="G79" s="414"/>
      <c r="H79" s="414"/>
      <c r="I79" s="115"/>
      <c r="J79" s="115"/>
      <c r="K79" s="186"/>
      <c r="L79" s="186"/>
      <c r="M79" s="186"/>
      <c r="N79" s="186"/>
      <c r="O79" s="186"/>
      <c r="P79" s="186"/>
      <c r="Q79" s="187"/>
      <c r="R79" s="177"/>
      <c r="S79" s="177"/>
      <c r="T79" s="186"/>
      <c r="U79" s="139"/>
      <c r="V79" s="154"/>
      <c r="W79" s="170"/>
      <c r="X79" s="405" t="str">
        <f t="shared" si="29"/>
        <v>East Sussex</v>
      </c>
      <c r="Y79" s="406" t="e">
        <f t="shared" si="30"/>
        <v>#N/A</v>
      </c>
      <c r="Z79" s="406" t="e">
        <f t="shared" si="31"/>
        <v>#N/A</v>
      </c>
      <c r="AA79" s="223"/>
      <c r="AB79" s="224"/>
      <c r="AC79" s="224"/>
      <c r="AD79" s="226"/>
      <c r="AE79" s="217"/>
      <c r="AF79" s="217"/>
      <c r="AG79" s="217"/>
      <c r="AH79" s="217"/>
      <c r="AI79" s="232"/>
      <c r="AJ79" s="178"/>
    </row>
    <row r="80" spans="1:44" s="101" customFormat="1" ht="12.75" customHeight="1" x14ac:dyDescent="0.2">
      <c r="A80" s="138"/>
      <c r="B80" s="414"/>
      <c r="C80" s="414"/>
      <c r="D80" s="414"/>
      <c r="E80" s="414"/>
      <c r="F80" s="414"/>
      <c r="G80" s="414"/>
      <c r="H80" s="414"/>
      <c r="I80" s="115"/>
      <c r="J80" s="115"/>
      <c r="K80" s="186"/>
      <c r="L80" s="186"/>
      <c r="M80" s="186"/>
      <c r="N80" s="186"/>
      <c r="O80" s="186"/>
      <c r="P80" s="186"/>
      <c r="Q80" s="187"/>
      <c r="R80" s="177"/>
      <c r="S80" s="177"/>
      <c r="T80" s="186"/>
      <c r="U80" s="139"/>
      <c r="V80" s="154"/>
      <c r="W80" s="170"/>
      <c r="X80" s="405" t="str">
        <f t="shared" si="29"/>
        <v>Hampshire</v>
      </c>
      <c r="Y80" s="406" t="e">
        <f t="shared" si="30"/>
        <v>#N/A</v>
      </c>
      <c r="Z80" s="406" t="e">
        <f t="shared" si="31"/>
        <v>#N/A</v>
      </c>
      <c r="AA80" s="223"/>
      <c r="AB80" s="224"/>
      <c r="AC80" s="224"/>
      <c r="AD80" s="226"/>
      <c r="AE80" s="217"/>
      <c r="AF80" s="217"/>
      <c r="AG80" s="217"/>
      <c r="AH80" s="217"/>
      <c r="AI80" s="232"/>
      <c r="AJ80" s="178"/>
      <c r="AR80" s="101" t="s">
        <v>104</v>
      </c>
    </row>
    <row r="81" spans="1:36" s="101" customFormat="1" ht="12.75" customHeight="1" x14ac:dyDescent="0.2">
      <c r="A81" s="138"/>
      <c r="B81" s="414"/>
      <c r="C81" s="414"/>
      <c r="D81" s="414"/>
      <c r="E81" s="414"/>
      <c r="F81" s="414"/>
      <c r="G81" s="414"/>
      <c r="H81" s="414"/>
      <c r="I81" s="115"/>
      <c r="J81" s="115"/>
      <c r="K81" s="186"/>
      <c r="L81" s="186"/>
      <c r="M81" s="186"/>
      <c r="N81" s="186"/>
      <c r="O81" s="186"/>
      <c r="P81" s="186"/>
      <c r="Q81" s="187"/>
      <c r="R81" s="177"/>
      <c r="S81" s="177"/>
      <c r="T81" s="186"/>
      <c r="U81" s="139"/>
      <c r="V81" s="154"/>
      <c r="W81" s="170"/>
      <c r="X81" s="405" t="str">
        <f t="shared" si="29"/>
        <v>Isle of Wight</v>
      </c>
      <c r="Y81" s="406" t="e">
        <f t="shared" si="30"/>
        <v>#N/A</v>
      </c>
      <c r="Z81" s="406" t="e">
        <f t="shared" si="31"/>
        <v>#N/A</v>
      </c>
      <c r="AA81" s="223"/>
      <c r="AB81" s="224"/>
      <c r="AC81" s="224"/>
      <c r="AD81" s="226"/>
      <c r="AE81" s="217"/>
      <c r="AF81" s="217"/>
      <c r="AG81" s="217"/>
      <c r="AH81" s="217"/>
      <c r="AI81" s="232"/>
      <c r="AJ81" s="178"/>
    </row>
    <row r="82" spans="1:36" s="101" customFormat="1" ht="12.75" customHeight="1" x14ac:dyDescent="0.2">
      <c r="A82" s="138"/>
      <c r="B82" s="414"/>
      <c r="C82" s="414"/>
      <c r="D82" s="414"/>
      <c r="E82" s="414"/>
      <c r="F82" s="414"/>
      <c r="G82" s="414"/>
      <c r="H82" s="414"/>
      <c r="I82" s="115"/>
      <c r="J82" s="115"/>
      <c r="K82" s="186"/>
      <c r="L82" s="186"/>
      <c r="M82" s="186"/>
      <c r="N82" s="186"/>
      <c r="O82" s="186"/>
      <c r="P82" s="186"/>
      <c r="Q82" s="187"/>
      <c r="R82" s="177"/>
      <c r="S82" s="177"/>
      <c r="T82" s="186"/>
      <c r="U82" s="139"/>
      <c r="V82" s="154"/>
      <c r="W82" s="170"/>
      <c r="X82" s="405" t="str">
        <f t="shared" si="29"/>
        <v>Kent</v>
      </c>
      <c r="Y82" s="406" t="e">
        <f t="shared" si="30"/>
        <v>#N/A</v>
      </c>
      <c r="Z82" s="406" t="e">
        <f t="shared" si="31"/>
        <v>#N/A</v>
      </c>
      <c r="AA82" s="223"/>
      <c r="AB82" s="224"/>
      <c r="AC82" s="224"/>
      <c r="AD82" s="226"/>
      <c r="AE82" s="217"/>
      <c r="AF82" s="217"/>
      <c r="AG82" s="217"/>
      <c r="AH82" s="217"/>
      <c r="AI82" s="232"/>
      <c r="AJ82" s="178"/>
    </row>
    <row r="83" spans="1:36" s="101" customFormat="1" ht="12.75" customHeight="1" x14ac:dyDescent="0.2">
      <c r="A83" s="138"/>
      <c r="B83" s="414"/>
      <c r="C83" s="414"/>
      <c r="D83" s="414"/>
      <c r="E83" s="414"/>
      <c r="F83" s="414"/>
      <c r="G83" s="414"/>
      <c r="H83" s="414"/>
      <c r="I83" s="115"/>
      <c r="J83" s="115"/>
      <c r="K83" s="186"/>
      <c r="L83" s="186"/>
      <c r="M83" s="186"/>
      <c r="N83" s="186"/>
      <c r="O83" s="186"/>
      <c r="P83" s="186"/>
      <c r="Q83" s="187"/>
      <c r="R83" s="177"/>
      <c r="S83" s="177"/>
      <c r="T83" s="186"/>
      <c r="U83" s="139"/>
      <c r="V83" s="154"/>
      <c r="W83" s="170"/>
      <c r="X83" s="405" t="str">
        <f t="shared" si="29"/>
        <v>Medway</v>
      </c>
      <c r="Y83" s="406" t="e">
        <f t="shared" si="30"/>
        <v>#N/A</v>
      </c>
      <c r="Z83" s="406" t="e">
        <f t="shared" si="31"/>
        <v>#N/A</v>
      </c>
      <c r="AA83" s="223"/>
      <c r="AB83" s="224"/>
      <c r="AC83" s="224"/>
      <c r="AD83" s="226"/>
      <c r="AE83" s="217"/>
      <c r="AF83" s="217"/>
      <c r="AG83" s="217"/>
      <c r="AH83" s="217"/>
      <c r="AI83" s="232"/>
      <c r="AJ83" s="178"/>
    </row>
    <row r="84" spans="1:36" s="101" customFormat="1" ht="12.75" customHeight="1" x14ac:dyDescent="0.2">
      <c r="A84" s="138"/>
      <c r="B84" s="414"/>
      <c r="C84" s="414"/>
      <c r="D84" s="414"/>
      <c r="E84" s="414"/>
      <c r="F84" s="414"/>
      <c r="G84" s="414"/>
      <c r="H84" s="414"/>
      <c r="I84" s="115"/>
      <c r="J84" s="115"/>
      <c r="K84" s="186"/>
      <c r="L84" s="186"/>
      <c r="M84" s="186"/>
      <c r="N84" s="186"/>
      <c r="O84" s="186"/>
      <c r="P84" s="186"/>
      <c r="Q84" s="187"/>
      <c r="R84" s="177"/>
      <c r="S84" s="177"/>
      <c r="T84" s="186"/>
      <c r="U84" s="139"/>
      <c r="V84" s="154"/>
      <c r="W84" s="170"/>
      <c r="X84" s="405" t="str">
        <f t="shared" si="29"/>
        <v>Milton Keynes</v>
      </c>
      <c r="Y84" s="406" t="e">
        <f t="shared" si="30"/>
        <v>#N/A</v>
      </c>
      <c r="Z84" s="406" t="e">
        <f t="shared" si="31"/>
        <v>#N/A</v>
      </c>
      <c r="AA84" s="223"/>
      <c r="AB84" s="224"/>
      <c r="AC84" s="224"/>
      <c r="AD84" s="226"/>
      <c r="AE84" s="217"/>
      <c r="AF84" s="217"/>
      <c r="AG84" s="217"/>
      <c r="AH84" s="217"/>
      <c r="AI84" s="232"/>
      <c r="AJ84" s="178"/>
    </row>
    <row r="85" spans="1:36" s="101" customFormat="1" ht="12.75" customHeight="1" x14ac:dyDescent="0.2">
      <c r="A85" s="138"/>
      <c r="B85" s="414"/>
      <c r="C85" s="414"/>
      <c r="D85" s="414"/>
      <c r="E85" s="414"/>
      <c r="F85" s="414"/>
      <c r="G85" s="414"/>
      <c r="H85" s="414"/>
      <c r="I85" s="115"/>
      <c r="J85" s="115"/>
      <c r="K85" s="186"/>
      <c r="L85" s="186"/>
      <c r="M85" s="186"/>
      <c r="N85" s="186"/>
      <c r="O85" s="186"/>
      <c r="P85" s="186"/>
      <c r="Q85" s="187"/>
      <c r="R85" s="177"/>
      <c r="S85" s="177"/>
      <c r="T85" s="186"/>
      <c r="U85" s="139"/>
      <c r="V85" s="154"/>
      <c r="W85" s="170"/>
      <c r="X85" s="405" t="str">
        <f t="shared" si="29"/>
        <v>Oxfordshire</v>
      </c>
      <c r="Y85" s="406" t="e">
        <f t="shared" si="30"/>
        <v>#N/A</v>
      </c>
      <c r="Z85" s="406" t="e">
        <f t="shared" si="31"/>
        <v>#N/A</v>
      </c>
      <c r="AA85" s="223"/>
      <c r="AB85" s="224"/>
      <c r="AC85" s="224"/>
      <c r="AD85" s="226"/>
      <c r="AE85" s="217"/>
      <c r="AF85" s="217"/>
      <c r="AG85" s="217"/>
      <c r="AH85" s="217"/>
      <c r="AI85" s="232"/>
      <c r="AJ85" s="178"/>
    </row>
    <row r="86" spans="1:36" s="101" customFormat="1" ht="12.75" customHeight="1" x14ac:dyDescent="0.2">
      <c r="A86" s="138"/>
      <c r="B86" s="414"/>
      <c r="C86" s="414"/>
      <c r="D86" s="414"/>
      <c r="E86" s="414"/>
      <c r="F86" s="414"/>
      <c r="G86" s="414"/>
      <c r="H86" s="414"/>
      <c r="I86" s="115"/>
      <c r="J86" s="115"/>
      <c r="K86" s="186"/>
      <c r="L86" s="186"/>
      <c r="M86" s="186"/>
      <c r="N86" s="186"/>
      <c r="O86" s="186"/>
      <c r="P86" s="186"/>
      <c r="Q86" s="187"/>
      <c r="R86" s="177"/>
      <c r="S86" s="177"/>
      <c r="T86" s="186"/>
      <c r="U86" s="139"/>
      <c r="V86" s="154"/>
      <c r="W86" s="170"/>
      <c r="X86" s="405" t="str">
        <f t="shared" si="29"/>
        <v>Portsmouth</v>
      </c>
      <c r="Y86" s="406" t="e">
        <f t="shared" si="30"/>
        <v>#N/A</v>
      </c>
      <c r="Z86" s="406" t="e">
        <f t="shared" si="31"/>
        <v>#N/A</v>
      </c>
      <c r="AA86" s="223"/>
      <c r="AB86" s="224"/>
      <c r="AC86" s="224"/>
      <c r="AD86" s="226"/>
      <c r="AE86" s="217"/>
      <c r="AF86" s="217"/>
      <c r="AG86" s="217"/>
      <c r="AH86" s="217"/>
      <c r="AI86" s="232"/>
      <c r="AJ86" s="178"/>
    </row>
    <row r="87" spans="1:36" s="101" customFormat="1" ht="12.75" customHeight="1" x14ac:dyDescent="0.2">
      <c r="A87" s="138"/>
      <c r="B87" s="414"/>
      <c r="C87" s="414"/>
      <c r="D87" s="414"/>
      <c r="E87" s="414"/>
      <c r="F87" s="414"/>
      <c r="G87" s="414"/>
      <c r="H87" s="414"/>
      <c r="I87" s="115"/>
      <c r="J87" s="115"/>
      <c r="K87" s="186"/>
      <c r="L87" s="186"/>
      <c r="M87" s="186"/>
      <c r="N87" s="186"/>
      <c r="O87" s="186"/>
      <c r="P87" s="186"/>
      <c r="Q87" s="187"/>
      <c r="R87" s="177"/>
      <c r="S87" s="177"/>
      <c r="T87" s="186"/>
      <c r="U87" s="139"/>
      <c r="V87" s="154"/>
      <c r="W87" s="170"/>
      <c r="X87" s="405" t="str">
        <f t="shared" si="29"/>
        <v>Reading</v>
      </c>
      <c r="Y87" s="406" t="e">
        <f t="shared" si="30"/>
        <v>#N/A</v>
      </c>
      <c r="Z87" s="406" t="e">
        <f t="shared" si="31"/>
        <v>#N/A</v>
      </c>
      <c r="AA87" s="223"/>
      <c r="AB87" s="224"/>
      <c r="AC87" s="224"/>
      <c r="AD87" s="226"/>
      <c r="AE87" s="217"/>
      <c r="AF87" s="217"/>
      <c r="AG87" s="217"/>
      <c r="AH87" s="217"/>
      <c r="AI87" s="232"/>
      <c r="AJ87" s="178"/>
    </row>
    <row r="88" spans="1:36" s="101" customFormat="1" ht="12.75" customHeight="1" x14ac:dyDescent="0.2">
      <c r="A88" s="138"/>
      <c r="B88" s="414"/>
      <c r="C88" s="414"/>
      <c r="D88" s="414"/>
      <c r="E88" s="414"/>
      <c r="F88" s="414"/>
      <c r="G88" s="414"/>
      <c r="H88" s="414"/>
      <c r="I88" s="115"/>
      <c r="J88" s="115"/>
      <c r="K88" s="186"/>
      <c r="L88" s="186"/>
      <c r="M88" s="186"/>
      <c r="N88" s="186"/>
      <c r="O88" s="186"/>
      <c r="P88" s="186"/>
      <c r="Q88" s="187"/>
      <c r="R88" s="177"/>
      <c r="S88" s="177"/>
      <c r="T88" s="186"/>
      <c r="U88" s="139"/>
      <c r="V88" s="154"/>
      <c r="W88" s="170"/>
      <c r="X88" s="405" t="str">
        <f t="shared" si="29"/>
        <v>Slough</v>
      </c>
      <c r="Y88" s="406" t="e">
        <f t="shared" si="30"/>
        <v>#N/A</v>
      </c>
      <c r="Z88" s="406" t="e">
        <f t="shared" si="31"/>
        <v>#N/A</v>
      </c>
      <c r="AA88" s="223"/>
      <c r="AB88" s="224"/>
      <c r="AC88" s="224"/>
      <c r="AD88" s="226"/>
      <c r="AE88" s="217"/>
      <c r="AF88" s="217"/>
      <c r="AG88" s="217"/>
      <c r="AH88" s="217"/>
      <c r="AI88" s="232"/>
      <c r="AJ88" s="178"/>
    </row>
    <row r="89" spans="1:36" s="101" customFormat="1" ht="12.75" customHeight="1" x14ac:dyDescent="0.2">
      <c r="A89" s="138"/>
      <c r="B89" s="414"/>
      <c r="C89" s="414"/>
      <c r="D89" s="414"/>
      <c r="E89" s="414"/>
      <c r="F89" s="414"/>
      <c r="G89" s="414"/>
      <c r="H89" s="414"/>
      <c r="I89" s="115"/>
      <c r="J89" s="115"/>
      <c r="K89" s="186"/>
      <c r="L89" s="186"/>
      <c r="M89" s="186"/>
      <c r="N89" s="186"/>
      <c r="O89" s="186"/>
      <c r="P89" s="186"/>
      <c r="Q89" s="187"/>
      <c r="R89" s="177"/>
      <c r="S89" s="177"/>
      <c r="T89" s="186"/>
      <c r="U89" s="139"/>
      <c r="V89" s="154"/>
      <c r="W89" s="170"/>
      <c r="X89" s="405" t="str">
        <f t="shared" si="29"/>
        <v>Somerset</v>
      </c>
      <c r="Y89" s="406" t="e">
        <f t="shared" si="30"/>
        <v>#N/A</v>
      </c>
      <c r="Z89" s="406" t="e">
        <f t="shared" si="31"/>
        <v>#N/A</v>
      </c>
      <c r="AA89" s="223"/>
      <c r="AB89" s="224"/>
      <c r="AC89" s="224"/>
      <c r="AD89" s="226"/>
      <c r="AE89" s="217"/>
      <c r="AF89" s="217"/>
      <c r="AG89" s="217"/>
      <c r="AH89" s="217"/>
      <c r="AI89" s="232"/>
      <c r="AJ89" s="178"/>
    </row>
    <row r="90" spans="1:36" s="101" customFormat="1" ht="12.75" customHeight="1" x14ac:dyDescent="0.2">
      <c r="A90" s="138"/>
      <c r="B90" s="414"/>
      <c r="C90" s="414"/>
      <c r="D90" s="414"/>
      <c r="E90" s="414"/>
      <c r="F90" s="414"/>
      <c r="G90" s="414"/>
      <c r="H90" s="414"/>
      <c r="I90" s="115"/>
      <c r="J90" s="115"/>
      <c r="K90" s="186"/>
      <c r="L90" s="186"/>
      <c r="M90" s="186"/>
      <c r="N90" s="186"/>
      <c r="O90" s="186"/>
      <c r="P90" s="186"/>
      <c r="Q90" s="187"/>
      <c r="R90" s="177"/>
      <c r="S90" s="177"/>
      <c r="T90" s="186"/>
      <c r="U90" s="139"/>
      <c r="V90" s="154"/>
      <c r="W90" s="170"/>
      <c r="X90" s="405" t="str">
        <f t="shared" si="29"/>
        <v>Southampton</v>
      </c>
      <c r="Y90" s="406" t="e">
        <f t="shared" si="30"/>
        <v>#N/A</v>
      </c>
      <c r="Z90" s="406" t="e">
        <f t="shared" si="31"/>
        <v>#N/A</v>
      </c>
      <c r="AA90" s="223"/>
      <c r="AB90" s="224"/>
      <c r="AC90" s="224"/>
      <c r="AD90" s="226"/>
      <c r="AE90" s="217"/>
      <c r="AF90" s="217"/>
      <c r="AG90" s="217"/>
      <c r="AH90" s="217"/>
      <c r="AI90" s="232"/>
      <c r="AJ90" s="178"/>
    </row>
    <row r="91" spans="1:36" s="101" customFormat="1" ht="12.75" customHeight="1" x14ac:dyDescent="0.2">
      <c r="A91" s="324"/>
      <c r="B91" s="414"/>
      <c r="C91" s="414"/>
      <c r="D91" s="414"/>
      <c r="E91" s="414"/>
      <c r="F91" s="414"/>
      <c r="G91" s="414"/>
      <c r="H91" s="414"/>
      <c r="I91" s="115"/>
      <c r="J91" s="115"/>
      <c r="K91" s="186"/>
      <c r="L91" s="186"/>
      <c r="M91" s="186"/>
      <c r="N91" s="186"/>
      <c r="O91" s="186"/>
      <c r="P91" s="186"/>
      <c r="Q91" s="187"/>
      <c r="R91" s="177"/>
      <c r="S91" s="177"/>
      <c r="T91" s="186"/>
      <c r="U91" s="139"/>
      <c r="V91" s="154"/>
      <c r="W91" s="170"/>
      <c r="X91" s="405" t="str">
        <f t="shared" si="29"/>
        <v>Surrey</v>
      </c>
      <c r="Y91" s="406" t="e">
        <f t="shared" si="30"/>
        <v>#N/A</v>
      </c>
      <c r="Z91" s="406" t="e">
        <f t="shared" si="31"/>
        <v>#N/A</v>
      </c>
      <c r="AA91" s="223"/>
      <c r="AB91" s="224"/>
      <c r="AC91" s="224"/>
      <c r="AD91" s="226"/>
      <c r="AE91" s="217"/>
      <c r="AF91" s="217"/>
      <c r="AG91" s="217"/>
      <c r="AH91" s="217"/>
      <c r="AI91" s="232"/>
      <c r="AJ91" s="178"/>
    </row>
    <row r="92" spans="1:36" s="101" customFormat="1" ht="12.75" customHeight="1" x14ac:dyDescent="0.2">
      <c r="A92" s="324"/>
      <c r="B92" s="414"/>
      <c r="C92" s="414"/>
      <c r="D92" s="414"/>
      <c r="E92" s="414"/>
      <c r="F92" s="414"/>
      <c r="G92" s="414"/>
      <c r="H92" s="414"/>
      <c r="I92" s="115"/>
      <c r="J92" s="115"/>
      <c r="K92" s="186"/>
      <c r="L92" s="186"/>
      <c r="M92" s="186"/>
      <c r="N92" s="186"/>
      <c r="O92" s="186"/>
      <c r="P92" s="186"/>
      <c r="Q92" s="187"/>
      <c r="R92" s="177"/>
      <c r="S92" s="177"/>
      <c r="T92" s="186"/>
      <c r="U92" s="139"/>
      <c r="V92" s="154"/>
      <c r="W92" s="170"/>
      <c r="X92" s="405" t="str">
        <f t="shared" si="29"/>
        <v>Swindon</v>
      </c>
      <c r="Y92" s="406" t="e">
        <f t="shared" si="30"/>
        <v>#N/A</v>
      </c>
      <c r="Z92" s="406" t="e">
        <f t="shared" si="31"/>
        <v>#N/A</v>
      </c>
      <c r="AA92" s="223"/>
      <c r="AB92" s="224"/>
      <c r="AC92" s="224"/>
      <c r="AD92" s="226"/>
      <c r="AE92" s="217"/>
      <c r="AF92" s="217"/>
      <c r="AG92" s="217"/>
      <c r="AH92" s="217"/>
      <c r="AI92" s="232"/>
      <c r="AJ92" s="178"/>
    </row>
    <row r="93" spans="1:36" s="101" customFormat="1" ht="12.75" customHeight="1" x14ac:dyDescent="0.2">
      <c r="A93" s="138"/>
      <c r="B93" s="414"/>
      <c r="C93" s="414"/>
      <c r="D93" s="414"/>
      <c r="E93" s="414"/>
      <c r="F93" s="414"/>
      <c r="G93" s="414"/>
      <c r="H93" s="414"/>
      <c r="I93" s="115"/>
      <c r="J93" s="115"/>
      <c r="K93" s="186"/>
      <c r="L93" s="186"/>
      <c r="M93" s="186"/>
      <c r="N93" s="186"/>
      <c r="O93" s="186"/>
      <c r="P93" s="186"/>
      <c r="Q93" s="187"/>
      <c r="R93" s="177"/>
      <c r="S93" s="177"/>
      <c r="T93" s="186"/>
      <c r="U93" s="139"/>
      <c r="V93" s="154"/>
      <c r="W93" s="170"/>
      <c r="X93" s="405" t="str">
        <f t="shared" si="29"/>
        <v>Torbay</v>
      </c>
      <c r="Y93" s="406" t="e">
        <f t="shared" si="30"/>
        <v>#N/A</v>
      </c>
      <c r="Z93" s="406" t="e">
        <f t="shared" si="31"/>
        <v>#N/A</v>
      </c>
      <c r="AA93" s="223"/>
      <c r="AB93" s="224"/>
      <c r="AC93" s="224"/>
      <c r="AD93" s="226"/>
      <c r="AE93" s="232"/>
      <c r="AF93" s="217"/>
      <c r="AG93" s="217"/>
      <c r="AH93" s="217"/>
      <c r="AI93" s="232"/>
      <c r="AJ93" s="178"/>
    </row>
    <row r="94" spans="1:36" s="101" customFormat="1" ht="12.75" customHeight="1" x14ac:dyDescent="0.2">
      <c r="A94" s="138"/>
      <c r="B94" s="414"/>
      <c r="C94" s="414"/>
      <c r="D94" s="414"/>
      <c r="E94" s="414"/>
      <c r="F94" s="414"/>
      <c r="G94" s="414"/>
      <c r="H94" s="414"/>
      <c r="I94" s="115"/>
      <c r="J94" s="115"/>
      <c r="K94" s="186"/>
      <c r="L94" s="186"/>
      <c r="M94" s="186"/>
      <c r="N94" s="186"/>
      <c r="O94" s="186"/>
      <c r="P94" s="186"/>
      <c r="Q94" s="187"/>
      <c r="R94" s="177"/>
      <c r="S94" s="177"/>
      <c r="T94" s="186"/>
      <c r="U94" s="139"/>
      <c r="V94" s="154"/>
      <c r="W94" s="170"/>
      <c r="X94" s="405" t="str">
        <f t="shared" si="29"/>
        <v>West Berkshire</v>
      </c>
      <c r="Y94" s="406" t="e">
        <f t="shared" si="30"/>
        <v>#N/A</v>
      </c>
      <c r="Z94" s="406" t="e">
        <f t="shared" si="31"/>
        <v>#N/A</v>
      </c>
      <c r="AA94" s="223"/>
      <c r="AB94" s="224"/>
      <c r="AC94" s="224"/>
      <c r="AD94" s="226"/>
      <c r="AE94" s="232"/>
      <c r="AF94" s="217"/>
      <c r="AG94" s="217"/>
      <c r="AH94" s="217"/>
      <c r="AI94" s="232"/>
      <c r="AJ94" s="178"/>
    </row>
    <row r="95" spans="1:36" s="101" customFormat="1" ht="12.75" customHeight="1" x14ac:dyDescent="0.2">
      <c r="A95" s="138"/>
      <c r="B95" s="414"/>
      <c r="C95" s="414"/>
      <c r="D95" s="414"/>
      <c r="E95" s="414"/>
      <c r="F95" s="414"/>
      <c r="G95" s="414"/>
      <c r="H95" s="414"/>
      <c r="I95" s="115"/>
      <c r="J95" s="115"/>
      <c r="K95" s="186"/>
      <c r="L95" s="186"/>
      <c r="M95" s="186"/>
      <c r="N95" s="186"/>
      <c r="O95" s="186"/>
      <c r="P95" s="186"/>
      <c r="Q95" s="187"/>
      <c r="R95" s="177"/>
      <c r="S95" s="177"/>
      <c r="T95" s="186"/>
      <c r="U95" s="139"/>
      <c r="V95" s="154"/>
      <c r="W95" s="170"/>
      <c r="X95" s="405" t="str">
        <f t="shared" si="29"/>
        <v>West Sussex</v>
      </c>
      <c r="Y95" s="406" t="e">
        <f t="shared" si="30"/>
        <v>#N/A</v>
      </c>
      <c r="Z95" s="406" t="e">
        <f t="shared" si="31"/>
        <v>#N/A</v>
      </c>
      <c r="AA95" s="223"/>
      <c r="AB95" s="224"/>
      <c r="AC95" s="224"/>
      <c r="AD95" s="226"/>
      <c r="AE95" s="232"/>
      <c r="AF95" s="232"/>
      <c r="AG95" s="232"/>
      <c r="AH95" s="217"/>
      <c r="AI95" s="232"/>
      <c r="AJ95" s="178"/>
    </row>
    <row r="96" spans="1:36" s="101" customFormat="1" ht="12.75" customHeight="1" x14ac:dyDescent="0.2">
      <c r="A96" s="138"/>
      <c r="B96" s="414"/>
      <c r="C96" s="414"/>
      <c r="D96" s="414"/>
      <c r="E96" s="414"/>
      <c r="F96" s="414"/>
      <c r="G96" s="414"/>
      <c r="H96" s="414"/>
      <c r="I96" s="115"/>
      <c r="J96" s="115"/>
      <c r="K96" s="186"/>
      <c r="L96" s="186"/>
      <c r="M96" s="186"/>
      <c r="N96" s="186"/>
      <c r="O96" s="186"/>
      <c r="P96" s="186"/>
      <c r="Q96" s="187"/>
      <c r="R96" s="177"/>
      <c r="S96" s="177"/>
      <c r="T96" s="186"/>
      <c r="U96" s="139"/>
      <c r="V96" s="154"/>
      <c r="W96" s="170"/>
      <c r="X96" s="405" t="str">
        <f t="shared" si="29"/>
        <v>Windsor &amp; Maidenhead</v>
      </c>
      <c r="Y96" s="406" t="e">
        <f t="shared" si="30"/>
        <v>#N/A</v>
      </c>
      <c r="Z96" s="406" t="e">
        <f t="shared" si="31"/>
        <v>#N/A</v>
      </c>
      <c r="AA96" s="223"/>
      <c r="AB96" s="224"/>
      <c r="AC96" s="224"/>
      <c r="AD96" s="226"/>
      <c r="AE96" s="232"/>
      <c r="AF96" s="232"/>
      <c r="AG96" s="232"/>
      <c r="AH96" s="217"/>
      <c r="AI96" s="232"/>
      <c r="AJ96" s="178"/>
    </row>
    <row r="97" spans="1:45" s="101" customFormat="1" ht="12.75" customHeight="1" x14ac:dyDescent="0.2">
      <c r="A97" s="138"/>
      <c r="B97" s="414"/>
      <c r="C97" s="414"/>
      <c r="D97" s="414"/>
      <c r="E97" s="414"/>
      <c r="F97" s="414"/>
      <c r="G97" s="414"/>
      <c r="H97" s="414"/>
      <c r="I97" s="115"/>
      <c r="J97" s="115"/>
      <c r="K97" s="188"/>
      <c r="L97" s="188"/>
      <c r="M97" s="188"/>
      <c r="N97" s="188"/>
      <c r="O97" s="188"/>
      <c r="P97" s="188"/>
      <c r="Q97" s="189"/>
      <c r="R97" s="177"/>
      <c r="S97" s="177"/>
      <c r="T97" s="190"/>
      <c r="U97" s="139"/>
      <c r="V97" s="154"/>
      <c r="W97" s="170"/>
      <c r="X97" s="405" t="str">
        <f t="shared" si="29"/>
        <v>Wokingham</v>
      </c>
      <c r="Y97" s="406" t="e">
        <f t="shared" si="30"/>
        <v>#N/A</v>
      </c>
      <c r="Z97" s="406" t="e">
        <f t="shared" si="31"/>
        <v>#N/A</v>
      </c>
      <c r="AA97" s="223"/>
      <c r="AB97" s="224"/>
      <c r="AC97" s="224"/>
      <c r="AD97" s="226"/>
      <c r="AE97" s="232"/>
      <c r="AF97" s="232"/>
      <c r="AG97" s="232"/>
      <c r="AH97" s="217"/>
      <c r="AI97" s="232"/>
      <c r="AJ97" s="178"/>
    </row>
    <row r="98" spans="1:45" s="101" customFormat="1" ht="12.75" customHeight="1" x14ac:dyDescent="0.2">
      <c r="A98" s="138"/>
      <c r="B98" s="414"/>
      <c r="C98" s="414"/>
      <c r="D98" s="414"/>
      <c r="E98" s="414"/>
      <c r="F98" s="414"/>
      <c r="G98" s="414"/>
      <c r="H98" s="414"/>
      <c r="I98" s="115"/>
      <c r="J98" s="115"/>
      <c r="K98" s="188"/>
      <c r="L98" s="188"/>
      <c r="M98" s="188"/>
      <c r="N98" s="188"/>
      <c r="O98" s="188"/>
      <c r="P98" s="188"/>
      <c r="Q98" s="189"/>
      <c r="R98" s="177"/>
      <c r="S98" s="177"/>
      <c r="T98" s="190"/>
      <c r="U98" s="139"/>
      <c r="V98" s="154"/>
      <c r="W98" s="170"/>
      <c r="X98" s="405" t="str">
        <f>B31</f>
        <v>South East</v>
      </c>
      <c r="Y98" s="406" t="e">
        <f t="shared" si="30"/>
        <v>#N/A</v>
      </c>
      <c r="Z98" s="406" t="e">
        <f t="shared" si="31"/>
        <v>#N/A</v>
      </c>
      <c r="AA98" s="223"/>
      <c r="AB98" s="224"/>
      <c r="AC98" s="224"/>
      <c r="AD98" s="226"/>
      <c r="AE98" s="232"/>
      <c r="AF98" s="232"/>
      <c r="AG98" s="232"/>
      <c r="AH98" s="217"/>
      <c r="AI98" s="232"/>
      <c r="AJ98" s="178"/>
    </row>
    <row r="99" spans="1:45" s="101" customFormat="1" ht="11.25" customHeight="1" x14ac:dyDescent="0.2">
      <c r="A99" s="324"/>
      <c r="B99" s="414"/>
      <c r="C99" s="414"/>
      <c r="D99" s="414"/>
      <c r="E99" s="414"/>
      <c r="F99" s="414"/>
      <c r="G99" s="414"/>
      <c r="H99" s="414"/>
      <c r="I99" s="115"/>
      <c r="J99" s="115"/>
      <c r="K99" s="188"/>
      <c r="L99" s="188"/>
      <c r="M99" s="188"/>
      <c r="N99" s="188"/>
      <c r="O99" s="188"/>
      <c r="P99" s="188"/>
      <c r="Q99" s="189"/>
      <c r="R99" s="177"/>
      <c r="S99" s="177"/>
      <c r="T99" s="190"/>
      <c r="U99" s="139"/>
      <c r="V99" s="154"/>
      <c r="W99" s="170"/>
      <c r="X99" s="405" t="str">
        <f>B32</f>
        <v>England</v>
      </c>
      <c r="Y99" s="406" t="e">
        <f t="shared" si="30"/>
        <v>#N/A</v>
      </c>
      <c r="Z99" s="406" t="e">
        <f t="shared" si="31"/>
        <v>#N/A</v>
      </c>
      <c r="AA99" s="223"/>
      <c r="AB99" s="224"/>
      <c r="AC99" s="224"/>
      <c r="AD99" s="226"/>
      <c r="AE99" s="232"/>
      <c r="AF99" s="232"/>
      <c r="AG99" s="232"/>
      <c r="AH99" s="217"/>
      <c r="AI99" s="232"/>
      <c r="AJ99" s="178"/>
    </row>
    <row r="100" spans="1:45" s="88" customFormat="1" ht="42" customHeight="1" x14ac:dyDescent="0.2">
      <c r="A100" s="249"/>
      <c r="B100" s="414"/>
      <c r="C100" s="414"/>
      <c r="D100" s="414"/>
      <c r="E100" s="414"/>
      <c r="F100" s="414"/>
      <c r="G100" s="414"/>
      <c r="H100" s="414"/>
      <c r="I100" s="421"/>
      <c r="J100" s="192"/>
      <c r="K100" s="192"/>
      <c r="L100" s="192"/>
      <c r="M100" s="192"/>
      <c r="N100" s="192"/>
      <c r="O100" s="192"/>
      <c r="P100" s="192"/>
      <c r="Q100" s="151"/>
      <c r="R100" s="192"/>
      <c r="S100" s="192"/>
      <c r="T100" s="192"/>
      <c r="U100" s="134"/>
      <c r="V100" s="152"/>
      <c r="W100" s="168"/>
      <c r="AC100" s="224"/>
      <c r="AD100" s="226"/>
      <c r="AE100" s="210"/>
      <c r="AF100" s="210"/>
      <c r="AG100" s="210"/>
      <c r="AI100" s="210"/>
      <c r="AJ100" s="179"/>
    </row>
    <row r="101" spans="1:45" s="88" customFormat="1" ht="42" customHeight="1" x14ac:dyDescent="0.2">
      <c r="A101" s="249"/>
      <c r="B101" s="414"/>
      <c r="C101" s="414"/>
      <c r="D101" s="414"/>
      <c r="E101" s="414"/>
      <c r="F101" s="414"/>
      <c r="G101" s="414"/>
      <c r="H101" s="414"/>
      <c r="I101" s="421"/>
      <c r="J101" s="192"/>
      <c r="K101" s="192"/>
      <c r="L101" s="192"/>
      <c r="M101" s="192"/>
      <c r="N101" s="192"/>
      <c r="O101" s="192"/>
      <c r="P101" s="192"/>
      <c r="Q101" s="151"/>
      <c r="R101" s="192"/>
      <c r="S101" s="192"/>
      <c r="T101" s="192"/>
      <c r="U101" s="134"/>
      <c r="V101" s="152"/>
      <c r="W101" s="168"/>
      <c r="Y101" s="217"/>
      <c r="AD101" s="226"/>
      <c r="AE101" s="210"/>
      <c r="AF101" s="210"/>
      <c r="AG101" s="210"/>
      <c r="AI101" s="210"/>
      <c r="AJ101" s="179"/>
    </row>
    <row r="102" spans="1:45" s="88" customFormat="1" ht="33" customHeight="1" x14ac:dyDescent="0.2">
      <c r="A102" s="249"/>
      <c r="B102" s="421"/>
      <c r="C102" s="421"/>
      <c r="D102" s="421"/>
      <c r="E102" s="421"/>
      <c r="F102" s="421"/>
      <c r="G102" s="421"/>
      <c r="H102" s="421"/>
      <c r="I102" s="421"/>
      <c r="J102" s="192"/>
      <c r="K102" s="192"/>
      <c r="L102" s="192"/>
      <c r="M102" s="192"/>
      <c r="N102" s="192"/>
      <c r="O102" s="192"/>
      <c r="P102" s="192"/>
      <c r="Q102" s="151"/>
      <c r="R102" s="192"/>
      <c r="S102" s="192"/>
      <c r="T102" s="192"/>
      <c r="U102" s="134"/>
      <c r="V102" s="152"/>
      <c r="W102" s="168"/>
      <c r="Y102" s="217"/>
      <c r="AD102" s="226"/>
      <c r="AE102" s="210"/>
      <c r="AF102" s="210"/>
      <c r="AG102" s="210"/>
      <c r="AI102" s="210"/>
      <c r="AJ102" s="179"/>
    </row>
    <row r="103" spans="1:45" s="88" customFormat="1" ht="7.5" customHeight="1" x14ac:dyDescent="0.2">
      <c r="A103" s="135"/>
      <c r="B103" s="18"/>
      <c r="C103" s="18"/>
      <c r="D103" s="17"/>
      <c r="E103" s="17"/>
      <c r="F103" s="17"/>
      <c r="G103" s="17"/>
      <c r="H103" s="17"/>
      <c r="I103" s="17"/>
      <c r="J103" s="13"/>
      <c r="K103" s="19"/>
      <c r="L103" s="19"/>
      <c r="M103" s="19"/>
      <c r="N103" s="19"/>
      <c r="O103" s="19"/>
      <c r="P103" s="19"/>
      <c r="Q103" s="19"/>
      <c r="R103" s="19"/>
      <c r="S103" s="19"/>
      <c r="T103" s="20"/>
      <c r="U103" s="134"/>
      <c r="V103" s="152"/>
      <c r="W103" s="168"/>
      <c r="Y103" s="217"/>
      <c r="AI103" s="210"/>
      <c r="AJ103" s="175"/>
      <c r="AK103" s="80"/>
      <c r="AL103" s="80"/>
      <c r="AM103" s="80"/>
      <c r="AN103" s="80"/>
      <c r="AO103" s="80"/>
      <c r="AP103" s="80"/>
      <c r="AQ103" s="80"/>
    </row>
    <row r="104" spans="1:45" s="88" customFormat="1" ht="15" customHeight="1" x14ac:dyDescent="0.2">
      <c r="A104" s="1010"/>
      <c r="B104" s="1018"/>
      <c r="C104" s="1018"/>
      <c r="D104" s="1018"/>
      <c r="E104" s="1018"/>
      <c r="F104" s="1018"/>
      <c r="G104" s="1018"/>
      <c r="H104" s="1018"/>
      <c r="I104" s="1018"/>
      <c r="J104" s="1018"/>
      <c r="K104" s="1018"/>
      <c r="L104" s="1018"/>
      <c r="M104" s="1018"/>
      <c r="N104" s="1018"/>
      <c r="O104" s="1018"/>
      <c r="P104" s="1018"/>
      <c r="Q104" s="1018"/>
      <c r="R104" s="1018"/>
      <c r="S104" s="1018"/>
      <c r="T104" s="1018"/>
      <c r="U104" s="1019"/>
      <c r="V104" s="152"/>
      <c r="W104" s="168"/>
      <c r="X104" s="215"/>
      <c r="Y104" s="215"/>
      <c r="AJ104" s="179"/>
      <c r="AS104" s="80"/>
    </row>
    <row r="105" spans="1:45" s="88" customFormat="1" ht="11.25" customHeight="1" x14ac:dyDescent="0.2">
      <c r="A105" s="1020" t="str">
        <f>Home!$A$35</f>
        <v>LA's provide quarterly data on the condition that it is used by the benchmarking group for internal reporting only. Please DO NOT share other LA's data with any external partners or the public</v>
      </c>
      <c r="B105" s="1021"/>
      <c r="C105" s="1021"/>
      <c r="D105" s="1021"/>
      <c r="E105" s="1021"/>
      <c r="F105" s="1021"/>
      <c r="G105" s="1021"/>
      <c r="H105" s="1021"/>
      <c r="I105" s="1022"/>
      <c r="J105" s="1021"/>
      <c r="K105" s="1021"/>
      <c r="L105" s="1021"/>
      <c r="M105" s="1021"/>
      <c r="N105" s="1021"/>
      <c r="O105" s="1021"/>
      <c r="P105" s="1021"/>
      <c r="Q105" s="1021"/>
      <c r="R105" s="1021"/>
      <c r="S105" s="1022"/>
      <c r="T105" s="1021"/>
      <c r="U105" s="1023"/>
      <c r="V105" s="152"/>
      <c r="W105" s="168"/>
      <c r="X105" s="215"/>
      <c r="Y105" s="215"/>
      <c r="AI105" s="210"/>
      <c r="AJ105" s="178"/>
      <c r="AK105" s="101"/>
      <c r="AS105" s="80"/>
    </row>
    <row r="106" spans="1:45" ht="11.25" customHeight="1" x14ac:dyDescent="0.2">
      <c r="A106" s="129"/>
      <c r="B106" s="130"/>
      <c r="C106" s="130"/>
      <c r="D106" s="130"/>
      <c r="E106" s="130"/>
      <c r="F106" s="130"/>
      <c r="G106" s="130"/>
      <c r="H106" s="130"/>
      <c r="I106" s="130"/>
      <c r="J106" s="131"/>
      <c r="K106" s="130"/>
      <c r="L106" s="130"/>
      <c r="M106" s="130"/>
      <c r="N106" s="130"/>
      <c r="O106" s="130"/>
      <c r="P106" s="130"/>
      <c r="Q106" s="130"/>
      <c r="R106" s="130"/>
      <c r="S106" s="130"/>
      <c r="T106" s="130"/>
      <c r="U106" s="132"/>
      <c r="V106" s="152"/>
      <c r="W106" s="168"/>
      <c r="X106" s="215"/>
      <c r="Y106" s="215"/>
      <c r="AI106" s="210"/>
      <c r="AJ106" s="175"/>
    </row>
    <row r="107" spans="1:45" s="82" customFormat="1" ht="17.25" customHeight="1" x14ac:dyDescent="0.2">
      <c r="A107" s="136"/>
      <c r="B107" s="1100" t="s">
        <v>154</v>
      </c>
      <c r="C107" s="1100"/>
      <c r="D107" s="1100"/>
      <c r="E107" s="1100"/>
      <c r="F107" s="1100"/>
      <c r="G107" s="1100"/>
      <c r="H107" s="1100"/>
      <c r="I107" s="1100"/>
      <c r="J107" s="70"/>
      <c r="K107" s="70"/>
      <c r="L107" s="70"/>
      <c r="M107" s="70"/>
      <c r="N107" s="409"/>
      <c r="O107" s="70"/>
      <c r="P107" s="70"/>
      <c r="Q107" s="70"/>
      <c r="R107" s="70"/>
      <c r="S107" s="70"/>
      <c r="T107" s="70"/>
      <c r="U107" s="137"/>
      <c r="V107" s="153"/>
      <c r="W107" s="169"/>
      <c r="X107" s="436" t="s">
        <v>162</v>
      </c>
      <c r="Y107" s="437"/>
      <c r="Z107" s="438"/>
      <c r="AA107" s="438"/>
      <c r="AB107" s="438"/>
      <c r="AC107" s="650"/>
      <c r="AD107" s="436" t="s">
        <v>163</v>
      </c>
      <c r="AE107" s="437"/>
      <c r="AF107" s="438"/>
      <c r="AG107" s="438"/>
      <c r="AH107" s="438"/>
      <c r="AI107" s="650"/>
      <c r="AJ107" s="176"/>
    </row>
    <row r="108" spans="1:45" ht="20.25" customHeight="1" x14ac:dyDescent="0.2">
      <c r="A108" s="135"/>
      <c r="B108" s="1100"/>
      <c r="C108" s="1100"/>
      <c r="D108" s="1100"/>
      <c r="E108" s="1100"/>
      <c r="F108" s="1100"/>
      <c r="G108" s="1100"/>
      <c r="H108" s="1100"/>
      <c r="I108" s="1100"/>
      <c r="J108" s="70"/>
      <c r="K108" s="70"/>
      <c r="L108" s="70"/>
      <c r="M108" s="70"/>
      <c r="N108" s="409"/>
      <c r="O108" s="70"/>
      <c r="P108" s="70"/>
      <c r="Q108" s="10"/>
      <c r="R108" s="70"/>
      <c r="S108" s="70"/>
      <c r="T108" s="70"/>
      <c r="U108" s="134"/>
      <c r="V108" s="152"/>
      <c r="W108" s="168"/>
      <c r="X108" s="438"/>
      <c r="Y108" s="437"/>
      <c r="Z108" s="438"/>
      <c r="AA108" s="438"/>
      <c r="AB108" s="438"/>
      <c r="AC108" s="650"/>
      <c r="AD108" s="438"/>
      <c r="AE108" s="437"/>
      <c r="AF108" s="438"/>
      <c r="AG108" s="438"/>
      <c r="AH108" s="438"/>
      <c r="AI108" s="650"/>
      <c r="AJ108" s="175"/>
    </row>
    <row r="109" spans="1:45" s="101" customFormat="1" ht="27" customHeight="1" x14ac:dyDescent="0.2">
      <c r="A109" s="138"/>
      <c r="B109" s="540" t="s">
        <v>215</v>
      </c>
      <c r="C109" s="97"/>
      <c r="D109" s="393">
        <f>D8</f>
        <v>2014</v>
      </c>
      <c r="E109" s="393">
        <f t="shared" ref="E109:H109" si="32">E8</f>
        <v>2015</v>
      </c>
      <c r="F109" s="393">
        <f t="shared" si="32"/>
        <v>2016</v>
      </c>
      <c r="G109" s="393">
        <f t="shared" si="32"/>
        <v>2017</v>
      </c>
      <c r="H109" s="394">
        <f t="shared" si="32"/>
        <v>2018</v>
      </c>
      <c r="I109" s="115"/>
      <c r="J109" s="115"/>
      <c r="K109" s="62"/>
      <c r="L109" s="62"/>
      <c r="M109" s="62"/>
      <c r="N109" s="62"/>
      <c r="O109" s="62"/>
      <c r="P109" s="417"/>
      <c r="Q109" s="417"/>
      <c r="R109" s="177"/>
      <c r="S109" s="177"/>
      <c r="T109" s="418"/>
      <c r="U109" s="139"/>
      <c r="V109" s="154"/>
      <c r="W109" s="170"/>
      <c r="X109" s="634"/>
      <c r="Y109" s="638">
        <f>D109</f>
        <v>2014</v>
      </c>
      <c r="Z109" s="534">
        <f t="shared" ref="Z109:AC109" si="33">E109</f>
        <v>2015</v>
      </c>
      <c r="AA109" s="534">
        <f t="shared" si="33"/>
        <v>2016</v>
      </c>
      <c r="AB109" s="534">
        <f t="shared" si="33"/>
        <v>2017</v>
      </c>
      <c r="AC109" s="635">
        <f t="shared" si="33"/>
        <v>2018</v>
      </c>
      <c r="AD109" s="439"/>
      <c r="AE109" s="534">
        <f>Y109</f>
        <v>2014</v>
      </c>
      <c r="AF109" s="534">
        <f t="shared" ref="AF109:AI109" si="34">Z109</f>
        <v>2015</v>
      </c>
      <c r="AG109" s="534">
        <f t="shared" si="34"/>
        <v>2016</v>
      </c>
      <c r="AH109" s="534">
        <f t="shared" si="34"/>
        <v>2017</v>
      </c>
      <c r="AI109" s="534">
        <f t="shared" si="34"/>
        <v>2018</v>
      </c>
      <c r="AJ109" s="178"/>
    </row>
    <row r="110" spans="1:45" s="101" customFormat="1" ht="12.75" customHeight="1" x14ac:dyDescent="0.2">
      <c r="A110" s="533">
        <f>VLOOKUP(B110,Sheet1!$B$4:$C$25,2,FALSE)</f>
        <v>0</v>
      </c>
      <c r="B110" s="112" t="str">
        <f>B9</f>
        <v>Bracknell Forest</v>
      </c>
      <c r="C110" s="97"/>
      <c r="D110" s="182">
        <f>IF(AND(ISNUMBER(AE110),ISNUMBER(Y110)),AE110/Y110,NA())</f>
        <v>8.5271317829457363E-2</v>
      </c>
      <c r="E110" s="182">
        <f t="shared" ref="E110:H110" si="35">IF(AND(ISNUMBER(AF110),ISNUMBER(Z110)),AF110/Z110,NA())</f>
        <v>5.3846153846153849E-2</v>
      </c>
      <c r="F110" s="182">
        <f t="shared" si="35"/>
        <v>0.12162162162162163</v>
      </c>
      <c r="G110" s="182">
        <f t="shared" si="35"/>
        <v>8.9171974522292988E-2</v>
      </c>
      <c r="H110" s="184">
        <f t="shared" si="35"/>
        <v>0</v>
      </c>
      <c r="I110" s="115"/>
      <c r="J110" s="115"/>
      <c r="K110" s="186"/>
      <c r="L110" s="186"/>
      <c r="M110" s="186"/>
      <c r="N110" s="186"/>
      <c r="O110" s="186"/>
      <c r="P110" s="186"/>
      <c r="Q110" s="187"/>
      <c r="R110" s="177"/>
      <c r="S110" s="177"/>
      <c r="T110" s="186"/>
      <c r="U110" s="139"/>
      <c r="V110" s="154"/>
      <c r="W110" s="170"/>
      <c r="X110" s="634" t="str">
        <f>B110</f>
        <v>Bracknell Forest</v>
      </c>
      <c r="Y110" s="638">
        <f>IF(Year1_Bracknell_Forest Year1_CP_Plans_ceased="","",Year1_Bracknell_Forest Year1_CP_Plans_ceased)</f>
        <v>129</v>
      </c>
      <c r="Z110" s="424">
        <f>IF(Year2_Bracknell_Forest Year2_CP_Plans_ceased="","",Year2_Bracknell_Forest Year2_CP_Plans_ceased)</f>
        <v>130</v>
      </c>
      <c r="AA110" s="424">
        <f>IF(Year3_Bracknell_Forest Year3_CP_Plans_ceased="","",Year3_Bracknell_Forest Year3_CP_Plans_ceased)</f>
        <v>148</v>
      </c>
      <c r="AB110" s="424">
        <f>IF(Year4_Bracknell_Forest Year4_CP_Plans_ceased="","",Year4_Bracknell_Forest Year4_CP_Plans_ceased)</f>
        <v>157</v>
      </c>
      <c r="AC110" s="634">
        <f>IF(Year5_Bracknell_Forest Year5_CP_Plans_ceased="","",Year5_Bracknell_Forest Year5_CP_Plans_ceased)</f>
        <v>235</v>
      </c>
      <c r="AD110" s="439" t="str">
        <f>X110</f>
        <v>Bracknell Forest</v>
      </c>
      <c r="AE110" s="534">
        <f>IF(Year1_Bracknell_Forest Year1_CP_Plans_ceased_2years="","",Year1_Bracknell_Forest Year1_CP_Plans_ceased_2years)</f>
        <v>11</v>
      </c>
      <c r="AF110" s="424">
        <f>IF(Year2_Bracknell_Forest Year2_CP_Plans_ceased_2years="","",Year2_Bracknell_Forest Year2_CP_Plans_ceased_2years)</f>
        <v>7</v>
      </c>
      <c r="AG110" s="424">
        <f>IF(Year3_Bracknell_Forest Year3_CP_Plans_ceased_2years="","",Year3_Bracknell_Forest Year3_CP_Plans_ceased_2years)</f>
        <v>18</v>
      </c>
      <c r="AH110" s="424">
        <f>IF(Year4_Bracknell_Forest Year4_CP_Plans_ceased_2years="","",Year4_Bracknell_Forest Year4_CP_Plans_ceased_2years)</f>
        <v>14</v>
      </c>
      <c r="AI110" s="424">
        <f>IF(Year5_Bracknell_Forest Year5_CP_Plans_ceased_2years="","",Year5_Bracknell_Forest Year5_CP_Plans_ceased_2years)</f>
        <v>0</v>
      </c>
      <c r="AJ110" s="178"/>
    </row>
    <row r="111" spans="1:45" s="101" customFormat="1" ht="12.75" customHeight="1" x14ac:dyDescent="0.2">
      <c r="A111" s="533">
        <f>VLOOKUP(B111,Sheet1!$B$4:$C$25,2,FALSE)</f>
        <v>0</v>
      </c>
      <c r="B111" s="112" t="str">
        <f t="shared" ref="B111:B133" si="36">B10</f>
        <v>Brighton &amp; Hove</v>
      </c>
      <c r="C111" s="97"/>
      <c r="D111" s="182">
        <f t="shared" ref="D111:D133" si="37">IF(AND(ISNUMBER(AE111),ISNUMBER(Y111)),AE111/Y111,NA())</f>
        <v>5.232558139534884E-2</v>
      </c>
      <c r="E111" s="182">
        <f t="shared" ref="E111:E133" si="38">IF(AND(ISNUMBER(AF111),ISNUMBER(Z111)),AF111/Z111,NA())</f>
        <v>2.865329512893983E-2</v>
      </c>
      <c r="F111" s="182">
        <f t="shared" ref="F111:F133" si="39">IF(AND(ISNUMBER(AG111),ISNUMBER(AA111)),AG111/AA111,NA())</f>
        <v>7.6704545454545456E-2</v>
      </c>
      <c r="G111" s="182">
        <f t="shared" ref="G111:G133" si="40">IF(AND(ISNUMBER(AH111),ISNUMBER(AB111)),AH111/AB111,NA())</f>
        <v>3.2407407407407406E-2</v>
      </c>
      <c r="H111" s="184">
        <f t="shared" ref="H111:H133" si="41">IF(AND(ISNUMBER(AI111),ISNUMBER(AC111)),AI111/AC111,NA())</f>
        <v>7.575757575757576E-2</v>
      </c>
      <c r="I111" s="115"/>
      <c r="J111" s="115"/>
      <c r="K111" s="186"/>
      <c r="L111" s="186"/>
      <c r="M111" s="186"/>
      <c r="N111" s="186"/>
      <c r="O111" s="186"/>
      <c r="P111" s="186"/>
      <c r="Q111" s="187"/>
      <c r="R111" s="177"/>
      <c r="S111" s="177"/>
      <c r="T111" s="186"/>
      <c r="U111" s="139"/>
      <c r="V111" s="154"/>
      <c r="W111" s="170"/>
      <c r="X111" s="634" t="str">
        <f t="shared" ref="X111:X133" si="42">B111</f>
        <v>Brighton &amp; Hove</v>
      </c>
      <c r="Y111" s="638">
        <f>IF(Year1_Brighton_Hove Year1_CP_Plans_ceased="","",Year1_Brighton_Hove Year1_CP_Plans_ceased)</f>
        <v>344</v>
      </c>
      <c r="Z111" s="424">
        <f>IF(Year2_Brighton_Hove Year2_CP_Plans_ceased="","",Year2_Brighton_Hove Year2_CP_Plans_ceased)</f>
        <v>349</v>
      </c>
      <c r="AA111" s="424">
        <f>IF(Year3_Brighton_Hove Year3_CP_Plans_ceased="","",Year3_Brighton_Hove Year3_CP_Plans_ceased)</f>
        <v>352</v>
      </c>
      <c r="AB111" s="424">
        <f>IF(Year4_Brighton_Hove Year4_CP_Plans_ceased="","",Year4_Brighton_Hove Year4_CP_Plans_ceased)</f>
        <v>432</v>
      </c>
      <c r="AC111" s="634">
        <f>IF(Year5_Brighton_Hove Year5_CP_Plans_ceased="","",Year5_Brighton_Hove Year5_CP_Plans_ceased)</f>
        <v>396</v>
      </c>
      <c r="AD111" s="439" t="str">
        <f t="shared" ref="AD111:AD133" si="43">X111</f>
        <v>Brighton &amp; Hove</v>
      </c>
      <c r="AE111" s="534">
        <f>IF(Year1_Brighton_Hove Year1_CP_Plans_ceased_2years="","",Year1_Brighton_Hove Year1_CP_Plans_ceased_2years)</f>
        <v>18</v>
      </c>
      <c r="AF111" s="424">
        <f>IF(Year2_Brighton_Hove Year2_CP_Plans_ceased_2years="","",Year2_Brighton_Hove Year2_CP_Plans_ceased_2years)</f>
        <v>10</v>
      </c>
      <c r="AG111" s="424">
        <f>IF(Year3_Brighton_Hove Year3_CP_Plans_ceased_2years="","",Year3_Brighton_Hove Year3_CP_Plans_ceased_2years)</f>
        <v>27</v>
      </c>
      <c r="AH111" s="424">
        <f>IF(Year4_Brighton_Hove Year4_CP_Plans_ceased_2years="","",Year4_Brighton_Hove Year4_CP_Plans_ceased_2years)</f>
        <v>14</v>
      </c>
      <c r="AI111" s="424">
        <f>IF(Year5_Brighton_Hove Year5_CP_Plans_ceased_2years="","",Year5_Brighton_Hove Year5_CP_Plans_ceased_2years)</f>
        <v>30</v>
      </c>
      <c r="AJ111" s="178"/>
    </row>
    <row r="112" spans="1:45" s="101" customFormat="1" ht="12.75" customHeight="1" x14ac:dyDescent="0.2">
      <c r="A112" s="533">
        <f>VLOOKUP(B112,Sheet1!$B$4:$C$25,2,FALSE)</f>
        <v>0</v>
      </c>
      <c r="B112" s="112" t="str">
        <f t="shared" si="36"/>
        <v>Buckinghamshire</v>
      </c>
      <c r="C112" s="97"/>
      <c r="D112" s="182">
        <f t="shared" si="37"/>
        <v>9.166666666666666E-2</v>
      </c>
      <c r="E112" s="182">
        <f t="shared" si="38"/>
        <v>2.8248587570621469E-2</v>
      </c>
      <c r="F112" s="182">
        <f t="shared" si="39"/>
        <v>3.5490605427974949E-2</v>
      </c>
      <c r="G112" s="182">
        <f t="shared" si="40"/>
        <v>2.3961661341853034E-2</v>
      </c>
      <c r="H112" s="184">
        <f t="shared" si="41"/>
        <v>3.1645569620253167E-2</v>
      </c>
      <c r="I112" s="115"/>
      <c r="J112" s="115"/>
      <c r="K112" s="186"/>
      <c r="L112" s="186"/>
      <c r="M112" s="186"/>
      <c r="N112" s="186"/>
      <c r="O112" s="186"/>
      <c r="P112" s="186"/>
      <c r="Q112" s="187"/>
      <c r="R112" s="177"/>
      <c r="S112" s="177"/>
      <c r="T112" s="186"/>
      <c r="U112" s="139"/>
      <c r="V112" s="154"/>
      <c r="W112" s="170"/>
      <c r="X112" s="634" t="str">
        <f t="shared" si="42"/>
        <v>Buckinghamshire</v>
      </c>
      <c r="Y112" s="638">
        <f>IF(Year1_Buckinghamshire Year1_CP_Plans_ceased="","",Year1_Buckinghamshire Year1_CP_Plans_ceased)</f>
        <v>240</v>
      </c>
      <c r="Z112" s="424">
        <f>IF(Year2_Buckinghamshire Year2_CP_Plans_ceased="","",Year2_Buckinghamshire Year2_CP_Plans_ceased)</f>
        <v>354</v>
      </c>
      <c r="AA112" s="424">
        <f>IF(Year3_Buckinghamshire Year3_CP_Plans_ceased="","",Year3_Buckinghamshire Year3_CP_Plans_ceased)</f>
        <v>479</v>
      </c>
      <c r="AB112" s="424">
        <f>IF(Year4_Buckinghamshire Year4_CP_Plans_ceased="","",Year4_Buckinghamshire Year4_CP_Plans_ceased)</f>
        <v>626</v>
      </c>
      <c r="AC112" s="634">
        <f>IF(Year5_Buckinghamshire Year5_CP_Plans_ceased="","",Year5_Buckinghamshire Year5_CP_Plans_ceased)</f>
        <v>632</v>
      </c>
      <c r="AD112" s="439" t="str">
        <f t="shared" si="43"/>
        <v>Buckinghamshire</v>
      </c>
      <c r="AE112" s="534">
        <f>IF(Year1_Buckinghamshire Year1_CP_Plans_ceased_2years="","",Year1_Buckinghamshire Year1_CP_Plans_ceased_2years)</f>
        <v>22</v>
      </c>
      <c r="AF112" s="424">
        <f>IF(Year2_Buckinghamshire Year2_CP_Plans_ceased_2years="","",Year2_Buckinghamshire Year2_CP_Plans_ceased_2years)</f>
        <v>10</v>
      </c>
      <c r="AG112" s="424">
        <f>IF(Year3_Buckinghamshire Year3_CP_Plans_ceased_2years="","",Year3_Buckinghamshire Year3_CP_Plans_ceased_2years)</f>
        <v>17</v>
      </c>
      <c r="AH112" s="424">
        <f>IF(Year4_Buckinghamshire Year4_CP_Plans_ceased_2years="","",Year4_Buckinghamshire Year4_CP_Plans_ceased_2years)</f>
        <v>15</v>
      </c>
      <c r="AI112" s="424">
        <f>IF(Year5_Buckinghamshire Year5_CP_Plans_ceased_2years="","",Year5_Buckinghamshire Year5_CP_Plans_ceased_2years)</f>
        <v>20</v>
      </c>
      <c r="AJ112" s="178"/>
    </row>
    <row r="113" spans="1:44" s="101" customFormat="1" ht="12.75" customHeight="1" x14ac:dyDescent="0.2">
      <c r="A113" s="533">
        <f>VLOOKUP(B113,Sheet1!$B$4:$C$25,2,FALSE)</f>
        <v>0</v>
      </c>
      <c r="B113" s="112" t="str">
        <f t="shared" si="36"/>
        <v>East Sussex</v>
      </c>
      <c r="C113" s="97"/>
      <c r="D113" s="182">
        <f t="shared" si="37"/>
        <v>0.10039370078740158</v>
      </c>
      <c r="E113" s="182">
        <f t="shared" si="38"/>
        <v>0.10641399416909621</v>
      </c>
      <c r="F113" s="182">
        <f t="shared" si="39"/>
        <v>7.4626865671641784E-2</v>
      </c>
      <c r="G113" s="182">
        <f t="shared" si="40"/>
        <v>8.8709677419354843E-2</v>
      </c>
      <c r="H113" s="184">
        <f t="shared" si="41"/>
        <v>9.0740740740740747E-2</v>
      </c>
      <c r="I113" s="115"/>
      <c r="J113" s="115"/>
      <c r="K113" s="186"/>
      <c r="L113" s="186"/>
      <c r="M113" s="186"/>
      <c r="N113" s="186"/>
      <c r="O113" s="186"/>
      <c r="P113" s="186"/>
      <c r="Q113" s="187"/>
      <c r="R113" s="177"/>
      <c r="S113" s="177"/>
      <c r="T113" s="186"/>
      <c r="U113" s="139"/>
      <c r="V113" s="154"/>
      <c r="W113" s="170"/>
      <c r="X113" s="634" t="str">
        <f t="shared" si="42"/>
        <v>East Sussex</v>
      </c>
      <c r="Y113" s="638">
        <f>IF(Year1_East_Sussex Year1_CP_Plans_ceased="","",Year1_East_Sussex Year1_CP_Plans_ceased)</f>
        <v>508</v>
      </c>
      <c r="Z113" s="424">
        <f>IF(Year2_East_Sussex Year2_CP_Plans_ceased="","",Year2_East_Sussex Year2_CP_Plans_ceased)</f>
        <v>686</v>
      </c>
      <c r="AA113" s="424">
        <f>IF(Year3_East_Sussex Year3_CP_Plans_ceased="","",Year3_East_Sussex Year3_CP_Plans_ceased)</f>
        <v>469</v>
      </c>
      <c r="AB113" s="424">
        <f>IF(Year4_East_Sussex Year4_CP_Plans_ceased="","",Year4_East_Sussex Year4_CP_Plans_ceased)</f>
        <v>496</v>
      </c>
      <c r="AC113" s="634">
        <f>IF(Year5_East_Sussex Year5_CP_Plans_ceased="","",Year5_East_Sussex Year5_CP_Plans_ceased)</f>
        <v>540</v>
      </c>
      <c r="AD113" s="439" t="str">
        <f t="shared" si="43"/>
        <v>East Sussex</v>
      </c>
      <c r="AE113" s="534">
        <f>IF(Year1_East_Sussex Year1_CP_Plans_ceased_2years="","",Year1_East_Sussex Year1_CP_Plans_ceased_2years)</f>
        <v>51</v>
      </c>
      <c r="AF113" s="424">
        <f>IF(Year2_East_Sussex Year2_CP_Plans_ceased_2years="","",Year2_East_Sussex Year2_CP_Plans_ceased_2years)</f>
        <v>73</v>
      </c>
      <c r="AG113" s="424">
        <f>IF(Year3_East_Sussex Year3_CP_Plans_ceased_2years="","",Year3_East_Sussex Year3_CP_Plans_ceased_2years)</f>
        <v>35</v>
      </c>
      <c r="AH113" s="424">
        <f>IF(Year4_East_Sussex Year4_CP_Plans_ceased_2years="","",Year4_East_Sussex Year4_CP_Plans_ceased_2years)</f>
        <v>44</v>
      </c>
      <c r="AI113" s="424">
        <f>IF(Year5_East_Sussex Year5_CP_Plans_ceased_2years="","",Year5_East_Sussex Year5_CP_Plans_ceased_2years)</f>
        <v>49</v>
      </c>
      <c r="AJ113" s="178"/>
    </row>
    <row r="114" spans="1:44" s="101" customFormat="1" ht="12.75" customHeight="1" x14ac:dyDescent="0.2">
      <c r="A114" s="533">
        <f>VLOOKUP(B114,Sheet1!$B$4:$C$25,2,FALSE)</f>
        <v>0</v>
      </c>
      <c r="B114" s="112" t="str">
        <f t="shared" si="36"/>
        <v>Hampshire</v>
      </c>
      <c r="C114" s="97"/>
      <c r="D114" s="182">
        <f t="shared" si="37"/>
        <v>3.1662269129287601E-2</v>
      </c>
      <c r="E114" s="182">
        <f t="shared" si="38"/>
        <v>2.7112232030264818E-2</v>
      </c>
      <c r="F114" s="182">
        <f t="shared" si="39"/>
        <v>4.1009463722397478E-2</v>
      </c>
      <c r="G114" s="182">
        <f t="shared" si="40"/>
        <v>4.8891415577032402E-2</v>
      </c>
      <c r="H114" s="184">
        <f t="shared" si="41"/>
        <v>7.1952031978680886E-2</v>
      </c>
      <c r="I114" s="115"/>
      <c r="J114" s="115"/>
      <c r="K114" s="186"/>
      <c r="L114" s="186"/>
      <c r="M114" s="186"/>
      <c r="N114" s="186"/>
      <c r="O114" s="186"/>
      <c r="P114" s="186"/>
      <c r="Q114" s="187"/>
      <c r="R114" s="177"/>
      <c r="S114" s="177"/>
      <c r="T114" s="186"/>
      <c r="U114" s="139"/>
      <c r="V114" s="154"/>
      <c r="W114" s="170"/>
      <c r="X114" s="634" t="str">
        <f t="shared" si="42"/>
        <v>Hampshire</v>
      </c>
      <c r="Y114" s="638">
        <f>IF(Year1_Hampshire Year1_CP_Plans_ceased="","",Year1_Hampshire Year1_CP_Plans_ceased)</f>
        <v>1137</v>
      </c>
      <c r="Z114" s="424">
        <f>IF(Year2_Hampshire Year2_CP_Plans_ceased="","",Year2_Hampshire Year2_CP_Plans_ceased)</f>
        <v>1586</v>
      </c>
      <c r="AA114" s="424">
        <f>IF(Year3_Hampshire Year3_CP_Plans_ceased="","",Year3_Hampshire Year3_CP_Plans_ceased)</f>
        <v>1585</v>
      </c>
      <c r="AB114" s="424">
        <f>IF(Year4_Hampshire Year4_CP_Plans_ceased="","",Year4_Hampshire Year4_CP_Plans_ceased)</f>
        <v>1759</v>
      </c>
      <c r="AC114" s="634">
        <f>IF(Year5_Hampshire Year5_CP_Plans_ceased="","",Year5_Hampshire Year5_CP_Plans_ceased)</f>
        <v>1501</v>
      </c>
      <c r="AD114" s="439" t="str">
        <f t="shared" si="43"/>
        <v>Hampshire</v>
      </c>
      <c r="AE114" s="534">
        <f>IF(Year1_Hampshire Year1_CP_Plans_ceased_2years="","",Year1_Hampshire Year1_CP_Plans_ceased_2years)</f>
        <v>36</v>
      </c>
      <c r="AF114" s="424">
        <f>IF(Year2_Hampshire Year2_CP_Plans_ceased_2years="","",Year2_Hampshire Year2_CP_Plans_ceased_2years)</f>
        <v>43</v>
      </c>
      <c r="AG114" s="424">
        <f>IF(Year3_Hampshire Year3_CP_Plans_ceased_2years="","",Year3_Hampshire Year3_CP_Plans_ceased_2years)</f>
        <v>65</v>
      </c>
      <c r="AH114" s="424">
        <f>IF(Year4_Hampshire Year4_CP_Plans_ceased_2years="","",Year4_Hampshire Year4_CP_Plans_ceased_2years)</f>
        <v>86</v>
      </c>
      <c r="AI114" s="424">
        <f>IF(Year5_Hampshire Year5_CP_Plans_ceased_2years="","",Year5_Hampshire Year5_CP_Plans_ceased_2years)</f>
        <v>108</v>
      </c>
      <c r="AJ114" s="178"/>
    </row>
    <row r="115" spans="1:44" s="101" customFormat="1" ht="12.75" customHeight="1" x14ac:dyDescent="0.2">
      <c r="A115" s="533">
        <f>VLOOKUP(B115,Sheet1!$B$4:$C$25,2,FALSE)</f>
        <v>0</v>
      </c>
      <c r="B115" s="112" t="str">
        <f t="shared" si="36"/>
        <v>Isle of Wight</v>
      </c>
      <c r="C115" s="97"/>
      <c r="D115" s="182" t="e">
        <f t="shared" si="37"/>
        <v>#N/A</v>
      </c>
      <c r="E115" s="182">
        <f t="shared" si="38"/>
        <v>3.608247422680412E-2</v>
      </c>
      <c r="F115" s="182">
        <f t="shared" si="39"/>
        <v>4.5180722891566265E-2</v>
      </c>
      <c r="G115" s="182">
        <f t="shared" si="40"/>
        <v>3.6885245901639344E-2</v>
      </c>
      <c r="H115" s="184">
        <f t="shared" si="41"/>
        <v>5.7777777777777775E-2</v>
      </c>
      <c r="I115" s="115"/>
      <c r="J115" s="115"/>
      <c r="K115" s="186"/>
      <c r="L115" s="186"/>
      <c r="M115" s="186"/>
      <c r="N115" s="186"/>
      <c r="O115" s="186"/>
      <c r="P115" s="186"/>
      <c r="Q115" s="187"/>
      <c r="R115" s="177"/>
      <c r="S115" s="177"/>
      <c r="T115" s="186"/>
      <c r="U115" s="139"/>
      <c r="V115" s="154"/>
      <c r="W115" s="170"/>
      <c r="X115" s="634" t="str">
        <f t="shared" si="42"/>
        <v>Isle of Wight</v>
      </c>
      <c r="Y115" s="638">
        <f>IF(Year1_Isle_of_Wight Year1_CP_Plans_ceased="","",Year1_Isle_of_Wight Year1_CP_Plans_ceased)</f>
        <v>142</v>
      </c>
      <c r="Z115" s="424">
        <f>IF(Year2_Isle_of_Wight Year2_CP_Plans_ceased="","",Year2_Isle_of_Wight Year2_CP_Plans_ceased)</f>
        <v>194</v>
      </c>
      <c r="AA115" s="424">
        <f>IF(Year3_Isle_of_Wight Year3_CP_Plans_ceased="","",Year3_Isle_of_Wight Year3_CP_Plans_ceased)</f>
        <v>332</v>
      </c>
      <c r="AB115" s="424">
        <f>IF(Year4_Isle_of_Wight Year4_CP_Plans_ceased="","",Year4_Isle_of_Wight Year4_CP_Plans_ceased)</f>
        <v>244</v>
      </c>
      <c r="AC115" s="634">
        <f>IF(Year5_Isle_of_Wight Year5_CP_Plans_ceased="","",Year5_Isle_of_Wight Year5_CP_Plans_ceased)</f>
        <v>225</v>
      </c>
      <c r="AD115" s="439" t="str">
        <f t="shared" si="43"/>
        <v>Isle of Wight</v>
      </c>
      <c r="AE115" s="534" t="str">
        <f>IF(Year1_Isle_of_Wight Year1_CP_Plans_ceased_2years="","",Year1_Isle_of_Wight Year1_CP_Plans_ceased_2years)</f>
        <v>x</v>
      </c>
      <c r="AF115" s="424">
        <f>IF(Year2_Isle_of_Wight Year2_CP_Plans_ceased_2years="","",Year2_Isle_of_Wight Year2_CP_Plans_ceased_2years)</f>
        <v>7</v>
      </c>
      <c r="AG115" s="424">
        <f>IF(Year3_Isle_of_Wight Year3_CP_Plans_ceased_2years="","",Year3_Isle_of_Wight Year3_CP_Plans_ceased_2years)</f>
        <v>15</v>
      </c>
      <c r="AH115" s="424">
        <f>IF(Year4_Isle_of_Wight Year4_CP_Plans_ceased_2years="","",Year4_Isle_of_Wight Year4_CP_Plans_ceased_2years)</f>
        <v>9</v>
      </c>
      <c r="AI115" s="424">
        <f>IF(Year5_Isle_of_Wight Year5_CP_Plans_ceased_2years="","",Year5_Isle_of_Wight Year5_CP_Plans_ceased_2years)</f>
        <v>13</v>
      </c>
      <c r="AJ115" s="178"/>
      <c r="AR115" s="101" t="s">
        <v>104</v>
      </c>
    </row>
    <row r="116" spans="1:44" s="101" customFormat="1" ht="12.75" customHeight="1" x14ac:dyDescent="0.2">
      <c r="A116" s="533">
        <f>VLOOKUP(B116,Sheet1!$B$4:$C$25,2,FALSE)</f>
        <v>0</v>
      </c>
      <c r="B116" s="112" t="str">
        <f t="shared" si="36"/>
        <v>Kent</v>
      </c>
      <c r="C116" s="97"/>
      <c r="D116" s="182">
        <f t="shared" si="37"/>
        <v>4.9050632911392403E-2</v>
      </c>
      <c r="E116" s="182">
        <f t="shared" si="38"/>
        <v>2.176696542893726E-2</v>
      </c>
      <c r="F116" s="182">
        <f t="shared" si="39"/>
        <v>2.911978821972204E-2</v>
      </c>
      <c r="G116" s="182">
        <f t="shared" si="40"/>
        <v>3.7800687285223365E-2</v>
      </c>
      <c r="H116" s="184">
        <f t="shared" si="41"/>
        <v>4.1309431021044424E-2</v>
      </c>
      <c r="I116" s="115"/>
      <c r="J116" s="115"/>
      <c r="K116" s="186"/>
      <c r="L116" s="186"/>
      <c r="M116" s="186"/>
      <c r="N116" s="186"/>
      <c r="O116" s="186"/>
      <c r="P116" s="186"/>
      <c r="Q116" s="187"/>
      <c r="R116" s="177"/>
      <c r="S116" s="177"/>
      <c r="T116" s="186"/>
      <c r="U116" s="139"/>
      <c r="V116" s="154"/>
      <c r="W116" s="170"/>
      <c r="X116" s="634" t="str">
        <f t="shared" si="42"/>
        <v>Kent</v>
      </c>
      <c r="Y116" s="638">
        <f>IF(Year1_Kent Year1_CP_Plans_ceased="","",Year1_Kent Year1_CP_Plans_ceased)</f>
        <v>1264</v>
      </c>
      <c r="Z116" s="424">
        <f>IF(Year2_Kent Year2_CP_Plans_ceased="","",Year2_Kent Year2_CP_Plans_ceased)</f>
        <v>1562</v>
      </c>
      <c r="AA116" s="424">
        <f>IF(Year3_Kent Year3_CP_Plans_ceased="","",Year3_Kent Year3_CP_Plans_ceased)</f>
        <v>1511</v>
      </c>
      <c r="AB116" s="424">
        <f>IF(Year4_Kent Year4_CP_Plans_ceased="","",Year4_Kent Year4_CP_Plans_ceased)</f>
        <v>1164</v>
      </c>
      <c r="AC116" s="634">
        <f>IF(Year5_Kent Year5_CP_Plans_ceased="","",Year5_Kent Year5_CP_Plans_ceased)</f>
        <v>1283</v>
      </c>
      <c r="AD116" s="439" t="str">
        <f t="shared" si="43"/>
        <v>Kent</v>
      </c>
      <c r="AE116" s="534">
        <f>IF(Year1_Kent Year1_CP_Plans_ceased_2years="","",Year1_Kent Year1_CP_Plans_ceased_2years)</f>
        <v>62</v>
      </c>
      <c r="AF116" s="424">
        <f>IF(Year2_Kent Year2_CP_Plans_ceased_2years="","",Year2_Kent Year2_CP_Plans_ceased_2years)</f>
        <v>34</v>
      </c>
      <c r="AG116" s="424">
        <f>IF(Year3_Kent Year3_CP_Plans_ceased_2years="","",Year3_Kent Year3_CP_Plans_ceased_2years)</f>
        <v>44</v>
      </c>
      <c r="AH116" s="424">
        <f>IF(Year4_Kent Year4_CP_Plans_ceased_2years="","",Year4_Kent Year4_CP_Plans_ceased_2years)</f>
        <v>44</v>
      </c>
      <c r="AI116" s="424">
        <f>IF(Year5_Kent Year5_CP_Plans_ceased_2years="","",Year5_Kent Year5_CP_Plans_ceased_2years)</f>
        <v>53</v>
      </c>
      <c r="AJ116" s="178"/>
    </row>
    <row r="117" spans="1:44" s="101" customFormat="1" ht="12.75" customHeight="1" x14ac:dyDescent="0.2">
      <c r="A117" s="533">
        <f>VLOOKUP(B117,Sheet1!$B$4:$C$25,2,FALSE)</f>
        <v>0</v>
      </c>
      <c r="B117" s="112" t="str">
        <f t="shared" si="36"/>
        <v>Medway</v>
      </c>
      <c r="C117" s="97"/>
      <c r="D117" s="182">
        <f t="shared" si="37"/>
        <v>8.6580086580086577E-2</v>
      </c>
      <c r="E117" s="182">
        <f t="shared" si="38"/>
        <v>5.2132701421800945E-2</v>
      </c>
      <c r="F117" s="182">
        <f t="shared" si="39"/>
        <v>4.4715447154471545E-2</v>
      </c>
      <c r="G117" s="182">
        <f t="shared" si="40"/>
        <v>5.9782608695652176E-2</v>
      </c>
      <c r="H117" s="184">
        <f t="shared" si="41"/>
        <v>5.089820359281437E-2</v>
      </c>
      <c r="I117" s="115"/>
      <c r="J117" s="115"/>
      <c r="K117" s="186"/>
      <c r="L117" s="186"/>
      <c r="M117" s="186"/>
      <c r="N117" s="186"/>
      <c r="O117" s="186"/>
      <c r="P117" s="186"/>
      <c r="Q117" s="187"/>
      <c r="R117" s="177"/>
      <c r="S117" s="177"/>
      <c r="T117" s="186"/>
      <c r="U117" s="139"/>
      <c r="V117" s="154"/>
      <c r="W117" s="170"/>
      <c r="X117" s="634" t="str">
        <f t="shared" si="42"/>
        <v>Medway</v>
      </c>
      <c r="Y117" s="638">
        <f>IF(Year1_Medway Year1_CP_Plans_ceased="","",Year1_Medway Year1_CP_Plans_ceased)</f>
        <v>231</v>
      </c>
      <c r="Z117" s="424">
        <f>IF(Year2_Medway Year2_CP_Plans_ceased="","",Year2_Medway Year2_CP_Plans_ceased)</f>
        <v>422</v>
      </c>
      <c r="AA117" s="424">
        <f>IF(Year3_Medway Year3_CP_Plans_ceased="","",Year3_Medway Year3_CP_Plans_ceased)</f>
        <v>492</v>
      </c>
      <c r="AB117" s="424">
        <f>IF(Year4_Medway Year4_CP_Plans_ceased="","",Year4_Medway Year4_CP_Plans_ceased)</f>
        <v>552</v>
      </c>
      <c r="AC117" s="634">
        <f>IF(Year5_Medway Year5_CP_Plans_ceased="","",Year5_Medway Year5_CP_Plans_ceased)</f>
        <v>334</v>
      </c>
      <c r="AD117" s="439" t="str">
        <f t="shared" si="43"/>
        <v>Medway</v>
      </c>
      <c r="AE117" s="534">
        <f>IF(Year1_Medway Year1_CP_Plans_ceased_2years="","",Year1_Medway Year1_CP_Plans_ceased_2years)</f>
        <v>20</v>
      </c>
      <c r="AF117" s="424">
        <f>IF(Year2_Medway Year2_CP_Plans_ceased_2years="","",Year2_Medway Year2_CP_Plans_ceased_2years)</f>
        <v>22</v>
      </c>
      <c r="AG117" s="424">
        <f>IF(Year3_Medway Year3_CP_Plans_ceased_2years="","",Year3_Medway Year3_CP_Plans_ceased_2years)</f>
        <v>22</v>
      </c>
      <c r="AH117" s="424">
        <f>IF(Year4_Medway Year4_CP_Plans_ceased_2years="","",Year4_Medway Year4_CP_Plans_ceased_2years)</f>
        <v>33</v>
      </c>
      <c r="AI117" s="424">
        <f>IF(Year5_Medway Year5_CP_Plans_ceased_2years="","",Year5_Medway Year5_CP_Plans_ceased_2years)</f>
        <v>17</v>
      </c>
      <c r="AJ117" s="178"/>
    </row>
    <row r="118" spans="1:44" s="101" customFormat="1" ht="12.75" customHeight="1" x14ac:dyDescent="0.2">
      <c r="A118" s="533">
        <f>VLOOKUP(B118,Sheet1!$B$4:$C$25,2,FALSE)</f>
        <v>0</v>
      </c>
      <c r="B118" s="112" t="str">
        <f t="shared" si="36"/>
        <v>Milton Keynes</v>
      </c>
      <c r="C118" s="97"/>
      <c r="D118" s="182">
        <f t="shared" si="37"/>
        <v>0</v>
      </c>
      <c r="E118" s="182">
        <f t="shared" si="38"/>
        <v>0</v>
      </c>
      <c r="F118" s="182" t="e">
        <f t="shared" si="39"/>
        <v>#N/A</v>
      </c>
      <c r="G118" s="182">
        <f t="shared" si="40"/>
        <v>0</v>
      </c>
      <c r="H118" s="184">
        <f t="shared" si="41"/>
        <v>0</v>
      </c>
      <c r="I118" s="115"/>
      <c r="J118" s="115"/>
      <c r="K118" s="186"/>
      <c r="L118" s="186"/>
      <c r="M118" s="186"/>
      <c r="N118" s="186"/>
      <c r="O118" s="186"/>
      <c r="P118" s="186"/>
      <c r="Q118" s="187"/>
      <c r="R118" s="177"/>
      <c r="S118" s="177"/>
      <c r="T118" s="186"/>
      <c r="U118" s="139"/>
      <c r="V118" s="154"/>
      <c r="W118" s="170"/>
      <c r="X118" s="634" t="str">
        <f t="shared" si="42"/>
        <v>Milton Keynes</v>
      </c>
      <c r="Y118" s="638">
        <f>IF(Year1_Milton_Keynes Year1_CP_Plans_ceased="","",Year1_Milton_Keynes Year1_CP_Plans_ceased)</f>
        <v>67</v>
      </c>
      <c r="Z118" s="424">
        <f>IF(Year2_Milton_Keynes Year2_CP_Plans_ceased="","",Year2_Milton_Keynes Year2_CP_Plans_ceased)</f>
        <v>73</v>
      </c>
      <c r="AA118" s="424">
        <f>IF(Year3_Milton_Keynes Year3_CP_Plans_ceased="","",Year3_Milton_Keynes Year3_CP_Plans_ceased)</f>
        <v>74</v>
      </c>
      <c r="AB118" s="424">
        <f>IF(Year4_Milton_Keynes Year4_CP_Plans_ceased="","",Year4_Milton_Keynes Year4_CP_Plans_ceased)</f>
        <v>140</v>
      </c>
      <c r="AC118" s="634">
        <f>IF(Year5_Milton_Keynes Year5_CP_Plans_ceased="","",Year5_Milton_Keynes Year5_CP_Plans_ceased)</f>
        <v>148</v>
      </c>
      <c r="AD118" s="439" t="str">
        <f t="shared" si="43"/>
        <v>Milton Keynes</v>
      </c>
      <c r="AE118" s="534">
        <f>IF(Year1_Milton_Keynes Year1_CP_Plans_ceased_2years="","",Year1_Milton_Keynes Year1_CP_Plans_ceased_2years)</f>
        <v>0</v>
      </c>
      <c r="AF118" s="424">
        <f>IF(Year2_Milton_Keynes Year2_CP_Plans_ceased_2years="","",Year2_Milton_Keynes Year2_CP_Plans_ceased_2years)</f>
        <v>0</v>
      </c>
      <c r="AG118" s="424" t="str">
        <f>IF(Year3_Milton_Keynes Year3_CP_Plans_ceased_2years="","",Year3_Milton_Keynes Year3_CP_Plans_ceased_2years)</f>
        <v>x</v>
      </c>
      <c r="AH118" s="424">
        <f>IF(Year4_Milton_Keynes Year4_CP_Plans_ceased_2years="","",Year4_Milton_Keynes Year4_CP_Plans_ceased_2years)</f>
        <v>0</v>
      </c>
      <c r="AI118" s="424">
        <f>IF(Year5_Milton_Keynes Year5_CP_Plans_ceased_2years="","",Year5_Milton_Keynes Year5_CP_Plans_ceased_2years)</f>
        <v>0</v>
      </c>
      <c r="AJ118" s="178"/>
    </row>
    <row r="119" spans="1:44" s="101" customFormat="1" ht="12.75" customHeight="1" x14ac:dyDescent="0.2">
      <c r="A119" s="533">
        <f>VLOOKUP(B119,Sheet1!$B$4:$C$25,2,FALSE)</f>
        <v>0</v>
      </c>
      <c r="B119" s="112" t="str">
        <f t="shared" si="36"/>
        <v>Oxfordshire</v>
      </c>
      <c r="C119" s="97"/>
      <c r="D119" s="182">
        <f t="shared" si="37"/>
        <v>9.3439363817097415E-2</v>
      </c>
      <c r="E119" s="182">
        <f t="shared" si="38"/>
        <v>6.32688927943761E-2</v>
      </c>
      <c r="F119" s="182">
        <f t="shared" si="39"/>
        <v>4.9645390070921988E-2</v>
      </c>
      <c r="G119" s="182">
        <f t="shared" si="40"/>
        <v>4.4619422572178477E-2</v>
      </c>
      <c r="H119" s="184">
        <f t="shared" si="41"/>
        <v>4.0935672514619881E-2</v>
      </c>
      <c r="I119" s="115"/>
      <c r="J119" s="115"/>
      <c r="K119" s="186"/>
      <c r="L119" s="186"/>
      <c r="M119" s="186"/>
      <c r="N119" s="186"/>
      <c r="O119" s="186"/>
      <c r="P119" s="186"/>
      <c r="Q119" s="187"/>
      <c r="R119" s="177"/>
      <c r="S119" s="177"/>
      <c r="T119" s="186"/>
      <c r="U119" s="139"/>
      <c r="V119" s="154"/>
      <c r="W119" s="170"/>
      <c r="X119" s="634" t="str">
        <f t="shared" si="42"/>
        <v>Oxfordshire</v>
      </c>
      <c r="Y119" s="638">
        <f>IF(Year1_Oxfordshire Year1_CP_Plans_ceased="","",Year1_Oxfordshire Year1_CP_Plans_ceased)</f>
        <v>503</v>
      </c>
      <c r="Z119" s="424">
        <f>IF(Year2_Oxfordshire Year2_CP_Plans_ceased="","",Year2_Oxfordshire Year2_CP_Plans_ceased)</f>
        <v>569</v>
      </c>
      <c r="AA119" s="424">
        <f>IF(Year3_Oxfordshire Year3_CP_Plans_ceased="","",Year3_Oxfordshire Year3_CP_Plans_ceased)</f>
        <v>705</v>
      </c>
      <c r="AB119" s="424">
        <f>IF(Year4_Oxfordshire Year4_CP_Plans_ceased="","",Year4_Oxfordshire Year4_CP_Plans_ceased)</f>
        <v>762</v>
      </c>
      <c r="AC119" s="634">
        <f>IF(Year5_Oxfordshire Year5_CP_Plans_ceased="","",Year5_Oxfordshire Year5_CP_Plans_ceased)</f>
        <v>684</v>
      </c>
      <c r="AD119" s="439" t="str">
        <f t="shared" si="43"/>
        <v>Oxfordshire</v>
      </c>
      <c r="AE119" s="534">
        <f>IF(Year1_Oxfordshire Year1_CP_Plans_ceased_2years="","",Year1_Oxfordshire Year1_CP_Plans_ceased_2years)</f>
        <v>47</v>
      </c>
      <c r="AF119" s="424">
        <f>IF(Year2_Oxfordshire Year2_CP_Plans_ceased_2years="","",Year2_Oxfordshire Year2_CP_Plans_ceased_2years)</f>
        <v>36</v>
      </c>
      <c r="AG119" s="424">
        <f>IF(Year3_Oxfordshire Year3_CP_Plans_ceased_2years="","",Year3_Oxfordshire Year3_CP_Plans_ceased_2years)</f>
        <v>35</v>
      </c>
      <c r="AH119" s="424">
        <f>IF(Year4_Oxfordshire Year4_CP_Plans_ceased_2years="","",Year4_Oxfordshire Year4_CP_Plans_ceased_2years)</f>
        <v>34</v>
      </c>
      <c r="AI119" s="424">
        <f>IF(Year5_Oxfordshire Year5_CP_Plans_ceased_2years="","",Year5_Oxfordshire Year5_CP_Plans_ceased_2years)</f>
        <v>28</v>
      </c>
      <c r="AJ119" s="178"/>
    </row>
    <row r="120" spans="1:44" s="101" customFormat="1" ht="12.75" customHeight="1" x14ac:dyDescent="0.2">
      <c r="A120" s="533">
        <f>VLOOKUP(B120,Sheet1!$B$4:$C$25,2,FALSE)</f>
        <v>0</v>
      </c>
      <c r="B120" s="112" t="str">
        <f t="shared" si="36"/>
        <v>Portsmouth</v>
      </c>
      <c r="C120" s="97"/>
      <c r="D120" s="182">
        <f t="shared" si="37"/>
        <v>0.1099476439790576</v>
      </c>
      <c r="E120" s="182">
        <f t="shared" si="38"/>
        <v>8.984375E-2</v>
      </c>
      <c r="F120" s="182" t="e">
        <f t="shared" si="39"/>
        <v>#N/A</v>
      </c>
      <c r="G120" s="182">
        <f t="shared" si="40"/>
        <v>3.9473684210526314E-2</v>
      </c>
      <c r="H120" s="184">
        <f t="shared" si="41"/>
        <v>5.8091286307053944E-2</v>
      </c>
      <c r="I120" s="115"/>
      <c r="J120" s="115"/>
      <c r="K120" s="186"/>
      <c r="L120" s="186"/>
      <c r="M120" s="186"/>
      <c r="N120" s="186"/>
      <c r="O120" s="186"/>
      <c r="P120" s="186"/>
      <c r="Q120" s="187"/>
      <c r="R120" s="177"/>
      <c r="S120" s="177"/>
      <c r="T120" s="186"/>
      <c r="U120" s="139"/>
      <c r="V120" s="154"/>
      <c r="W120" s="170"/>
      <c r="X120" s="634" t="str">
        <f t="shared" si="42"/>
        <v>Portsmouth</v>
      </c>
      <c r="Y120" s="638">
        <f>IF(Year1_Portsmouth Year1_CP_Plans_ceased="","",Year1_Portsmouth Year1_CP_Plans_ceased)</f>
        <v>191</v>
      </c>
      <c r="Z120" s="424">
        <f>IF(Year2_Portsmouth Year2_CP_Plans_ceased="","",Year2_Portsmouth Year2_CP_Plans_ceased)</f>
        <v>256</v>
      </c>
      <c r="AA120" s="424">
        <f>IF(Year3_Portsmouth Year3_CP_Plans_ceased="","",Year3_Portsmouth Year3_CP_Plans_ceased)</f>
        <v>260</v>
      </c>
      <c r="AB120" s="424">
        <f>IF(Year4_Portsmouth Year4_CP_Plans_ceased="","",Year4_Portsmouth Year4_CP_Plans_ceased)</f>
        <v>304</v>
      </c>
      <c r="AC120" s="634">
        <f>IF(Year5_Portsmouth Year5_CP_Plans_ceased="","",Year5_Portsmouth Year5_CP_Plans_ceased)</f>
        <v>241</v>
      </c>
      <c r="AD120" s="439" t="str">
        <f t="shared" si="43"/>
        <v>Portsmouth</v>
      </c>
      <c r="AE120" s="534">
        <f>IF(Year1_Portsmouth Year1_CP_Plans_ceased_2years="","",Year1_Portsmouth Year1_CP_Plans_ceased_2years)</f>
        <v>21</v>
      </c>
      <c r="AF120" s="424">
        <f>IF(Year2_Portsmouth Year2_CP_Plans_ceased_2years="","",Year2_Portsmouth Year2_CP_Plans_ceased_2years)</f>
        <v>23</v>
      </c>
      <c r="AG120" s="424" t="str">
        <f>IF(Year3_Portsmouth Year3_CP_Plans_ceased_2years="","",Year3_Portsmouth Year3_CP_Plans_ceased_2years)</f>
        <v>x</v>
      </c>
      <c r="AH120" s="424">
        <f>IF(Year4_Portsmouth Year4_CP_Plans_ceased_2years="","",Year4_Portsmouth Year4_CP_Plans_ceased_2years)</f>
        <v>12</v>
      </c>
      <c r="AI120" s="424">
        <f>IF(Year5_Portsmouth Year5_CP_Plans_ceased_2years="","",Year5_Portsmouth Year5_CP_Plans_ceased_2years)</f>
        <v>14</v>
      </c>
      <c r="AJ120" s="178"/>
    </row>
    <row r="121" spans="1:44" s="101" customFormat="1" ht="12.75" customHeight="1" x14ac:dyDescent="0.2">
      <c r="A121" s="533">
        <f>VLOOKUP(B121,Sheet1!$B$4:$C$25,2,FALSE)</f>
        <v>0</v>
      </c>
      <c r="B121" s="112" t="str">
        <f t="shared" si="36"/>
        <v>Reading</v>
      </c>
      <c r="C121" s="97"/>
      <c r="D121" s="182">
        <f t="shared" si="37"/>
        <v>8.45771144278607E-2</v>
      </c>
      <c r="E121" s="182">
        <f t="shared" si="38"/>
        <v>6.9306930693069313E-2</v>
      </c>
      <c r="F121" s="182">
        <f t="shared" si="39"/>
        <v>3.1358885017421602E-2</v>
      </c>
      <c r="G121" s="182">
        <f t="shared" si="40"/>
        <v>2.6229508196721311E-2</v>
      </c>
      <c r="H121" s="184">
        <f t="shared" si="41"/>
        <v>3.6764705882352942E-2</v>
      </c>
      <c r="I121" s="115"/>
      <c r="J121" s="115"/>
      <c r="K121" s="186"/>
      <c r="L121" s="186"/>
      <c r="M121" s="186"/>
      <c r="N121" s="186"/>
      <c r="O121" s="186"/>
      <c r="P121" s="186"/>
      <c r="Q121" s="187"/>
      <c r="R121" s="177"/>
      <c r="S121" s="177"/>
      <c r="T121" s="186"/>
      <c r="U121" s="139"/>
      <c r="V121" s="154"/>
      <c r="W121" s="170"/>
      <c r="X121" s="634" t="str">
        <f t="shared" si="42"/>
        <v>Reading</v>
      </c>
      <c r="Y121" s="638">
        <f>IF(Year1_Reading Year1_CP_Plans_ceased="","",Year1_Reading Year1_CP_Plans_ceased)</f>
        <v>201</v>
      </c>
      <c r="Z121" s="424">
        <f>IF(Year2_Reading Year2_CP_Plans_ceased="","",Year2_Reading Year2_CP_Plans_ceased)</f>
        <v>202</v>
      </c>
      <c r="AA121" s="424">
        <f>IF(Year3_Reading Year3_CP_Plans_ceased="","",Year3_Reading Year3_CP_Plans_ceased)</f>
        <v>287</v>
      </c>
      <c r="AB121" s="424">
        <f>IF(Year4_Reading Year4_CP_Plans_ceased="","",Year4_Reading Year4_CP_Plans_ceased)</f>
        <v>305</v>
      </c>
      <c r="AC121" s="634">
        <f>IF(Year5_Reading Year5_CP_Plans_ceased="","",Year5_Reading Year5_CP_Plans_ceased)</f>
        <v>408</v>
      </c>
      <c r="AD121" s="439" t="str">
        <f t="shared" si="43"/>
        <v>Reading</v>
      </c>
      <c r="AE121" s="534">
        <f>IF(Year1_Reading Year1_CP_Plans_ceased_2years="","",Year1_Reading Year1_CP_Plans_ceased_2years)</f>
        <v>17</v>
      </c>
      <c r="AF121" s="424">
        <f>IF(Year2_Reading Year2_CP_Plans_ceased_2years="","",Year2_Reading Year2_CP_Plans_ceased_2years)</f>
        <v>14</v>
      </c>
      <c r="AG121" s="424">
        <f>IF(Year3_Reading Year3_CP_Plans_ceased_2years="","",Year3_Reading Year3_CP_Plans_ceased_2years)</f>
        <v>9</v>
      </c>
      <c r="AH121" s="424">
        <f>IF(Year4_Reading Year4_CP_Plans_ceased_2years="","",Year4_Reading Year4_CP_Plans_ceased_2years)</f>
        <v>8</v>
      </c>
      <c r="AI121" s="424">
        <f>IF(Year5_Reading Year5_CP_Plans_ceased_2years="","",Year5_Reading Year5_CP_Plans_ceased_2years)</f>
        <v>15</v>
      </c>
      <c r="AJ121" s="178"/>
    </row>
    <row r="122" spans="1:44" s="101" customFormat="1" ht="12.75" customHeight="1" x14ac:dyDescent="0.2">
      <c r="A122" s="533">
        <f>VLOOKUP(B122,Sheet1!$B$4:$C$25,2,FALSE)</f>
        <v>0</v>
      </c>
      <c r="B122" s="112" t="str">
        <f t="shared" si="36"/>
        <v>Slough</v>
      </c>
      <c r="C122" s="97"/>
      <c r="D122" s="182">
        <f t="shared" si="37"/>
        <v>5.4054054054054057E-2</v>
      </c>
      <c r="E122" s="182" t="e">
        <f t="shared" si="38"/>
        <v>#N/A</v>
      </c>
      <c r="F122" s="182" t="e">
        <f t="shared" si="39"/>
        <v>#N/A</v>
      </c>
      <c r="G122" s="182" t="e">
        <f t="shared" si="40"/>
        <v>#N/A</v>
      </c>
      <c r="H122" s="184" t="e">
        <f t="shared" si="41"/>
        <v>#N/A</v>
      </c>
      <c r="I122" s="115"/>
      <c r="J122" s="115"/>
      <c r="K122" s="186"/>
      <c r="L122" s="186"/>
      <c r="M122" s="186"/>
      <c r="N122" s="186"/>
      <c r="O122" s="186"/>
      <c r="P122" s="186"/>
      <c r="Q122" s="187"/>
      <c r="R122" s="177"/>
      <c r="S122" s="177"/>
      <c r="T122" s="186"/>
      <c r="U122" s="139"/>
      <c r="V122" s="154"/>
      <c r="W122" s="170"/>
      <c r="X122" s="634" t="str">
        <f t="shared" si="42"/>
        <v>Slough</v>
      </c>
      <c r="Y122" s="638">
        <f>IF(Year1_Slough Year1_CP_Plans_ceased="","",Year1_Slough Year1_CP_Plans_ceased)</f>
        <v>259</v>
      </c>
      <c r="Z122" s="424">
        <f>IF(Year2_Slough Year2_CP_Plans_ceased="","",Year2_Slough Year2_CP_Plans_ceased)</f>
        <v>193</v>
      </c>
      <c r="AA122" s="424">
        <f>IF(Year3_Slough Year3_CP_Plans_ceased="","",Year3_Slough Year3_CP_Plans_ceased)</f>
        <v>311</v>
      </c>
      <c r="AB122" s="424">
        <f>IF(Year4_Slough Year4_CP_Plans_ceased="","",Year4_Slough Year4_CP_Plans_ceased)</f>
        <v>365</v>
      </c>
      <c r="AC122" s="634">
        <f>IF(Year5_Slough Year5_CP_Plans_ceased="","",Year5_Slough Year5_CP_Plans_ceased)</f>
        <v>232</v>
      </c>
      <c r="AD122" s="439" t="str">
        <f t="shared" si="43"/>
        <v>Slough</v>
      </c>
      <c r="AE122" s="534">
        <f>IF(Year1_Slough Year1_CP_Plans_ceased_2years="","",Year1_Slough Year1_CP_Plans_ceased_2years)</f>
        <v>14</v>
      </c>
      <c r="AF122" s="424" t="str">
        <f>IF(Year2_Slough Year2_CP_Plans_ceased_2years="","",Year2_Slough Year2_CP_Plans_ceased_2years)</f>
        <v>x</v>
      </c>
      <c r="AG122" s="424" t="str">
        <f>IF(Year3_Slough Year3_CP_Plans_ceased_2years="","",Year3_Slough Year3_CP_Plans_ceased_2years)</f>
        <v>x</v>
      </c>
      <c r="AH122" s="424" t="str">
        <f>IF(Year4_Slough Year4_CP_Plans_ceased_2years="","",Year4_Slough Year4_CP_Plans_ceased_2years)</f>
        <v>x</v>
      </c>
      <c r="AI122" s="424" t="str">
        <f>IF(Year5_Slough Year5_CP_Plans_ceased_2years="","",Year5_Slough Year5_CP_Plans_ceased_2years)</f>
        <v>x</v>
      </c>
      <c r="AJ122" s="178"/>
    </row>
    <row r="123" spans="1:44" s="101" customFormat="1" ht="12.75" customHeight="1" x14ac:dyDescent="0.2">
      <c r="A123" s="533">
        <f>VLOOKUP(B123,Sheet1!$B$4:$C$25,2,FALSE)</f>
        <v>0</v>
      </c>
      <c r="B123" s="112" t="str">
        <f t="shared" si="36"/>
        <v>Somerset</v>
      </c>
      <c r="C123" s="97"/>
      <c r="D123" s="182">
        <f t="shared" si="37"/>
        <v>1.804123711340206E-2</v>
      </c>
      <c r="E123" s="182">
        <f t="shared" si="38"/>
        <v>3.3268101761252444E-2</v>
      </c>
      <c r="F123" s="182">
        <f t="shared" si="39"/>
        <v>4.7473200612557429E-2</v>
      </c>
      <c r="G123" s="182">
        <f t="shared" si="40"/>
        <v>0.02</v>
      </c>
      <c r="H123" s="184">
        <f t="shared" si="41"/>
        <v>1.1857707509881422E-2</v>
      </c>
      <c r="I123" s="115"/>
      <c r="J123" s="115"/>
      <c r="K123" s="186"/>
      <c r="L123" s="186"/>
      <c r="M123" s="186"/>
      <c r="N123" s="186"/>
      <c r="O123" s="186"/>
      <c r="P123" s="186"/>
      <c r="Q123" s="187"/>
      <c r="R123" s="177"/>
      <c r="S123" s="177"/>
      <c r="T123" s="186"/>
      <c r="U123" s="139"/>
      <c r="V123" s="154"/>
      <c r="W123" s="170"/>
      <c r="X123" s="634" t="str">
        <f t="shared" si="42"/>
        <v>Somerset</v>
      </c>
      <c r="Y123" s="638">
        <f>IF(Year1_Somerset Year1_CP_Plans_ceased="","",Year1_Somerset Year1_CP_Plans_ceased)</f>
        <v>388</v>
      </c>
      <c r="Z123" s="424">
        <f>IF(Year2_Somerset Year2_CP_Plans_ceased="","",Year2_Somerset Year2_CP_Plans_ceased)</f>
        <v>511</v>
      </c>
      <c r="AA123" s="424">
        <f>IF(Year3_Somerset Year3_CP_Plans_ceased="","",Year3_Somerset Year3_CP_Plans_ceased)</f>
        <v>653</v>
      </c>
      <c r="AB123" s="424">
        <f>IF(Year4_Somerset Year4_CP_Plans_ceased="","",Year4_Somerset Year4_CP_Plans_ceased)</f>
        <v>450</v>
      </c>
      <c r="AC123" s="634">
        <f>IF(Year5_Somerset Year5_CP_Plans_ceased="","",Year5_Somerset Year5_CP_Plans_ceased)</f>
        <v>506</v>
      </c>
      <c r="AD123" s="439" t="str">
        <f t="shared" si="43"/>
        <v>Somerset</v>
      </c>
      <c r="AE123" s="534">
        <f>IF(Year1_Somerset Year1_CP_Plans_ceased_2years="","",Year1_Somerset Year1_CP_Plans_ceased_2years)</f>
        <v>7</v>
      </c>
      <c r="AF123" s="424">
        <f>IF(Year2_Somerset Year2_CP_Plans_ceased_2years="","",Year2_Somerset Year2_CP_Plans_ceased_2years)</f>
        <v>17</v>
      </c>
      <c r="AG123" s="424">
        <f>IF(Year3_Somerset Year3_CP_Plans_ceased_2years="","",Year3_Somerset Year3_CP_Plans_ceased_2years)</f>
        <v>31</v>
      </c>
      <c r="AH123" s="424">
        <f>IF(Year4_Somerset Year4_CP_Plans_ceased_2years="","",Year4_Somerset Year4_CP_Plans_ceased_2years)</f>
        <v>9</v>
      </c>
      <c r="AI123" s="424">
        <f>IF(Year5_Somerset Year5_CP_Plans_ceased_2years="","",Year5_Somerset Year5_CP_Plans_ceased_2years)</f>
        <v>6</v>
      </c>
      <c r="AJ123" s="178"/>
    </row>
    <row r="124" spans="1:44" s="101" customFormat="1" ht="12.75" customHeight="1" x14ac:dyDescent="0.2">
      <c r="A124" s="533">
        <f>VLOOKUP(B124,Sheet1!$B$4:$C$25,2,FALSE)</f>
        <v>0</v>
      </c>
      <c r="B124" s="112" t="str">
        <f t="shared" si="36"/>
        <v>Southampton</v>
      </c>
      <c r="C124" s="97"/>
      <c r="D124" s="182">
        <f t="shared" si="37"/>
        <v>1.6260162601626018E-2</v>
      </c>
      <c r="E124" s="182">
        <f t="shared" si="38"/>
        <v>0</v>
      </c>
      <c r="F124" s="182">
        <f t="shared" si="39"/>
        <v>1.0849909584086799E-2</v>
      </c>
      <c r="G124" s="182">
        <f t="shared" si="40"/>
        <v>4.2452830188679243E-2</v>
      </c>
      <c r="H124" s="184">
        <f t="shared" si="41"/>
        <v>3.0612244897959183E-2</v>
      </c>
      <c r="I124" s="115"/>
      <c r="J124" s="115"/>
      <c r="K124" s="186"/>
      <c r="L124" s="186"/>
      <c r="M124" s="186"/>
      <c r="N124" s="186"/>
      <c r="O124" s="186"/>
      <c r="P124" s="186"/>
      <c r="Q124" s="187"/>
      <c r="R124" s="177"/>
      <c r="S124" s="177"/>
      <c r="T124" s="186"/>
      <c r="U124" s="139"/>
      <c r="V124" s="154"/>
      <c r="W124" s="170"/>
      <c r="X124" s="634" t="str">
        <f t="shared" si="42"/>
        <v>Southampton</v>
      </c>
      <c r="Y124" s="638">
        <f>IF(Year1_Southampton Year1_CP_Plans_ceased="","",Year1_Southampton Year1_CP_Plans_ceased)</f>
        <v>369</v>
      </c>
      <c r="Z124" s="424">
        <f>IF(Year2_Southampton Year2_CP_Plans_ceased="","",Year2_Southampton Year2_CP_Plans_ceased)</f>
        <v>171</v>
      </c>
      <c r="AA124" s="424">
        <f>IF(Year3_Southampton Year3_CP_Plans_ceased="","",Year3_Southampton Year3_CP_Plans_ceased)</f>
        <v>553</v>
      </c>
      <c r="AB124" s="424">
        <f>IF(Year4_Southampton Year4_CP_Plans_ceased="","",Year4_Southampton Year4_CP_Plans_ceased)</f>
        <v>424</v>
      </c>
      <c r="AC124" s="634">
        <f>IF(Year5_Southampton Year5_CP_Plans_ceased="","",Year5_Southampton Year5_CP_Plans_ceased)</f>
        <v>392</v>
      </c>
      <c r="AD124" s="439" t="str">
        <f t="shared" si="43"/>
        <v>Southampton</v>
      </c>
      <c r="AE124" s="534">
        <f>IF(Year1_Southampton Year1_CP_Plans_ceased_2years="","",Year1_Southampton Year1_CP_Plans_ceased_2years)</f>
        <v>6</v>
      </c>
      <c r="AF124" s="424">
        <f>IF(Year2_Southampton Year2_CP_Plans_ceased_2years="","",Year2_Southampton Year2_CP_Plans_ceased_2years)</f>
        <v>0</v>
      </c>
      <c r="AG124" s="424">
        <f>IF(Year3_Southampton Year3_CP_Plans_ceased_2years="","",Year3_Southampton Year3_CP_Plans_ceased_2years)</f>
        <v>6</v>
      </c>
      <c r="AH124" s="424">
        <f>IF(Year4_Southampton Year4_CP_Plans_ceased_2years="","",Year4_Southampton Year4_CP_Plans_ceased_2years)</f>
        <v>18</v>
      </c>
      <c r="AI124" s="424">
        <f>IF(Year5_Southampton Year5_CP_Plans_ceased_2years="","",Year5_Southampton Year5_CP_Plans_ceased_2years)</f>
        <v>12</v>
      </c>
      <c r="AJ124" s="178"/>
    </row>
    <row r="125" spans="1:44" s="101" customFormat="1" ht="12.75" customHeight="1" x14ac:dyDescent="0.2">
      <c r="A125" s="533">
        <f>VLOOKUP(B125,Sheet1!$B$4:$C$25,2,FALSE)</f>
        <v>0</v>
      </c>
      <c r="B125" s="112" t="str">
        <f t="shared" si="36"/>
        <v>Surrey</v>
      </c>
      <c r="C125" s="97"/>
      <c r="D125" s="182">
        <f t="shared" si="37"/>
        <v>6.7669172932330823E-2</v>
      </c>
      <c r="E125" s="182">
        <f t="shared" si="38"/>
        <v>6.5261044176706834E-2</v>
      </c>
      <c r="F125" s="182">
        <f t="shared" si="39"/>
        <v>9.8654708520179366E-2</v>
      </c>
      <c r="G125" s="182">
        <f t="shared" si="40"/>
        <v>5.5762081784386616E-2</v>
      </c>
      <c r="H125" s="184">
        <f t="shared" si="41"/>
        <v>6.0544904137235116E-2</v>
      </c>
      <c r="I125" s="115"/>
      <c r="J125" s="115"/>
      <c r="K125" s="186"/>
      <c r="L125" s="186"/>
      <c r="M125" s="186"/>
      <c r="N125" s="186"/>
      <c r="O125" s="186"/>
      <c r="P125" s="186"/>
      <c r="Q125" s="187"/>
      <c r="R125" s="177"/>
      <c r="S125" s="177"/>
      <c r="T125" s="186"/>
      <c r="U125" s="139"/>
      <c r="V125" s="154"/>
      <c r="W125" s="170"/>
      <c r="X125" s="634" t="str">
        <f t="shared" si="42"/>
        <v>Surrey</v>
      </c>
      <c r="Y125" s="638">
        <f>IF(Year1_Surrey Year1_CP_Plans_ceased="","",Year1_Surrey Year1_CP_Plans_ceased)</f>
        <v>931</v>
      </c>
      <c r="Z125" s="424">
        <f>IF(Year2_Surrey Year2_CP_Plans_ceased="","",Year2_Surrey Year2_CP_Plans_ceased)</f>
        <v>996</v>
      </c>
      <c r="AA125" s="424">
        <f>IF(Year3_Surrey Year3_CP_Plans_ceased="","",Year3_Surrey Year3_CP_Plans_ceased)</f>
        <v>1115</v>
      </c>
      <c r="AB125" s="424">
        <f>IF(Year4_Surrey Year4_CP_Plans_ceased="","",Year4_Surrey Year4_CP_Plans_ceased)</f>
        <v>1076</v>
      </c>
      <c r="AC125" s="634">
        <f>IF(Year5_Surrey Year5_CP_Plans_ceased="","",Year5_Surrey Year5_CP_Plans_ceased)</f>
        <v>991</v>
      </c>
      <c r="AD125" s="439" t="str">
        <f t="shared" si="43"/>
        <v>Surrey</v>
      </c>
      <c r="AE125" s="534">
        <f>IF(Year1_Surrey Year1_CP_Plans_ceased_2years="","",Year1_Surrey Year1_CP_Plans_ceased_2years)</f>
        <v>63</v>
      </c>
      <c r="AF125" s="424">
        <f>IF(Year2_Surrey Year2_CP_Plans_ceased_2years="","",Year2_Surrey Year2_CP_Plans_ceased_2years)</f>
        <v>65</v>
      </c>
      <c r="AG125" s="424">
        <f>IF(Year3_Surrey Year3_CP_Plans_ceased_2years="","",Year3_Surrey Year3_CP_Plans_ceased_2years)</f>
        <v>110</v>
      </c>
      <c r="AH125" s="424">
        <f>IF(Year4_Surrey Year4_CP_Plans_ceased_2years="","",Year4_Surrey Year4_CP_Plans_ceased_2years)</f>
        <v>60</v>
      </c>
      <c r="AI125" s="424">
        <f>IF(Year5_Surrey Year5_CP_Plans_ceased_2years="","",Year5_Surrey Year5_CP_Plans_ceased_2years)</f>
        <v>60</v>
      </c>
      <c r="AJ125" s="178"/>
    </row>
    <row r="126" spans="1:44" s="101" customFormat="1" ht="12.75" customHeight="1" x14ac:dyDescent="0.2">
      <c r="A126" s="533">
        <f>VLOOKUP(B126,Sheet1!$B$4:$C$25,2,FALSE)</f>
        <v>0</v>
      </c>
      <c r="B126" s="112" t="str">
        <f t="shared" si="36"/>
        <v>Swindon</v>
      </c>
      <c r="C126" s="97"/>
      <c r="D126" s="182">
        <f t="shared" si="37"/>
        <v>5.4298642533936653E-2</v>
      </c>
      <c r="E126" s="182" t="e">
        <f t="shared" si="38"/>
        <v>#N/A</v>
      </c>
      <c r="F126" s="182">
        <f t="shared" si="39"/>
        <v>3.125E-2</v>
      </c>
      <c r="G126" s="182">
        <f t="shared" si="40"/>
        <v>3.5598705501618123E-2</v>
      </c>
      <c r="H126" s="184">
        <f t="shared" si="41"/>
        <v>1.5706806282722512E-2</v>
      </c>
      <c r="I126" s="115"/>
      <c r="J126" s="115"/>
      <c r="K126" s="186"/>
      <c r="L126" s="186"/>
      <c r="M126" s="186"/>
      <c r="N126" s="186"/>
      <c r="O126" s="186"/>
      <c r="P126" s="186"/>
      <c r="Q126" s="187"/>
      <c r="R126" s="177"/>
      <c r="S126" s="177"/>
      <c r="T126" s="186"/>
      <c r="U126" s="139"/>
      <c r="V126" s="154"/>
      <c r="W126" s="170"/>
      <c r="X126" s="634" t="str">
        <f t="shared" si="42"/>
        <v>Swindon</v>
      </c>
      <c r="Y126" s="638">
        <f>IF(Year1_Swindon Year1_CP_Plans_ceased="","",Year1_Swindon Year1_CP_Plans_ceased)</f>
        <v>221</v>
      </c>
      <c r="Z126" s="424">
        <f>IF(Year2_Swindon Year2_CP_Plans_ceased="","",Year2_Swindon Year2_CP_Plans_ceased)</f>
        <v>263</v>
      </c>
      <c r="AA126" s="424">
        <f>IF(Year3_Swindon Year3_CP_Plans_ceased="","",Year3_Swindon Year3_CP_Plans_ceased)</f>
        <v>256</v>
      </c>
      <c r="AB126" s="637">
        <f>IF(Year4_Swindon Year4_CP_Plans_ceased="","",Year4_Swindon Year4_CP_Plans_ceased)</f>
        <v>309</v>
      </c>
      <c r="AC126" s="659">
        <f>IF(Year5_Swindon Year5_CP_Plans_ceased="","",Year5_Swindon Year5_CP_Plans_ceased)</f>
        <v>382</v>
      </c>
      <c r="AD126" s="439" t="str">
        <f t="shared" si="43"/>
        <v>Swindon</v>
      </c>
      <c r="AE126" s="534">
        <f>IF(Year1_Swindon Year1_CP_Plans_ceased_2years="","",Year1_Swindon Year1_CP_Plans_ceased_2years)</f>
        <v>12</v>
      </c>
      <c r="AF126" s="424" t="str">
        <f>IF(Year2_Swindon Year2_CP_Plans_ceased_2years="","",Year2_Swindon Year2_CP_Plans_ceased_2years)</f>
        <v>x</v>
      </c>
      <c r="AG126" s="424">
        <f>IF(Year3_Swindon Year3_CP_Plans_ceased_2years="","",Year3_Swindon Year3_CP_Plans_ceased_2years)</f>
        <v>8</v>
      </c>
      <c r="AH126" s="637">
        <f>IF(Year4_Swindon Year4_CP_Plans_ceased_2years="","",Year4_Swindon Year4_CP_Plans_ceased_2years)</f>
        <v>11</v>
      </c>
      <c r="AI126" s="660">
        <f>IF(Year5_Swindon Year5_CP_Plans_ceased_2years="","",Year5_Swindon Year5_CP_Plans_ceased_2years)</f>
        <v>6</v>
      </c>
      <c r="AJ126" s="178"/>
    </row>
    <row r="127" spans="1:44" s="101" customFormat="1" ht="12.75" customHeight="1" x14ac:dyDescent="0.2">
      <c r="A127" s="533">
        <f>VLOOKUP(B127,Sheet1!$B$4:$C$25,2,FALSE)</f>
        <v>0</v>
      </c>
      <c r="B127" s="112" t="str">
        <f t="shared" si="36"/>
        <v>Torbay</v>
      </c>
      <c r="C127" s="97"/>
      <c r="D127" s="182">
        <f t="shared" si="37"/>
        <v>6.1320754716981132E-2</v>
      </c>
      <c r="E127" s="182">
        <f t="shared" si="38"/>
        <v>2.7777777777777776E-2</v>
      </c>
      <c r="F127" s="182" t="e">
        <f t="shared" si="39"/>
        <v>#N/A</v>
      </c>
      <c r="G127" s="182" t="e">
        <f t="shared" si="40"/>
        <v>#N/A</v>
      </c>
      <c r="H127" s="184">
        <f t="shared" si="41"/>
        <v>3.2967032967032968E-2</v>
      </c>
      <c r="I127" s="115"/>
      <c r="J127" s="115"/>
      <c r="K127" s="186"/>
      <c r="L127" s="186"/>
      <c r="M127" s="186"/>
      <c r="N127" s="186"/>
      <c r="O127" s="186"/>
      <c r="P127" s="186"/>
      <c r="Q127" s="187"/>
      <c r="R127" s="177"/>
      <c r="S127" s="177"/>
      <c r="T127" s="186"/>
      <c r="U127" s="139"/>
      <c r="V127" s="154"/>
      <c r="W127" s="170"/>
      <c r="X127" s="634" t="str">
        <f t="shared" si="42"/>
        <v>Torbay</v>
      </c>
      <c r="Y127" s="638">
        <f>IF(Year1_Torbay Year1_CP_Plans_ceased="","",Year1_Torbay Year1_CP_Plans_ceased)</f>
        <v>212</v>
      </c>
      <c r="Z127" s="424">
        <f>IF(Year2_Torbay Year2_CP_Plans_ceased="","",Year2_Torbay Year2_CP_Plans_ceased)</f>
        <v>252</v>
      </c>
      <c r="AA127" s="424">
        <f>IF(Year3_Torbay Year3_CP_Plans_ceased="","",Year3_Torbay Year3_CP_Plans_ceased)</f>
        <v>292</v>
      </c>
      <c r="AB127" s="637">
        <f>IF(Year4_Torbay Year4_CP_Plans_ceased="","",Year4_Torbay Year4_CP_Plans_ceased)</f>
        <v>217</v>
      </c>
      <c r="AC127" s="639">
        <f>IF(Year5_Torbay Year5_CP_Plans_ceased="","",Year5_Torbay Year5_CP_Plans_ceased)</f>
        <v>364</v>
      </c>
      <c r="AD127" s="439" t="str">
        <f t="shared" si="43"/>
        <v>Torbay</v>
      </c>
      <c r="AE127" s="534">
        <f>IF(Year1_Torbay Year1_CP_Plans_ceased_2years="","",Year1_Torbay Year1_CP_Plans_ceased_2years)</f>
        <v>13</v>
      </c>
      <c r="AF127" s="424">
        <f>IF(Year2_Torbay Year2_CP_Plans_ceased_2years="","",Year2_Torbay Year2_CP_Plans_ceased_2years)</f>
        <v>7</v>
      </c>
      <c r="AG127" s="424" t="str">
        <f>IF(Year3_Torbay Year3_CP_Plans_ceased_2years="","",Year3_Torbay Year3_CP_Plans_ceased_2years)</f>
        <v>x</v>
      </c>
      <c r="AH127" s="637" t="str">
        <f>IF(Year4_Torbay Year4_CP_Plans_ceased_2years="","",Year4_Torbay Year4_CP_Plans_ceased_2years)</f>
        <v>x</v>
      </c>
      <c r="AI127" s="637">
        <f>IF(Year5_Torbay Year5_CP_Plans_ceased_2years="","",Year5_Torbay Year5_CP_Plans_ceased_2years)</f>
        <v>12</v>
      </c>
      <c r="AJ127" s="178"/>
    </row>
    <row r="128" spans="1:44" s="101" customFormat="1" ht="12.75" customHeight="1" x14ac:dyDescent="0.2">
      <c r="A128" s="533">
        <f>VLOOKUP(B128,Sheet1!$B$4:$C$25,2,FALSE)</f>
        <v>0</v>
      </c>
      <c r="B128" s="112" t="str">
        <f t="shared" si="36"/>
        <v>West Berkshire</v>
      </c>
      <c r="C128" s="97"/>
      <c r="D128" s="182" t="e">
        <f t="shared" si="37"/>
        <v>#N/A</v>
      </c>
      <c r="E128" s="182" t="e">
        <f t="shared" si="38"/>
        <v>#N/A</v>
      </c>
      <c r="F128" s="182" t="e">
        <f t="shared" si="39"/>
        <v>#N/A</v>
      </c>
      <c r="G128" s="182" t="e">
        <f t="shared" si="40"/>
        <v>#N/A</v>
      </c>
      <c r="H128" s="184">
        <f t="shared" si="41"/>
        <v>2.2222222222222223E-2</v>
      </c>
      <c r="I128" s="115"/>
      <c r="J128" s="115"/>
      <c r="K128" s="186"/>
      <c r="L128" s="186"/>
      <c r="M128" s="186"/>
      <c r="N128" s="186"/>
      <c r="O128" s="186"/>
      <c r="P128" s="186"/>
      <c r="Q128" s="187"/>
      <c r="R128" s="177"/>
      <c r="S128" s="177"/>
      <c r="T128" s="186"/>
      <c r="U128" s="139"/>
      <c r="V128" s="154"/>
      <c r="W128" s="170"/>
      <c r="X128" s="634" t="str">
        <f t="shared" si="42"/>
        <v>West Berkshire</v>
      </c>
      <c r="Y128" s="638">
        <f>IF(Year1_West_Berkshire Year1_CP_Plans_ceased="","",Year1_West_Berkshire Year1_CP_Plans_ceased)</f>
        <v>105</v>
      </c>
      <c r="Z128" s="424">
        <f>IF(Year2_West_Berkshire Year2_CP_Plans_ceased="","",Year2_West_Berkshire Year2_CP_Plans_ceased)</f>
        <v>156</v>
      </c>
      <c r="AA128" s="424">
        <f>IF(Year3_West_Berkshire Year3_CP_Plans_ceased="","",Year3_West_Berkshire Year3_CP_Plans_ceased)</f>
        <v>183</v>
      </c>
      <c r="AB128" s="424">
        <f>IF(Year4_West_Berkshire Year4_CP_Plans_ceased="","",Year4_West_Berkshire Year4_CP_Plans_ceased)</f>
        <v>200</v>
      </c>
      <c r="AC128" s="634">
        <f>IF(Year5_West_Berkshire Year5_CP_Plans_ceased="","",Year5_West_Berkshire Year5_CP_Plans_ceased)</f>
        <v>225</v>
      </c>
      <c r="AD128" s="439" t="str">
        <f t="shared" si="43"/>
        <v>West Berkshire</v>
      </c>
      <c r="AE128" s="534" t="str">
        <f>IF(Year1_West_Berkshire Year1_CP_Plans_ceased_2years="","",Year1_West_Berkshire Year1_CP_Plans_ceased_2years)</f>
        <v>x</v>
      </c>
      <c r="AF128" s="424" t="str">
        <f>IF(Year2_West_Berkshire Year2_CP_Plans_ceased_2years="","",Year2_West_Berkshire Year2_CP_Plans_ceased_2years)</f>
        <v>x</v>
      </c>
      <c r="AG128" s="424" t="str">
        <f>IF(Year3_West_Berkshire Year3_CP_Plans_ceased_2years="","",Year3_West_Berkshire Year3_CP_Plans_ceased_2years)</f>
        <v>x</v>
      </c>
      <c r="AH128" s="424" t="str">
        <f>IF(Year4_West_Berkshire Year4_CP_Plans_ceased_2years="","",Year4_West_Berkshire Year4_CP_Plans_ceased_2years)</f>
        <v>x</v>
      </c>
      <c r="AI128" s="424">
        <f>IF(Year5_West_Berkshire Year5_CP_Plans_ceased_2years="","",Year5_West_Berkshire Year5_CP_Plans_ceased_2years)</f>
        <v>5</v>
      </c>
      <c r="AJ128" s="178"/>
    </row>
    <row r="129" spans="1:45" s="101" customFormat="1" ht="12.75" customHeight="1" x14ac:dyDescent="0.2">
      <c r="A129" s="533">
        <f>VLOOKUP(B129,Sheet1!$B$4:$C$25,2,FALSE)</f>
        <v>0</v>
      </c>
      <c r="B129" s="112" t="str">
        <f t="shared" si="36"/>
        <v>West Sussex</v>
      </c>
      <c r="C129" s="97"/>
      <c r="D129" s="182" t="e">
        <f t="shared" si="37"/>
        <v>#N/A</v>
      </c>
      <c r="E129" s="182">
        <f t="shared" si="38"/>
        <v>2.309782608695652E-2</v>
      </c>
      <c r="F129" s="182">
        <f t="shared" si="39"/>
        <v>3.5294117647058823E-2</v>
      </c>
      <c r="G129" s="182">
        <f t="shared" si="40"/>
        <v>6.6162570888468802E-2</v>
      </c>
      <c r="H129" s="184">
        <f t="shared" si="41"/>
        <v>3.5135135135135137E-2</v>
      </c>
      <c r="I129" s="115"/>
      <c r="J129" s="115"/>
      <c r="K129" s="186"/>
      <c r="L129" s="186"/>
      <c r="M129" s="186"/>
      <c r="N129" s="186"/>
      <c r="O129" s="186"/>
      <c r="P129" s="186"/>
      <c r="Q129" s="187"/>
      <c r="R129" s="177"/>
      <c r="S129" s="177"/>
      <c r="T129" s="186"/>
      <c r="U129" s="139"/>
      <c r="V129" s="154"/>
      <c r="W129" s="170"/>
      <c r="X129" s="634" t="str">
        <f t="shared" si="42"/>
        <v>West Sussex</v>
      </c>
      <c r="Y129" s="638">
        <f>IF(Year1_West_Sussex Year1_CP_Plans_ceased="","",Year1_West_Sussex Year1_CP_Plans_ceased)</f>
        <v>582</v>
      </c>
      <c r="Z129" s="424">
        <f>IF(Year2_West_Sussex Year2_CP_Plans_ceased="","",Year2_West_Sussex Year2_CP_Plans_ceased)</f>
        <v>736</v>
      </c>
      <c r="AA129" s="424">
        <f>IF(Year3_West_Sussex Year3_CP_Plans_ceased="","",Year3_West_Sussex Year3_CP_Plans_ceased)</f>
        <v>595</v>
      </c>
      <c r="AB129" s="424">
        <f>IF(Year4_West_Sussex Year4_CP_Plans_ceased="","",Year4_West_Sussex Year4_CP_Plans_ceased)</f>
        <v>529</v>
      </c>
      <c r="AC129" s="634">
        <f>IF(Year5_West_Sussex Year5_CP_Plans_ceased="","",Year5_West_Sussex Year5_CP_Plans_ceased)</f>
        <v>740</v>
      </c>
      <c r="AD129" s="439" t="str">
        <f t="shared" si="43"/>
        <v>West Sussex</v>
      </c>
      <c r="AE129" s="534" t="str">
        <f>IF(Year1_West_Sussex Year1_CP_Plans_ceased_2years="","",Year1_West_Sussex Year1_CP_Plans_ceased_2years)</f>
        <v>x</v>
      </c>
      <c r="AF129" s="424">
        <f>IF(Year2_West_Sussex Year2_CP_Plans_ceased_2years="","",Year2_West_Sussex Year2_CP_Plans_ceased_2years)</f>
        <v>17</v>
      </c>
      <c r="AG129" s="424">
        <f>IF(Year3_West_Sussex Year3_CP_Plans_ceased_2years="","",Year3_West_Sussex Year3_CP_Plans_ceased_2years)</f>
        <v>21</v>
      </c>
      <c r="AH129" s="424">
        <f>IF(Year4_West_Sussex Year4_CP_Plans_ceased_2years="","",Year4_West_Sussex Year4_CP_Plans_ceased_2years)</f>
        <v>35</v>
      </c>
      <c r="AI129" s="424">
        <f>IF(Year5_West_Sussex Year5_CP_Plans_ceased_2years="","",Year5_West_Sussex Year5_CP_Plans_ceased_2years)</f>
        <v>26</v>
      </c>
      <c r="AJ129" s="178"/>
    </row>
    <row r="130" spans="1:45" s="101" customFormat="1" ht="12.75" customHeight="1" x14ac:dyDescent="0.2">
      <c r="A130" s="533">
        <f>VLOOKUP(B130,Sheet1!$B$4:$C$25,2,FALSE)</f>
        <v>0</v>
      </c>
      <c r="B130" s="112" t="str">
        <f t="shared" si="36"/>
        <v>Windsor &amp; Maidenhead</v>
      </c>
      <c r="C130" s="97"/>
      <c r="D130" s="182" t="e">
        <f t="shared" si="37"/>
        <v>#N/A</v>
      </c>
      <c r="E130" s="182" t="e">
        <f t="shared" si="38"/>
        <v>#N/A</v>
      </c>
      <c r="F130" s="182">
        <f t="shared" si="39"/>
        <v>0</v>
      </c>
      <c r="G130" s="182" t="e">
        <f t="shared" si="40"/>
        <v>#N/A</v>
      </c>
      <c r="H130" s="184" t="e">
        <f t="shared" si="41"/>
        <v>#N/A</v>
      </c>
      <c r="I130" s="115"/>
      <c r="J130" s="115"/>
      <c r="K130" s="186"/>
      <c r="L130" s="186"/>
      <c r="M130" s="186"/>
      <c r="N130" s="186"/>
      <c r="O130" s="186"/>
      <c r="P130" s="186"/>
      <c r="Q130" s="187"/>
      <c r="R130" s="177"/>
      <c r="S130" s="177"/>
      <c r="T130" s="186"/>
      <c r="U130" s="139"/>
      <c r="V130" s="154"/>
      <c r="W130" s="170"/>
      <c r="X130" s="634" t="str">
        <f t="shared" si="42"/>
        <v>Windsor &amp; Maidenhead</v>
      </c>
      <c r="Y130" s="638">
        <f>IF(Year1_Windsor_Maidenhead Year1_CP_Plans_ceased="","",Year1_Windsor_Maidenhead Year1_CP_Plans_ceased)</f>
        <v>66</v>
      </c>
      <c r="Z130" s="424">
        <f>IF(Year2_Windsor_Maidenhead Year2_CP_Plans_ceased="","",Year2_Windsor_Maidenhead Year2_CP_Plans_ceased)</f>
        <v>114</v>
      </c>
      <c r="AA130" s="424">
        <f>IF(Year3_Windsor_Maidenhead Year3_CP_Plans_ceased="","",Year3_Windsor_Maidenhead Year3_CP_Plans_ceased)</f>
        <v>94</v>
      </c>
      <c r="AB130" s="424">
        <f>IF(Year4_Windsor_Maidenhead Year4_CP_Plans_ceased="","",Year4_Windsor_Maidenhead Year4_CP_Plans_ceased)</f>
        <v>176</v>
      </c>
      <c r="AC130" s="634">
        <f>IF(Year5_Windsor_Maidenhead Year5_CP_Plans_ceased="","",Year5_Windsor_Maidenhead Year5_CP_Plans_ceased)</f>
        <v>193</v>
      </c>
      <c r="AD130" s="439" t="str">
        <f t="shared" si="43"/>
        <v>Windsor &amp; Maidenhead</v>
      </c>
      <c r="AE130" s="534" t="str">
        <f>IF(Year1_Windsor_Maidenhead Year1_CP_Plans_ceased_2years="","",Year1_Windsor_Maidenhead Year1_CP_Plans_ceased_2years)</f>
        <v>x</v>
      </c>
      <c r="AF130" s="424" t="str">
        <f>IF(Year2_Windsor_Maidenhead Year2_CP_Plans_ceased_2years="","",Year2_Windsor_Maidenhead Year2_CP_Plans_ceased_2years)</f>
        <v>x</v>
      </c>
      <c r="AG130" s="424">
        <f>IF(Year3_Windsor_Maidenhead Year3_CP_Plans_ceased_2years="","",Year3_Windsor_Maidenhead Year3_CP_Plans_ceased_2years)</f>
        <v>0</v>
      </c>
      <c r="AH130" s="424" t="str">
        <f>IF(Year4_Windsor_Maidenhead Year4_CP_Plans_ceased_2years="","",Year4_Windsor_Maidenhead Year4_CP_Plans_ceased_2years)</f>
        <v>x</v>
      </c>
      <c r="AI130" s="424" t="str">
        <f>IF(Year5_Windsor_Maidenhead Year5_CP_Plans_ceased_2years="","",Year5_Windsor_Maidenhead Year5_CP_Plans_ceased_2years)</f>
        <v>x</v>
      </c>
      <c r="AJ130" s="178"/>
    </row>
    <row r="131" spans="1:45" s="101" customFormat="1" ht="12.75" customHeight="1" x14ac:dyDescent="0.2">
      <c r="A131" s="533">
        <f>VLOOKUP(B131,Sheet1!$B$4:$C$25,2,FALSE)</f>
        <v>0</v>
      </c>
      <c r="B131" s="112" t="str">
        <f t="shared" si="36"/>
        <v>Wokingham</v>
      </c>
      <c r="C131" s="97"/>
      <c r="D131" s="182" t="e">
        <f t="shared" si="37"/>
        <v>#N/A</v>
      </c>
      <c r="E131" s="182" t="e">
        <f t="shared" si="38"/>
        <v>#N/A</v>
      </c>
      <c r="F131" s="182" t="e">
        <f t="shared" si="39"/>
        <v>#N/A</v>
      </c>
      <c r="G131" s="182">
        <f t="shared" si="40"/>
        <v>0</v>
      </c>
      <c r="H131" s="184">
        <f t="shared" si="41"/>
        <v>0</v>
      </c>
      <c r="I131" s="115"/>
      <c r="J131" s="115"/>
      <c r="K131" s="186"/>
      <c r="L131" s="186"/>
      <c r="M131" s="186"/>
      <c r="N131" s="186"/>
      <c r="O131" s="186"/>
      <c r="P131" s="186"/>
      <c r="Q131" s="187"/>
      <c r="R131" s="177"/>
      <c r="S131" s="177"/>
      <c r="T131" s="186"/>
      <c r="U131" s="139"/>
      <c r="V131" s="154"/>
      <c r="W131" s="170"/>
      <c r="X131" s="634" t="str">
        <f t="shared" si="42"/>
        <v>Wokingham</v>
      </c>
      <c r="Y131" s="638">
        <f>IF(Year1_Wokingham Year1_CP_Plans_ceased="","",Year1_Wokingham Year1_CP_Plans_ceased)</f>
        <v>80</v>
      </c>
      <c r="Z131" s="424">
        <f>IF(Year2_Wokingham Year2_CP_Plans_ceased="","",Year2_Wokingham Year2_CP_Plans_ceased)</f>
        <v>108</v>
      </c>
      <c r="AA131" s="424">
        <f>IF(Year3_Wokingham Year3_CP_Plans_ceased="","",Year3_Wokingham Year3_CP_Plans_ceased)</f>
        <v>97</v>
      </c>
      <c r="AB131" s="424">
        <f>IF(Year4_Wokingham Year4_CP_Plans_ceased="","",Year4_Wokingham Year4_CP_Plans_ceased)</f>
        <v>105</v>
      </c>
      <c r="AC131" s="634">
        <f>IF(Year5_Wokingham Year5_CP_Plans_ceased="","",Year5_Wokingham Year5_CP_Plans_ceased)</f>
        <v>70</v>
      </c>
      <c r="AD131" s="439" t="str">
        <f t="shared" si="43"/>
        <v>Wokingham</v>
      </c>
      <c r="AE131" s="534" t="str">
        <f>IF(Year1_Wokingham Year1_CP_Plans_ceased_2years="","",Year1_Wokingham Year1_CP_Plans_ceased_2years)</f>
        <v>x</v>
      </c>
      <c r="AF131" s="424" t="str">
        <f>IF(Year2_Wokingham Year2_CP_Plans_ceased_2years="","",Year2_Wokingham Year2_CP_Plans_ceased_2years)</f>
        <v>x</v>
      </c>
      <c r="AG131" s="424" t="str">
        <f>IF(Year3_Wokingham Year3_CP_Plans_ceased_2years="","",Year3_Wokingham Year3_CP_Plans_ceased_2years)</f>
        <v>x</v>
      </c>
      <c r="AH131" s="424">
        <f>IF(Year4_Wokingham Year4_CP_Plans_ceased_2years="","",Year4_Wokingham Year4_CP_Plans_ceased_2years)</f>
        <v>0</v>
      </c>
      <c r="AI131" s="424">
        <f>IF(Year5_Wokingham Year5_CP_Plans_ceased_2years="","",Year5_Wokingham Year5_CP_Plans_ceased_2years)</f>
        <v>0</v>
      </c>
      <c r="AJ131" s="178"/>
    </row>
    <row r="132" spans="1:45" s="101" customFormat="1" ht="12.75" customHeight="1" x14ac:dyDescent="0.2">
      <c r="A132" s="138"/>
      <c r="B132" s="146" t="str">
        <f t="shared" si="36"/>
        <v>South East</v>
      </c>
      <c r="C132" s="97"/>
      <c r="D132" s="183">
        <f t="shared" si="37"/>
        <v>5.2796298816165467E-2</v>
      </c>
      <c r="E132" s="183">
        <f t="shared" si="38"/>
        <v>4.2889390519187359E-2</v>
      </c>
      <c r="F132" s="183">
        <f t="shared" si="39"/>
        <v>4.5643153526970952E-2</v>
      </c>
      <c r="G132" s="183">
        <f t="shared" si="40"/>
        <v>4.4806517311608958E-2</v>
      </c>
      <c r="H132" s="185">
        <f t="shared" si="41"/>
        <v>4.8574445617740235E-2</v>
      </c>
      <c r="I132" s="115"/>
      <c r="J132" s="115"/>
      <c r="K132" s="188"/>
      <c r="L132" s="188"/>
      <c r="M132" s="188"/>
      <c r="N132" s="188"/>
      <c r="O132" s="188"/>
      <c r="P132" s="188"/>
      <c r="Q132" s="189"/>
      <c r="R132" s="177"/>
      <c r="S132" s="177"/>
      <c r="T132" s="190"/>
      <c r="U132" s="139"/>
      <c r="V132" s="154"/>
      <c r="W132" s="170"/>
      <c r="X132" s="634" t="str">
        <f>B132</f>
        <v>South East</v>
      </c>
      <c r="Y132" s="661">
        <f>IF(Year1_SouthEast Year1_CP_Plans_ceased="","",Year1_SouthEast Year1_CP_Plans_ceased)</f>
        <v>7349</v>
      </c>
      <c r="Z132" s="662">
        <f>IF(Year2_SouthEast Year2_CP_Plans_ceased="","",Year2_SouthEast Year2_CP_Plans_ceased)</f>
        <v>8860</v>
      </c>
      <c r="AA132" s="662">
        <f>IF(Year3_SouthEast Year3_CP_Plans_ceased="","",Year3_SouthEast Year3_CP_Plans_ceased)</f>
        <v>9640</v>
      </c>
      <c r="AB132" s="424">
        <f>IF(Year4_SouthEast Year4_CP_Plans_ceased="","",Year4_SouthEast Year4_CP_Plans_ceased)</f>
        <v>9820</v>
      </c>
      <c r="AC132" s="634">
        <f>IF(Year5_SouthEast Year5_CP_Plans_ceased="","",Year5_SouthEast Year5_CP_Plans_ceased)</f>
        <v>9470</v>
      </c>
      <c r="AD132" s="439" t="str">
        <f t="shared" si="43"/>
        <v>South East</v>
      </c>
      <c r="AE132" s="662">
        <f>IF(Year1_SouthEast Year1_CP_Plans_ceased_2years="","",Year1_SouthEast Year1_CP_Plans_ceased_2years)</f>
        <v>388</v>
      </c>
      <c r="AF132" s="662">
        <f>IF(Year2_SouthEast Year2_CP_Plans_ceased_2years="","",Year2_SouthEast Year2_CP_Plans_ceased_2years)</f>
        <v>380</v>
      </c>
      <c r="AG132" s="662">
        <f>IF(Year3_SouthEast Year3_CP_Plans_ceased_2years="","",Year3_SouthEast Year3_CP_Plans_ceased_2years)</f>
        <v>440</v>
      </c>
      <c r="AH132" s="424">
        <f>IF(Year4_SouthEast Year4_CP_Plans_ceased_2years="","",Year4_SouthEast Year4_CP_Plans_ceased_2years)</f>
        <v>440</v>
      </c>
      <c r="AI132" s="424">
        <f>IF(Year5_SouthEast Year5_CP_Plans_ceased_2years="","",Year5_SouthEast Year5_CP_Plans_ceased_2years)</f>
        <v>460</v>
      </c>
      <c r="AJ132" s="178"/>
    </row>
    <row r="133" spans="1:45" s="101" customFormat="1" ht="12.75" customHeight="1" x14ac:dyDescent="0.2">
      <c r="A133" s="138"/>
      <c r="B133" s="370" t="str">
        <f t="shared" si="36"/>
        <v>England</v>
      </c>
      <c r="C133" s="97"/>
      <c r="D133" s="401">
        <f t="shared" si="37"/>
        <v>4.5053328429569696E-2</v>
      </c>
      <c r="E133" s="401">
        <f t="shared" si="38"/>
        <v>3.7251655629139076E-2</v>
      </c>
      <c r="F133" s="401">
        <f t="shared" si="39"/>
        <v>3.8406374501992031E-2</v>
      </c>
      <c r="G133" s="401">
        <f t="shared" si="40"/>
        <v>3.4087435035157446E-2</v>
      </c>
      <c r="H133" s="402">
        <f t="shared" si="41"/>
        <v>3.4132281553398057E-2</v>
      </c>
      <c r="I133" s="115"/>
      <c r="J133" s="115"/>
      <c r="K133" s="188"/>
      <c r="L133" s="188"/>
      <c r="M133" s="188"/>
      <c r="N133" s="188"/>
      <c r="O133" s="188"/>
      <c r="P133" s="188"/>
      <c r="Q133" s="189"/>
      <c r="R133" s="177"/>
      <c r="S133" s="177"/>
      <c r="T133" s="190"/>
      <c r="U133" s="139"/>
      <c r="V133" s="154"/>
      <c r="W133" s="170"/>
      <c r="X133" s="634" t="str">
        <f t="shared" si="42"/>
        <v>England</v>
      </c>
      <c r="Y133" s="661">
        <f>IF(Year1_England Year1_CP_Plans_ceased="","",Year1_England Year1_CP_Plans_ceased)</f>
        <v>54380</v>
      </c>
      <c r="Z133" s="662">
        <f>IF(Year2_England Year2_CP_Plans_ceased="","",Year2_England Year2_CP_Plans_ceased)</f>
        <v>60400</v>
      </c>
      <c r="AA133" s="662">
        <f>IF(Year3_England Year3_CP_Plans_ceased="","",Year3_England Year3_CP_Plans_ceased)</f>
        <v>62750</v>
      </c>
      <c r="AB133" s="424">
        <f>IF(Year4_England Year4_CP_Plans_ceased="","",Year4_England Year4_CP_Plans_ceased)</f>
        <v>65420</v>
      </c>
      <c r="AC133" s="634">
        <f>IF(Year5_England Year5_CP_Plans_ceased="","",Year5_England Year5_CP_Plans_ceased)</f>
        <v>65920</v>
      </c>
      <c r="AD133" s="439" t="str">
        <f t="shared" si="43"/>
        <v>England</v>
      </c>
      <c r="AE133" s="662">
        <f>IF(Year1_England Year1_CP_Plans_ceased_2years="","",Year1_England Year1_CP_Plans_ceased_2years)</f>
        <v>2450</v>
      </c>
      <c r="AF133" s="662">
        <f>IF(Year2_England Year2_CP_Plans_ceased_2years="","",Year2_England Year2_CP_Plans_ceased_2years)</f>
        <v>2250</v>
      </c>
      <c r="AG133" s="662">
        <f>IF(Year3_England Year3_CP_Plans_ceased_2years="","",Year3_England Year3_CP_Plans_ceased_2years)</f>
        <v>2410</v>
      </c>
      <c r="AH133" s="424">
        <f>IF(Year4_England Year4_CP_Plans_ceased_2years="","",Year4_England Year4_CP_Plans_ceased_2years)</f>
        <v>2230</v>
      </c>
      <c r="AI133" s="424">
        <f>IF(Year5_England Year5_CP_Plans_ceased_2years="","",Year5_England Year5_CP_Plans_ceased_2years)</f>
        <v>2250</v>
      </c>
      <c r="AJ133" s="178"/>
    </row>
    <row r="134" spans="1:45" s="101" customFormat="1" ht="6" customHeight="1" x14ac:dyDescent="0.2">
      <c r="A134" s="324"/>
      <c r="B134" s="115"/>
      <c r="C134" s="115"/>
      <c r="D134" s="115"/>
      <c r="E134" s="115"/>
      <c r="F134" s="115"/>
      <c r="G134" s="115"/>
      <c r="H134" s="115"/>
      <c r="I134" s="115"/>
      <c r="J134" s="115"/>
      <c r="K134" s="188"/>
      <c r="L134" s="188"/>
      <c r="M134" s="188"/>
      <c r="N134" s="188"/>
      <c r="O134" s="188"/>
      <c r="P134" s="188"/>
      <c r="Q134" s="189"/>
      <c r="R134" s="177"/>
      <c r="S134" s="177"/>
      <c r="T134" s="190"/>
      <c r="U134" s="139"/>
      <c r="V134" s="154"/>
      <c r="W134" s="170"/>
      <c r="X134" s="215"/>
      <c r="Y134" s="215"/>
      <c r="Z134" s="88"/>
      <c r="AA134" s="88"/>
      <c r="AB134" s="88"/>
      <c r="AC134" s="88"/>
      <c r="AD134" s="88"/>
      <c r="AE134" s="232"/>
      <c r="AF134" s="232"/>
      <c r="AG134" s="232"/>
      <c r="AH134" s="217"/>
      <c r="AI134" s="232"/>
      <c r="AJ134" s="178"/>
    </row>
    <row r="135" spans="1:45" s="88" customFormat="1" ht="36.75" customHeight="1" x14ac:dyDescent="0.2">
      <c r="A135" s="249"/>
      <c r="B135" s="421"/>
      <c r="C135" s="421"/>
      <c r="D135" s="421"/>
      <c r="E135" s="421"/>
      <c r="F135" s="421"/>
      <c r="G135" s="421"/>
      <c r="H135" s="421"/>
      <c r="I135" s="421"/>
      <c r="J135" s="192"/>
      <c r="K135" s="192"/>
      <c r="L135" s="192"/>
      <c r="M135" s="192"/>
      <c r="N135" s="192"/>
      <c r="O135" s="192"/>
      <c r="P135" s="192"/>
      <c r="Q135" s="151"/>
      <c r="R135" s="192"/>
      <c r="S135" s="192"/>
      <c r="T135" s="192"/>
      <c r="U135" s="134"/>
      <c r="V135" s="152"/>
      <c r="W135" s="168"/>
      <c r="AC135" s="224"/>
      <c r="AD135" s="226"/>
      <c r="AE135" s="210"/>
      <c r="AF135" s="210"/>
      <c r="AG135" s="210"/>
      <c r="AI135" s="210"/>
      <c r="AJ135" s="179"/>
    </row>
    <row r="136" spans="1:45" s="88" customFormat="1" ht="36" customHeight="1" x14ac:dyDescent="0.2">
      <c r="A136" s="249"/>
      <c r="B136" s="421"/>
      <c r="C136" s="421"/>
      <c r="D136" s="421"/>
      <c r="E136" s="421"/>
      <c r="F136" s="421"/>
      <c r="G136" s="421"/>
      <c r="H136" s="421"/>
      <c r="I136" s="421"/>
      <c r="J136" s="192"/>
      <c r="K136" s="192"/>
      <c r="L136" s="192"/>
      <c r="M136" s="192"/>
      <c r="N136" s="192"/>
      <c r="O136" s="192"/>
      <c r="P136" s="192"/>
      <c r="Q136" s="151"/>
      <c r="R136" s="192"/>
      <c r="S136" s="192"/>
      <c r="T136" s="192"/>
      <c r="U136" s="134"/>
      <c r="V136" s="152"/>
      <c r="W136" s="168"/>
      <c r="Y136" s="217"/>
      <c r="AD136" s="226"/>
      <c r="AE136" s="210"/>
      <c r="AF136" s="210"/>
      <c r="AG136" s="210"/>
      <c r="AI136" s="210"/>
      <c r="AJ136" s="179"/>
    </row>
    <row r="137" spans="1:45" s="88" customFormat="1" ht="36.75" customHeight="1" x14ac:dyDescent="0.2">
      <c r="A137" s="249"/>
      <c r="B137" s="421"/>
      <c r="C137" s="421"/>
      <c r="D137" s="421"/>
      <c r="E137" s="421"/>
      <c r="F137" s="421"/>
      <c r="G137" s="421"/>
      <c r="H137" s="421"/>
      <c r="I137" s="421"/>
      <c r="J137" s="192"/>
      <c r="K137" s="192"/>
      <c r="L137" s="192"/>
      <c r="M137" s="192"/>
      <c r="N137" s="192"/>
      <c r="O137" s="192"/>
      <c r="P137" s="192"/>
      <c r="Q137" s="151"/>
      <c r="R137" s="192"/>
      <c r="S137" s="192"/>
      <c r="T137" s="192"/>
      <c r="U137" s="134"/>
      <c r="V137" s="152"/>
      <c r="W137" s="168"/>
      <c r="Y137" s="217"/>
      <c r="AD137" s="226"/>
      <c r="AE137" s="210"/>
      <c r="AF137" s="210"/>
      <c r="AG137" s="210"/>
      <c r="AI137" s="210"/>
      <c r="AJ137" s="179"/>
    </row>
    <row r="138" spans="1:45" s="88" customFormat="1" ht="7.5" customHeight="1" x14ac:dyDescent="0.2">
      <c r="A138" s="135"/>
      <c r="B138" s="18"/>
      <c r="C138" s="18"/>
      <c r="D138" s="17"/>
      <c r="E138" s="17"/>
      <c r="F138" s="17"/>
      <c r="G138" s="17"/>
      <c r="H138" s="17"/>
      <c r="I138" s="17"/>
      <c r="J138" s="13"/>
      <c r="K138" s="19"/>
      <c r="L138" s="19"/>
      <c r="M138" s="19"/>
      <c r="N138" s="19"/>
      <c r="O138" s="19"/>
      <c r="P138" s="19"/>
      <c r="Q138" s="19"/>
      <c r="R138" s="19"/>
      <c r="S138" s="19"/>
      <c r="T138" s="20"/>
      <c r="U138" s="134"/>
      <c r="V138" s="152"/>
      <c r="W138" s="168"/>
      <c r="Y138" s="217"/>
      <c r="AI138" s="210"/>
      <c r="AJ138" s="175"/>
      <c r="AK138" s="80"/>
      <c r="AL138" s="80"/>
      <c r="AM138" s="80"/>
      <c r="AN138" s="80"/>
      <c r="AO138" s="80"/>
      <c r="AP138" s="80"/>
      <c r="AQ138" s="80"/>
    </row>
    <row r="139" spans="1:45" s="88" customFormat="1" ht="15" customHeight="1" x14ac:dyDescent="0.2">
      <c r="A139" s="1010"/>
      <c r="B139" s="1018"/>
      <c r="C139" s="1018"/>
      <c r="D139" s="1018"/>
      <c r="E139" s="1018"/>
      <c r="F139" s="1018"/>
      <c r="G139" s="1018"/>
      <c r="H139" s="1018"/>
      <c r="I139" s="1018"/>
      <c r="J139" s="1018"/>
      <c r="K139" s="1018"/>
      <c r="L139" s="1018"/>
      <c r="M139" s="1018"/>
      <c r="N139" s="1018"/>
      <c r="O139" s="1018"/>
      <c r="P139" s="1018"/>
      <c r="Q139" s="1018"/>
      <c r="R139" s="1018"/>
      <c r="S139" s="1018"/>
      <c r="T139" s="1018"/>
      <c r="U139" s="1019"/>
      <c r="V139" s="152"/>
      <c r="W139" s="168"/>
      <c r="AJ139" s="179"/>
      <c r="AS139" s="80"/>
    </row>
    <row r="140" spans="1:45" s="88" customFormat="1" ht="11.25" customHeight="1" x14ac:dyDescent="0.2">
      <c r="A140" s="1020" t="str">
        <f>Home!$A$35</f>
        <v>LA's provide quarterly data on the condition that it is used by the benchmarking group for internal reporting only. Please DO NOT share other LA's data with any external partners or the public</v>
      </c>
      <c r="B140" s="1021"/>
      <c r="C140" s="1021"/>
      <c r="D140" s="1021"/>
      <c r="E140" s="1021"/>
      <c r="F140" s="1021"/>
      <c r="G140" s="1021"/>
      <c r="H140" s="1021"/>
      <c r="I140" s="1022"/>
      <c r="J140" s="1021"/>
      <c r="K140" s="1021"/>
      <c r="L140" s="1021"/>
      <c r="M140" s="1021"/>
      <c r="N140" s="1021"/>
      <c r="O140" s="1021"/>
      <c r="P140" s="1021"/>
      <c r="Q140" s="1021"/>
      <c r="R140" s="1021"/>
      <c r="S140" s="1022"/>
      <c r="T140" s="1021"/>
      <c r="U140" s="1023"/>
      <c r="V140" s="152"/>
      <c r="W140" s="168"/>
      <c r="AI140" s="210"/>
      <c r="AJ140" s="178"/>
      <c r="AK140" s="101"/>
      <c r="AS140" s="80"/>
    </row>
    <row r="141" spans="1:45" ht="11.25" customHeight="1" x14ac:dyDescent="0.2">
      <c r="A141" s="129"/>
      <c r="B141" s="130"/>
      <c r="C141" s="130"/>
      <c r="D141" s="130"/>
      <c r="E141" s="130"/>
      <c r="F141" s="130"/>
      <c r="G141" s="130"/>
      <c r="H141" s="130"/>
      <c r="I141" s="130"/>
      <c r="J141" s="131"/>
      <c r="K141" s="130"/>
      <c r="L141" s="130"/>
      <c r="M141" s="130"/>
      <c r="N141" s="130"/>
      <c r="O141" s="130"/>
      <c r="P141" s="130"/>
      <c r="Q141" s="130"/>
      <c r="R141" s="130"/>
      <c r="S141" s="130"/>
      <c r="T141" s="130"/>
      <c r="U141" s="132"/>
      <c r="V141" s="152"/>
      <c r="W141" s="168"/>
      <c r="X141" s="225"/>
      <c r="Y141" s="223"/>
      <c r="Z141" s="215"/>
      <c r="AI141" s="210"/>
      <c r="AJ141" s="179"/>
    </row>
    <row r="142" spans="1:45" s="82" customFormat="1" ht="15" customHeight="1" x14ac:dyDescent="0.2">
      <c r="A142" s="136"/>
      <c r="B142" s="1100" t="s">
        <v>866</v>
      </c>
      <c r="C142" s="1100"/>
      <c r="D142" s="1100"/>
      <c r="E142" s="1100"/>
      <c r="F142" s="1100"/>
      <c r="G142" s="1100"/>
      <c r="H142" s="1100"/>
      <c r="I142" s="1100"/>
      <c r="J142" s="70"/>
      <c r="K142" s="70"/>
      <c r="L142" s="70"/>
      <c r="M142" s="70"/>
      <c r="N142" s="409"/>
      <c r="O142" s="70"/>
      <c r="P142" s="70"/>
      <c r="Q142" s="70"/>
      <c r="R142" s="70"/>
      <c r="S142" s="70"/>
      <c r="T142" s="70"/>
      <c r="U142" s="137"/>
      <c r="V142" s="153"/>
      <c r="W142" s="169"/>
      <c r="X142" s="436" t="s">
        <v>160</v>
      </c>
      <c r="Y142" s="437"/>
      <c r="Z142" s="438"/>
      <c r="AA142" s="438"/>
      <c r="AB142" s="438"/>
      <c r="AC142" s="650"/>
      <c r="AD142" s="436" t="s">
        <v>161</v>
      </c>
      <c r="AE142" s="437"/>
      <c r="AF142" s="438"/>
      <c r="AG142" s="438"/>
      <c r="AH142" s="438"/>
      <c r="AI142" s="650"/>
      <c r="AJ142" s="178"/>
    </row>
    <row r="143" spans="1:45" ht="15" customHeight="1" x14ac:dyDescent="0.2">
      <c r="A143" s="135"/>
      <c r="B143" s="1100"/>
      <c r="C143" s="1100"/>
      <c r="D143" s="1100"/>
      <c r="E143" s="1100"/>
      <c r="F143" s="1100"/>
      <c r="G143" s="1100"/>
      <c r="H143" s="1100"/>
      <c r="I143" s="1100"/>
      <c r="J143" s="70"/>
      <c r="K143" s="70"/>
      <c r="L143" s="70"/>
      <c r="M143" s="70"/>
      <c r="N143" s="409"/>
      <c r="O143" s="70"/>
      <c r="P143" s="70"/>
      <c r="Q143" s="10"/>
      <c r="R143" s="70"/>
      <c r="S143" s="70"/>
      <c r="T143" s="70"/>
      <c r="U143" s="134"/>
      <c r="V143" s="152"/>
      <c r="W143" s="168"/>
      <c r="X143" s="438"/>
      <c r="Y143" s="437"/>
      <c r="Z143" s="438"/>
      <c r="AA143" s="438"/>
      <c r="AB143" s="438"/>
      <c r="AC143" s="650"/>
      <c r="AD143" s="438"/>
      <c r="AE143" s="437"/>
      <c r="AF143" s="438"/>
      <c r="AG143" s="438"/>
      <c r="AH143" s="438"/>
      <c r="AI143" s="650"/>
      <c r="AJ143" s="179"/>
    </row>
    <row r="144" spans="1:45" s="101" customFormat="1" ht="27" customHeight="1" x14ac:dyDescent="0.2">
      <c r="A144" s="138"/>
      <c r="B144" s="540" t="s">
        <v>215</v>
      </c>
      <c r="C144" s="97"/>
      <c r="D144" s="393">
        <f>D8</f>
        <v>2014</v>
      </c>
      <c r="E144" s="393">
        <f t="shared" ref="E144:H144" si="44">E8</f>
        <v>2015</v>
      </c>
      <c r="F144" s="393">
        <f t="shared" si="44"/>
        <v>2016</v>
      </c>
      <c r="G144" s="393">
        <f t="shared" si="44"/>
        <v>2017</v>
      </c>
      <c r="H144" s="394">
        <f t="shared" si="44"/>
        <v>2018</v>
      </c>
      <c r="I144" s="115"/>
      <c r="J144" s="115"/>
      <c r="K144" s="62"/>
      <c r="L144" s="62"/>
      <c r="M144" s="62"/>
      <c r="N144" s="62"/>
      <c r="O144" s="62"/>
      <c r="P144" s="417"/>
      <c r="Q144" s="417"/>
      <c r="R144" s="177"/>
      <c r="S144" s="177"/>
      <c r="T144" s="418"/>
      <c r="U144" s="139"/>
      <c r="V144" s="154"/>
      <c r="W144" s="170"/>
      <c r="X144" s="846"/>
      <c r="Y144" s="847">
        <f>D144</f>
        <v>2014</v>
      </c>
      <c r="Z144" s="848">
        <f t="shared" ref="Z144:AC144" si="45">E144</f>
        <v>2015</v>
      </c>
      <c r="AA144" s="848">
        <f t="shared" si="45"/>
        <v>2016</v>
      </c>
      <c r="AB144" s="848">
        <f t="shared" si="45"/>
        <v>2017</v>
      </c>
      <c r="AC144" s="849">
        <f t="shared" si="45"/>
        <v>2018</v>
      </c>
      <c r="AD144" s="850"/>
      <c r="AE144" s="848">
        <f>Y144</f>
        <v>2014</v>
      </c>
      <c r="AF144" s="848">
        <f>Z144</f>
        <v>2015</v>
      </c>
      <c r="AG144" s="848">
        <f>AA144</f>
        <v>2016</v>
      </c>
      <c r="AH144" s="848">
        <f>AB144</f>
        <v>2017</v>
      </c>
      <c r="AI144" s="848">
        <f>AC144</f>
        <v>2018</v>
      </c>
      <c r="AJ144" s="178"/>
    </row>
    <row r="145" spans="1:44" s="101" customFormat="1" ht="12.75" customHeight="1" x14ac:dyDescent="0.2">
      <c r="A145" s="533">
        <f>VLOOKUP(B145,Sheet1!$B$4:$C$25,2,FALSE)</f>
        <v>0</v>
      </c>
      <c r="B145" s="112" t="str">
        <f t="shared" ref="B145:B168" si="46">B9</f>
        <v>Bracknell Forest</v>
      </c>
      <c r="C145" s="97"/>
      <c r="D145" s="182">
        <f>IF(AND(ISNUMBER(AE145),ISNUMBER(Y145)),AE145/Y145,NA())</f>
        <v>0.128</v>
      </c>
      <c r="E145" s="182">
        <f t="shared" ref="E145:E168" si="47">IF(AND(ISNUMBER(AF145),ISNUMBER(Z145)),AF145/Z145,NA())</f>
        <v>0.1388888888888889</v>
      </c>
      <c r="F145" s="182">
        <f t="shared" ref="F145:F168" si="48">IF(AND(ISNUMBER(AG145),ISNUMBER(AA145)),AG145/AA145,NA())</f>
        <v>0.24822695035460993</v>
      </c>
      <c r="G145" s="182">
        <f t="shared" ref="G145:G168" si="49">IF(AND(ISNUMBER(AH145),ISNUMBER(AB145)),AH145/AB145,NA())</f>
        <v>0.26146788990825687</v>
      </c>
      <c r="H145" s="184">
        <f t="shared" ref="H145:H168" si="50">IF(AND(ISNUMBER(AI145),ISNUMBER(AC145)),AI145/AC145,NA())</f>
        <v>0.17751479289940827</v>
      </c>
      <c r="I145" s="115"/>
      <c r="J145" s="115"/>
      <c r="K145" s="186"/>
      <c r="L145" s="186"/>
      <c r="M145" s="186"/>
      <c r="N145" s="186"/>
      <c r="O145" s="186"/>
      <c r="P145" s="186"/>
      <c r="Q145" s="187"/>
      <c r="R145" s="177"/>
      <c r="S145" s="177"/>
      <c r="T145" s="186"/>
      <c r="U145" s="139"/>
      <c r="V145" s="154"/>
      <c r="W145" s="170"/>
      <c r="X145" s="846" t="str">
        <f>B145</f>
        <v>Bracknell Forest</v>
      </c>
      <c r="Y145" s="847">
        <f>IF(Year1_Bracknell_Forest Year1_CP_Plans_became_subject="","",Year1_Bracknell_Forest Year1_CP_Plans_became_subject)</f>
        <v>125</v>
      </c>
      <c r="Z145" s="851">
        <f>IF(Year2_Bracknell_Forest Year2_CP_Plans_became_subject="","",Year2_Bracknell_Forest Year2_CP_Plans_became_subject)</f>
        <v>144</v>
      </c>
      <c r="AA145" s="851">
        <f>IF(Year3_Bracknell_Forest Year3_CP_Plans_became_subject="","",Year3_Bracknell_Forest Year3_CP_Plans_became_subject)</f>
        <v>141</v>
      </c>
      <c r="AB145" s="851">
        <f>IF(Year4_Bracknell_Forest Year4_CP_Plans_became_subject="","",Year4_Bracknell_Forest Year4_CP_Plans_became_subject)</f>
        <v>218</v>
      </c>
      <c r="AC145" s="846">
        <f>IF(Year5_Bracknell_Forest Year5_CP_Plans_became_subject="","",Year5_Bracknell_Forest Year5_CP_Plans_became_subject)</f>
        <v>169</v>
      </c>
      <c r="AD145" s="850" t="str">
        <f>X145</f>
        <v>Bracknell Forest</v>
      </c>
      <c r="AE145" s="848">
        <f>IF(Year1_Bracknell_Forest Year1_CP_Plans_became_subject_second="","",Year1_Bracknell_Forest Year1_CP_Plans_became_subject_second)</f>
        <v>16</v>
      </c>
      <c r="AF145" s="851">
        <f>IF(Year2_Bracknell_Forest Year2_CP_Plans_became_subject_second="","",Year2_Bracknell_Forest Year2_CP_Plans_became_subject_second)</f>
        <v>20</v>
      </c>
      <c r="AG145" s="851">
        <f>IF(Year3_Bracknell_Forest Year3_CP_Plans_became_subject_second="","",Year3_Bracknell_Forest Year3_CP_Plans_became_subject_second)</f>
        <v>35</v>
      </c>
      <c r="AH145" s="851">
        <f>IF(Year4_Bracknell_Forest Year4_CP_Plans_became_subject_second="","",Year4_Bracknell_Forest Year4_CP_Plans_became_subject_second)</f>
        <v>57</v>
      </c>
      <c r="AI145" s="851">
        <f>IF(Year5_Bracknell_Forest Year5_CP_Plans_became_subject_second="","",Year5_Bracknell_Forest Year5_CP_Plans_became_subject_second)</f>
        <v>30</v>
      </c>
      <c r="AJ145" s="179"/>
    </row>
    <row r="146" spans="1:44" s="101" customFormat="1" ht="12.75" customHeight="1" x14ac:dyDescent="0.2">
      <c r="A146" s="533">
        <f>VLOOKUP(B146,Sheet1!$B$4:$C$25,2,FALSE)</f>
        <v>0</v>
      </c>
      <c r="B146" s="112" t="str">
        <f t="shared" si="46"/>
        <v>Brighton &amp; Hove</v>
      </c>
      <c r="C146" s="97"/>
      <c r="D146" s="182">
        <f t="shared" ref="D146:D168" si="51">IF(AND(ISNUMBER(AE146),ISNUMBER(Y146)),AE146/Y146,NA())</f>
        <v>0.27478753541076489</v>
      </c>
      <c r="E146" s="182">
        <f t="shared" si="47"/>
        <v>0.21832884097035041</v>
      </c>
      <c r="F146" s="182">
        <f t="shared" si="48"/>
        <v>0.25517241379310346</v>
      </c>
      <c r="G146" s="182">
        <f t="shared" si="49"/>
        <v>0.21897810218978103</v>
      </c>
      <c r="H146" s="184">
        <f t="shared" si="50"/>
        <v>0.23820754716981132</v>
      </c>
      <c r="I146" s="115"/>
      <c r="J146" s="115"/>
      <c r="K146" s="186"/>
      <c r="L146" s="186"/>
      <c r="M146" s="186"/>
      <c r="N146" s="186"/>
      <c r="O146" s="186"/>
      <c r="P146" s="186"/>
      <c r="Q146" s="187"/>
      <c r="R146" s="177"/>
      <c r="S146" s="177"/>
      <c r="T146" s="186"/>
      <c r="U146" s="139"/>
      <c r="V146" s="154"/>
      <c r="W146" s="170"/>
      <c r="X146" s="846" t="str">
        <f t="shared" ref="X146:X168" si="52">B146</f>
        <v>Brighton &amp; Hove</v>
      </c>
      <c r="Y146" s="847">
        <f>IF(Year1_Brighton_Hove Year1_CP_Plans_became_subject="","",Year1_Brighton_Hove Year1_CP_Plans_became_subject)</f>
        <v>353</v>
      </c>
      <c r="Z146" s="851">
        <f>IF(Year2_Brighton_Hove Year2_CP_Plans_became_subject="","",Year2_Brighton_Hove Year2_CP_Plans_became_subject)</f>
        <v>371</v>
      </c>
      <c r="AA146" s="851">
        <f>IF(Year3_Brighton_Hove Year3_CP_Plans_became_subject="","",Year3_Brighton_Hove Year3_CP_Plans_became_subject)</f>
        <v>435</v>
      </c>
      <c r="AB146" s="851">
        <f>IF(Year4_Brighton_Hove Year4_CP_Plans_became_subject="","",Year4_Brighton_Hove Year4_CP_Plans_became_subject)</f>
        <v>411</v>
      </c>
      <c r="AC146" s="846">
        <f>IF(Year5_Brighton_Hove Year5_CP_Plans_became_subject="","",Year5_Brighton_Hove Year5_CP_Plans_became_subject)</f>
        <v>424</v>
      </c>
      <c r="AD146" s="850" t="str">
        <f t="shared" ref="AD146:AD168" si="53">X146</f>
        <v>Brighton &amp; Hove</v>
      </c>
      <c r="AE146" s="848">
        <f>IF(Year1_Brighton_Hove Year1_CP_Plans_became_subject_second="","",Year1_Brighton_Hove Year1_CP_Plans_became_subject_second)</f>
        <v>97</v>
      </c>
      <c r="AF146" s="851">
        <f>IF(Year2_Brighton_Hove Year2_CP_Plans_became_subject_second="","",Year2_Brighton_Hove Year2_CP_Plans_became_subject_second)</f>
        <v>81</v>
      </c>
      <c r="AG146" s="851">
        <f>IF(Year3_Brighton_Hove Year3_CP_Plans_became_subject_second="","",Year3_Brighton_Hove Year3_CP_Plans_became_subject_second)</f>
        <v>111</v>
      </c>
      <c r="AH146" s="851">
        <f>IF(Year4_Brighton_Hove Year4_CP_Plans_became_subject_second="","",Year4_Brighton_Hove Year4_CP_Plans_became_subject_second)</f>
        <v>90</v>
      </c>
      <c r="AI146" s="851">
        <f>IF(Year5_Brighton_Hove Year5_CP_Plans_became_subject_second="","",Year5_Brighton_Hove Year5_CP_Plans_became_subject_second)</f>
        <v>101</v>
      </c>
      <c r="AJ146" s="178"/>
    </row>
    <row r="147" spans="1:44" s="101" customFormat="1" ht="12.75" customHeight="1" x14ac:dyDescent="0.2">
      <c r="A147" s="533">
        <f>VLOOKUP(B147,Sheet1!$B$4:$C$25,2,FALSE)</f>
        <v>0</v>
      </c>
      <c r="B147" s="112" t="str">
        <f t="shared" si="46"/>
        <v>Buckinghamshire</v>
      </c>
      <c r="C147" s="97"/>
      <c r="D147" s="182">
        <f t="shared" si="51"/>
        <v>0.2226027397260274</v>
      </c>
      <c r="E147" s="182">
        <f t="shared" si="47"/>
        <v>0.16816143497757849</v>
      </c>
      <c r="F147" s="182">
        <f t="shared" si="48"/>
        <v>0.19281045751633988</v>
      </c>
      <c r="G147" s="182">
        <f t="shared" si="49"/>
        <v>0.14344827586206896</v>
      </c>
      <c r="H147" s="184">
        <f t="shared" si="50"/>
        <v>0.18784530386740331</v>
      </c>
      <c r="I147" s="115"/>
      <c r="J147" s="115"/>
      <c r="K147" s="186"/>
      <c r="L147" s="186"/>
      <c r="M147" s="186"/>
      <c r="N147" s="186"/>
      <c r="O147" s="186"/>
      <c r="P147" s="186"/>
      <c r="Q147" s="187"/>
      <c r="R147" s="177"/>
      <c r="S147" s="177"/>
      <c r="T147" s="186"/>
      <c r="U147" s="139"/>
      <c r="V147" s="154"/>
      <c r="W147" s="170"/>
      <c r="X147" s="846" t="str">
        <f t="shared" si="52"/>
        <v>Buckinghamshire</v>
      </c>
      <c r="Y147" s="847">
        <f>IF(Year1_Buckinghamshire Year1_CP_Plans_became_subject="","",Year1_Buckinghamshire Year1_CP_Plans_became_subject)</f>
        <v>292</v>
      </c>
      <c r="Z147" s="851">
        <f>IF(Year2_Buckinghamshire Year2_CP_Plans_became_subject="","",Year2_Buckinghamshire Year2_CP_Plans_became_subject)</f>
        <v>446</v>
      </c>
      <c r="AA147" s="851">
        <f>IF(Year3_Buckinghamshire Year3_CP_Plans_became_subject="","",Year3_Buckinghamshire Year3_CP_Plans_became_subject)</f>
        <v>612</v>
      </c>
      <c r="AB147" s="851">
        <f>IF(Year4_Buckinghamshire Year4_CP_Plans_became_subject="","",Year4_Buckinghamshire Year4_CP_Plans_became_subject)</f>
        <v>725</v>
      </c>
      <c r="AC147" s="846">
        <f>IF(Year5_Buckinghamshire Year5_CP_Plans_became_subject="","",Year5_Buckinghamshire Year5_CP_Plans_became_subject)</f>
        <v>724</v>
      </c>
      <c r="AD147" s="850" t="str">
        <f t="shared" si="53"/>
        <v>Buckinghamshire</v>
      </c>
      <c r="AE147" s="848">
        <f>IF(Year1_Buckinghamshire Year1_CP_Plans_became_subject_second="","",Year1_Buckinghamshire Year1_CP_Plans_became_subject_second)</f>
        <v>65</v>
      </c>
      <c r="AF147" s="851">
        <f>IF(Year2_Buckinghamshire Year2_CP_Plans_became_subject_second="","",Year2_Buckinghamshire Year2_CP_Plans_became_subject_second)</f>
        <v>75</v>
      </c>
      <c r="AG147" s="851">
        <f>IF(Year3_Buckinghamshire Year3_CP_Plans_became_subject_second="","",Year3_Buckinghamshire Year3_CP_Plans_became_subject_second)</f>
        <v>118</v>
      </c>
      <c r="AH147" s="851">
        <f>IF(Year4_Buckinghamshire Year4_CP_Plans_became_subject_second="","",Year4_Buckinghamshire Year4_CP_Plans_became_subject_second)</f>
        <v>104</v>
      </c>
      <c r="AI147" s="851">
        <f>IF(Year5_Buckinghamshire Year5_CP_Plans_became_subject_second="","",Year5_Buckinghamshire Year5_CP_Plans_became_subject_second)</f>
        <v>136</v>
      </c>
      <c r="AJ147" s="179"/>
    </row>
    <row r="148" spans="1:44" s="101" customFormat="1" ht="12.75" customHeight="1" x14ac:dyDescent="0.2">
      <c r="A148" s="533">
        <f>VLOOKUP(B148,Sheet1!$B$4:$C$25,2,FALSE)</f>
        <v>0</v>
      </c>
      <c r="B148" s="112" t="str">
        <f t="shared" si="46"/>
        <v>East Sussex</v>
      </c>
      <c r="C148" s="97"/>
      <c r="D148" s="182">
        <f t="shared" si="51"/>
        <v>0.19618055555555555</v>
      </c>
      <c r="E148" s="182">
        <f t="shared" si="47"/>
        <v>0.20446096654275092</v>
      </c>
      <c r="F148" s="182">
        <f t="shared" si="48"/>
        <v>0.24943820224719102</v>
      </c>
      <c r="G148" s="182">
        <f t="shared" si="49"/>
        <v>0.28298279158699807</v>
      </c>
      <c r="H148" s="184">
        <f t="shared" si="50"/>
        <v>0.25</v>
      </c>
      <c r="I148" s="115"/>
      <c r="J148" s="115"/>
      <c r="K148" s="186"/>
      <c r="L148" s="186"/>
      <c r="M148" s="186"/>
      <c r="N148" s="186"/>
      <c r="O148" s="186"/>
      <c r="P148" s="186"/>
      <c r="Q148" s="187"/>
      <c r="R148" s="177"/>
      <c r="S148" s="177"/>
      <c r="T148" s="186"/>
      <c r="U148" s="139"/>
      <c r="V148" s="154"/>
      <c r="W148" s="170"/>
      <c r="X148" s="846" t="str">
        <f t="shared" si="52"/>
        <v>East Sussex</v>
      </c>
      <c r="Y148" s="847">
        <f>IF(Year1_East_Sussex Year1_CP_Plans_became_subject="","",Year1_East_Sussex Year1_CP_Plans_became_subject)</f>
        <v>576</v>
      </c>
      <c r="Z148" s="851">
        <f>IF(Year2_East_Sussex Year2_CP_Plans_became_subject="","",Year2_East_Sussex Year2_CP_Plans_became_subject)</f>
        <v>538</v>
      </c>
      <c r="AA148" s="851">
        <f>IF(Year3_East_Sussex Year3_CP_Plans_became_subject="","",Year3_East_Sussex Year3_CP_Plans_became_subject)</f>
        <v>445</v>
      </c>
      <c r="AB148" s="851">
        <f>IF(Year4_East_Sussex Year4_CP_Plans_became_subject="","",Year4_East_Sussex Year4_CP_Plans_became_subject)</f>
        <v>523</v>
      </c>
      <c r="AC148" s="846">
        <f>IF(Year5_East_Sussex Year5_CP_Plans_became_subject="","",Year5_East_Sussex Year5_CP_Plans_became_subject)</f>
        <v>624</v>
      </c>
      <c r="AD148" s="850" t="str">
        <f t="shared" si="53"/>
        <v>East Sussex</v>
      </c>
      <c r="AE148" s="848">
        <f>IF(Year1_East_Sussex Year1_CP_Plans_became_subject_second="","",Year1_East_Sussex Year1_CP_Plans_became_subject_second)</f>
        <v>113</v>
      </c>
      <c r="AF148" s="851">
        <f>IF(Year2_East_Sussex Year2_CP_Plans_became_subject_second="","",Year2_East_Sussex Year2_CP_Plans_became_subject_second)</f>
        <v>110</v>
      </c>
      <c r="AG148" s="851">
        <f>IF(Year3_East_Sussex Year3_CP_Plans_became_subject_second="","",Year3_East_Sussex Year3_CP_Plans_became_subject_second)</f>
        <v>111</v>
      </c>
      <c r="AH148" s="851">
        <f>IF(Year4_East_Sussex Year4_CP_Plans_became_subject_second="","",Year4_East_Sussex Year4_CP_Plans_became_subject_second)</f>
        <v>148</v>
      </c>
      <c r="AI148" s="851">
        <f>IF(Year5_East_Sussex Year5_CP_Plans_became_subject_second="","",Year5_East_Sussex Year5_CP_Plans_became_subject_second)</f>
        <v>156</v>
      </c>
      <c r="AJ148" s="178"/>
    </row>
    <row r="149" spans="1:44" s="101" customFormat="1" ht="12.75" customHeight="1" x14ac:dyDescent="0.2">
      <c r="A149" s="533">
        <f>VLOOKUP(B149,Sheet1!$B$4:$C$25,2,FALSE)</f>
        <v>0</v>
      </c>
      <c r="B149" s="112" t="str">
        <f t="shared" si="46"/>
        <v>Hampshire</v>
      </c>
      <c r="C149" s="97"/>
      <c r="D149" s="182">
        <f t="shared" si="51"/>
        <v>0.17388059701492536</v>
      </c>
      <c r="E149" s="182">
        <f t="shared" si="47"/>
        <v>0.1632208922742111</v>
      </c>
      <c r="F149" s="182">
        <f t="shared" si="48"/>
        <v>0.20095693779904306</v>
      </c>
      <c r="G149" s="182">
        <f t="shared" si="49"/>
        <v>0.24273072060682679</v>
      </c>
      <c r="H149" s="184">
        <f t="shared" si="50"/>
        <v>0.23046875</v>
      </c>
      <c r="I149" s="115"/>
      <c r="J149" s="115"/>
      <c r="K149" s="186"/>
      <c r="L149" s="186"/>
      <c r="M149" s="186"/>
      <c r="N149" s="186"/>
      <c r="O149" s="186"/>
      <c r="P149" s="186"/>
      <c r="Q149" s="187"/>
      <c r="R149" s="177"/>
      <c r="S149" s="177"/>
      <c r="T149" s="186"/>
      <c r="U149" s="139"/>
      <c r="V149" s="154"/>
      <c r="W149" s="170"/>
      <c r="X149" s="846" t="str">
        <f t="shared" si="52"/>
        <v>Hampshire</v>
      </c>
      <c r="Y149" s="847">
        <f>IF(Year1_Hampshire Year1_CP_Plans_became_subject="","",Year1_Hampshire Year1_CP_Plans_became_subject)</f>
        <v>1340</v>
      </c>
      <c r="Z149" s="851">
        <f>IF(Year2_Hampshire Year2_CP_Plans_became_subject="","",Year2_Hampshire Year2_CP_Plans_became_subject)</f>
        <v>1838</v>
      </c>
      <c r="AA149" s="851">
        <f>IF(Year3_Hampshire Year3_CP_Plans_became_subject="","",Year3_Hampshire Year3_CP_Plans_became_subject)</f>
        <v>1672</v>
      </c>
      <c r="AB149" s="851">
        <f>IF(Year4_Hampshire Year4_CP_Plans_became_subject="","",Year4_Hampshire Year4_CP_Plans_became_subject)</f>
        <v>1582</v>
      </c>
      <c r="AC149" s="846">
        <f>IF(Year5_Hampshire Year5_CP_Plans_became_subject="","",Year5_Hampshire Year5_CP_Plans_became_subject)</f>
        <v>1536</v>
      </c>
      <c r="AD149" s="850" t="str">
        <f t="shared" si="53"/>
        <v>Hampshire</v>
      </c>
      <c r="AE149" s="848">
        <f>IF(Year1_Hampshire Year1_CP_Plans_became_subject_second="","",Year1_Hampshire Year1_CP_Plans_became_subject_second)</f>
        <v>233</v>
      </c>
      <c r="AF149" s="851">
        <f>IF(Year2_Hampshire Year2_CP_Plans_became_subject_second="","",Year2_Hampshire Year2_CP_Plans_became_subject_second)</f>
        <v>300</v>
      </c>
      <c r="AG149" s="851">
        <f>IF(Year3_Hampshire Year3_CP_Plans_became_subject_second="","",Year3_Hampshire Year3_CP_Plans_became_subject_second)</f>
        <v>336</v>
      </c>
      <c r="AH149" s="851">
        <f>IF(Year4_Hampshire Year4_CP_Plans_became_subject_second="","",Year4_Hampshire Year4_CP_Plans_became_subject_second)</f>
        <v>384</v>
      </c>
      <c r="AI149" s="851">
        <f>IF(Year5_Hampshire Year5_CP_Plans_became_subject_second="","",Year5_Hampshire Year5_CP_Plans_became_subject_second)</f>
        <v>354</v>
      </c>
      <c r="AJ149" s="179"/>
    </row>
    <row r="150" spans="1:44" s="101" customFormat="1" ht="12.75" customHeight="1" x14ac:dyDescent="0.2">
      <c r="A150" s="533">
        <f>VLOOKUP(B150,Sheet1!$B$4:$C$25,2,FALSE)</f>
        <v>0</v>
      </c>
      <c r="B150" s="112" t="str">
        <f t="shared" si="46"/>
        <v>Isle of Wight</v>
      </c>
      <c r="C150" s="97"/>
      <c r="D150" s="182">
        <f t="shared" si="51"/>
        <v>0.14634146341463414</v>
      </c>
      <c r="E150" s="182">
        <f t="shared" si="47"/>
        <v>0.15438596491228071</v>
      </c>
      <c r="F150" s="182">
        <f t="shared" si="48"/>
        <v>0.14726027397260275</v>
      </c>
      <c r="G150" s="182">
        <f t="shared" si="49"/>
        <v>0.20779220779220781</v>
      </c>
      <c r="H150" s="184">
        <f t="shared" si="50"/>
        <v>0.23287671232876711</v>
      </c>
      <c r="I150" s="115"/>
      <c r="J150" s="115"/>
      <c r="K150" s="186"/>
      <c r="L150" s="186"/>
      <c r="M150" s="186"/>
      <c r="N150" s="186"/>
      <c r="O150" s="186"/>
      <c r="P150" s="186"/>
      <c r="Q150" s="187"/>
      <c r="R150" s="177"/>
      <c r="S150" s="177"/>
      <c r="T150" s="186"/>
      <c r="U150" s="139"/>
      <c r="V150" s="154"/>
      <c r="W150" s="170"/>
      <c r="X150" s="846" t="str">
        <f t="shared" si="52"/>
        <v>Isle of Wight</v>
      </c>
      <c r="Y150" s="847">
        <f>IF(Year1_Isle_of_Wight Year1_CP_Plans_became_subject="","",Year1_Isle_of_Wight Year1_CP_Plans_became_subject)</f>
        <v>205</v>
      </c>
      <c r="Z150" s="851">
        <f>IF(Year2_Isle_of_Wight Year2_CP_Plans_became_subject="","",Year2_Isle_of_Wight Year2_CP_Plans_became_subject)</f>
        <v>285</v>
      </c>
      <c r="AA150" s="851">
        <f>IF(Year3_Isle_of_Wight Year3_CP_Plans_became_subject="","",Year3_Isle_of_Wight Year3_CP_Plans_became_subject)</f>
        <v>292</v>
      </c>
      <c r="AB150" s="851">
        <f>IF(Year4_Isle_of_Wight Year4_CP_Plans_became_subject="","",Year4_Isle_of_Wight Year4_CP_Plans_became_subject)</f>
        <v>231</v>
      </c>
      <c r="AC150" s="846">
        <f>IF(Year5_Isle_of_Wight Year5_CP_Plans_became_subject="","",Year5_Isle_of_Wight Year5_CP_Plans_became_subject)</f>
        <v>219</v>
      </c>
      <c r="AD150" s="850" t="str">
        <f t="shared" si="53"/>
        <v>Isle of Wight</v>
      </c>
      <c r="AE150" s="848">
        <f>IF(Year1_Isle_of_Wight Year1_CP_Plans_became_subject_second="","",Year1_Isle_of_Wight Year1_CP_Plans_became_subject_second)</f>
        <v>30</v>
      </c>
      <c r="AF150" s="851">
        <f>IF(Year2_Isle_of_Wight Year2_CP_Plans_became_subject_second="","",Year2_Isle_of_Wight Year2_CP_Plans_became_subject_second)</f>
        <v>44</v>
      </c>
      <c r="AG150" s="851">
        <f>IF(Year3_Isle_of_Wight Year3_CP_Plans_became_subject_second="","",Year3_Isle_of_Wight Year3_CP_Plans_became_subject_second)</f>
        <v>43</v>
      </c>
      <c r="AH150" s="851">
        <f>IF(Year4_Isle_of_Wight Year4_CP_Plans_became_subject_second="","",Year4_Isle_of_Wight Year4_CP_Plans_became_subject_second)</f>
        <v>48</v>
      </c>
      <c r="AI150" s="851">
        <f>IF(Year5_Isle_of_Wight Year5_CP_Plans_became_subject_second="","",Year5_Isle_of_Wight Year5_CP_Plans_became_subject_second)</f>
        <v>51</v>
      </c>
      <c r="AJ150" s="178"/>
      <c r="AR150" s="101" t="s">
        <v>104</v>
      </c>
    </row>
    <row r="151" spans="1:44" s="101" customFormat="1" ht="12.75" customHeight="1" x14ac:dyDescent="0.2">
      <c r="A151" s="533">
        <f>VLOOKUP(B151,Sheet1!$B$4:$C$25,2,FALSE)</f>
        <v>0</v>
      </c>
      <c r="B151" s="112" t="str">
        <f t="shared" si="46"/>
        <v>Kent</v>
      </c>
      <c r="C151" s="97"/>
      <c r="D151" s="182">
        <f t="shared" si="51"/>
        <v>0.18113975576662145</v>
      </c>
      <c r="E151" s="182">
        <f t="shared" si="47"/>
        <v>0.18411330049261085</v>
      </c>
      <c r="F151" s="182">
        <f t="shared" si="48"/>
        <v>0.20090978013646701</v>
      </c>
      <c r="G151" s="182">
        <f t="shared" si="49"/>
        <v>0.19384615384615383</v>
      </c>
      <c r="H151" s="184">
        <f t="shared" si="50"/>
        <v>0.20397690827453496</v>
      </c>
      <c r="I151" s="115"/>
      <c r="J151" s="115"/>
      <c r="K151" s="186"/>
      <c r="L151" s="186"/>
      <c r="M151" s="186"/>
      <c r="N151" s="186"/>
      <c r="O151" s="186"/>
      <c r="P151" s="186"/>
      <c r="Q151" s="187"/>
      <c r="R151" s="177"/>
      <c r="S151" s="177"/>
      <c r="T151" s="186"/>
      <c r="U151" s="139"/>
      <c r="V151" s="154"/>
      <c r="W151" s="170"/>
      <c r="X151" s="846" t="str">
        <f t="shared" si="52"/>
        <v>Kent</v>
      </c>
      <c r="Y151" s="847">
        <f>IF(Year1_Kent Year1_CP_Plans_became_subject="","",Year1_Kent Year1_CP_Plans_became_subject)</f>
        <v>1474</v>
      </c>
      <c r="Z151" s="851">
        <f>IF(Year2_Kent Year2_CP_Plans_became_subject="","",Year2_Kent Year2_CP_Plans_became_subject)</f>
        <v>1624</v>
      </c>
      <c r="AA151" s="851">
        <f>IF(Year3_Kent Year3_CP_Plans_became_subject="","",Year3_Kent Year3_CP_Plans_became_subject)</f>
        <v>1319</v>
      </c>
      <c r="AB151" s="851">
        <f>IF(Year4_Kent Year4_CP_Plans_became_subject="","",Year4_Kent Year4_CP_Plans_became_subject)</f>
        <v>1300</v>
      </c>
      <c r="AC151" s="846">
        <f>IF(Year5_Kent Year5_CP_Plans_became_subject="","",Year5_Kent Year5_CP_Plans_became_subject)</f>
        <v>1559</v>
      </c>
      <c r="AD151" s="850" t="str">
        <f t="shared" si="53"/>
        <v>Kent</v>
      </c>
      <c r="AE151" s="848">
        <f>IF(Year1_Kent Year1_CP_Plans_became_subject_second="","",Year1_Kent Year1_CP_Plans_became_subject_second)</f>
        <v>267</v>
      </c>
      <c r="AF151" s="851">
        <f>IF(Year2_Kent Year2_CP_Plans_became_subject_second="","",Year2_Kent Year2_CP_Plans_became_subject_second)</f>
        <v>299</v>
      </c>
      <c r="AG151" s="851">
        <f>IF(Year3_Kent Year3_CP_Plans_became_subject_second="","",Year3_Kent Year3_CP_Plans_became_subject_second)</f>
        <v>265</v>
      </c>
      <c r="AH151" s="851">
        <f>IF(Year4_Kent Year4_CP_Plans_became_subject_second="","",Year4_Kent Year4_CP_Plans_became_subject_second)</f>
        <v>252</v>
      </c>
      <c r="AI151" s="851">
        <f>IF(Year5_Kent Year5_CP_Plans_became_subject_second="","",Year5_Kent Year5_CP_Plans_became_subject_second)</f>
        <v>318</v>
      </c>
      <c r="AJ151" s="179"/>
    </row>
    <row r="152" spans="1:44" s="101" customFormat="1" ht="12.75" customHeight="1" x14ac:dyDescent="0.2">
      <c r="A152" s="533">
        <f>VLOOKUP(B152,Sheet1!$B$4:$C$25,2,FALSE)</f>
        <v>0</v>
      </c>
      <c r="B152" s="112" t="str">
        <f t="shared" si="46"/>
        <v>Medway</v>
      </c>
      <c r="C152" s="97"/>
      <c r="D152" s="182">
        <f t="shared" si="51"/>
        <v>0.14948453608247422</v>
      </c>
      <c r="E152" s="182">
        <f t="shared" si="47"/>
        <v>0.14842300556586271</v>
      </c>
      <c r="F152" s="182">
        <f t="shared" si="48"/>
        <v>0.18165467625899281</v>
      </c>
      <c r="G152" s="182">
        <f t="shared" si="49"/>
        <v>0.2073170731707317</v>
      </c>
      <c r="H152" s="184">
        <f t="shared" si="50"/>
        <v>0.22465753424657534</v>
      </c>
      <c r="I152" s="115"/>
      <c r="J152" s="115"/>
      <c r="K152" s="186"/>
      <c r="L152" s="186"/>
      <c r="M152" s="186"/>
      <c r="N152" s="186"/>
      <c r="O152" s="186"/>
      <c r="P152" s="186"/>
      <c r="Q152" s="187"/>
      <c r="R152" s="177"/>
      <c r="S152" s="177"/>
      <c r="T152" s="186"/>
      <c r="U152" s="139"/>
      <c r="V152" s="154"/>
      <c r="W152" s="170"/>
      <c r="X152" s="846" t="str">
        <f t="shared" si="52"/>
        <v>Medway</v>
      </c>
      <c r="Y152" s="847">
        <f>IF(Year1_Medway Year1_CP_Plans_became_subject="","",Year1_Medway Year1_CP_Plans_became_subject)</f>
        <v>388</v>
      </c>
      <c r="Z152" s="851">
        <f>IF(Year2_Medway Year2_CP_Plans_became_subject="","",Year2_Medway Year2_CP_Plans_became_subject)</f>
        <v>539</v>
      </c>
      <c r="AA152" s="851">
        <f>IF(Year3_Medway Year3_CP_Plans_became_subject="","",Year3_Medway Year3_CP_Plans_became_subject)</f>
        <v>556</v>
      </c>
      <c r="AB152" s="851">
        <f>IF(Year4_Medway Year4_CP_Plans_became_subject="","",Year4_Medway Year4_CP_Plans_became_subject)</f>
        <v>328</v>
      </c>
      <c r="AC152" s="846">
        <f>IF(Year5_Medway Year5_CP_Plans_became_subject="","",Year5_Medway Year5_CP_Plans_became_subject)</f>
        <v>365</v>
      </c>
      <c r="AD152" s="850" t="str">
        <f t="shared" si="53"/>
        <v>Medway</v>
      </c>
      <c r="AE152" s="848">
        <f>IF(Year1_Medway Year1_CP_Plans_became_subject_second="","",Year1_Medway Year1_CP_Plans_became_subject_second)</f>
        <v>58</v>
      </c>
      <c r="AF152" s="851">
        <f>IF(Year2_Medway Year2_CP_Plans_became_subject_second="","",Year2_Medway Year2_CP_Plans_became_subject_second)</f>
        <v>80</v>
      </c>
      <c r="AG152" s="851">
        <f>IF(Year3_Medway Year3_CP_Plans_became_subject_second="","",Year3_Medway Year3_CP_Plans_became_subject_second)</f>
        <v>101</v>
      </c>
      <c r="AH152" s="851">
        <f>IF(Year4_Medway Year4_CP_Plans_became_subject_second="","",Year4_Medway Year4_CP_Plans_became_subject_second)</f>
        <v>68</v>
      </c>
      <c r="AI152" s="851">
        <f>IF(Year5_Medway Year5_CP_Plans_became_subject_second="","",Year5_Medway Year5_CP_Plans_became_subject_second)</f>
        <v>82</v>
      </c>
      <c r="AJ152" s="178"/>
    </row>
    <row r="153" spans="1:44" s="101" customFormat="1" ht="12.75" customHeight="1" x14ac:dyDescent="0.2">
      <c r="A153" s="533">
        <f>VLOOKUP(B153,Sheet1!$B$4:$C$25,2,FALSE)</f>
        <v>0</v>
      </c>
      <c r="B153" s="112" t="str">
        <f t="shared" si="46"/>
        <v>Milton Keynes</v>
      </c>
      <c r="C153" s="97"/>
      <c r="D153" s="182" t="e">
        <f t="shared" si="51"/>
        <v>#N/A</v>
      </c>
      <c r="E153" s="182">
        <f t="shared" si="47"/>
        <v>8.247422680412371E-2</v>
      </c>
      <c r="F153" s="182" t="e">
        <f t="shared" si="48"/>
        <v>#N/A</v>
      </c>
      <c r="G153" s="182">
        <f t="shared" si="49"/>
        <v>8.6956521739130432E-2</v>
      </c>
      <c r="H153" s="184">
        <f t="shared" si="50"/>
        <v>8.0246913580246909E-2</v>
      </c>
      <c r="I153" s="115"/>
      <c r="J153" s="115"/>
      <c r="K153" s="186"/>
      <c r="L153" s="186"/>
      <c r="M153" s="186"/>
      <c r="N153" s="186"/>
      <c r="O153" s="186"/>
      <c r="P153" s="186"/>
      <c r="Q153" s="187"/>
      <c r="R153" s="177"/>
      <c r="S153" s="177"/>
      <c r="T153" s="186"/>
      <c r="U153" s="139"/>
      <c r="V153" s="154"/>
      <c r="W153" s="170"/>
      <c r="X153" s="846" t="str">
        <f t="shared" si="52"/>
        <v>Milton Keynes</v>
      </c>
      <c r="Y153" s="847">
        <f>IF(Year1_Milton_Keynes Year1_CP_Plans_became_subject="","",Year1_Milton_Keynes Year1_CP_Plans_became_subject)</f>
        <v>60</v>
      </c>
      <c r="Z153" s="851">
        <f>IF(Year2_Milton_Keynes Year2_CP_Plans_became_subject="","",Year2_Milton_Keynes Year2_CP_Plans_became_subject)</f>
        <v>97</v>
      </c>
      <c r="AA153" s="851">
        <f>IF(Year3_Milton_Keynes Year3_CP_Plans_became_subject="","",Year3_Milton_Keynes Year3_CP_Plans_became_subject)</f>
        <v>109</v>
      </c>
      <c r="AB153" s="851">
        <f>IF(Year4_Milton_Keynes Year4_CP_Plans_became_subject="","",Year4_Milton_Keynes Year4_CP_Plans_became_subject)</f>
        <v>138</v>
      </c>
      <c r="AC153" s="846">
        <f>IF(Year5_Milton_Keynes Year5_CP_Plans_became_subject="","",Year5_Milton_Keynes Year5_CP_Plans_became_subject)</f>
        <v>162</v>
      </c>
      <c r="AD153" s="850" t="str">
        <f t="shared" si="53"/>
        <v>Milton Keynes</v>
      </c>
      <c r="AE153" s="848" t="str">
        <f>IF(Year1_Milton_Keynes Year1_CP_Plans_became_subject_second="","",Year1_Milton_Keynes Year1_CP_Plans_became_subject_second)</f>
        <v>x</v>
      </c>
      <c r="AF153" s="851">
        <f>IF(Year2_Milton_Keynes Year2_CP_Plans_became_subject_second="","",Year2_Milton_Keynes Year2_CP_Plans_became_subject_second)</f>
        <v>8</v>
      </c>
      <c r="AG153" s="851" t="str">
        <f>IF(Year3_Milton_Keynes Year3_CP_Plans_became_subject_second="","",Year3_Milton_Keynes Year3_CP_Plans_became_subject_second)</f>
        <v>x</v>
      </c>
      <c r="AH153" s="851">
        <f>IF(Year4_Milton_Keynes Year4_CP_Plans_became_subject_second="","",Year4_Milton_Keynes Year4_CP_Plans_became_subject_second)</f>
        <v>12</v>
      </c>
      <c r="AI153" s="851">
        <f>IF(Year5_Milton_Keynes Year5_CP_Plans_became_subject_second="","",Year5_Milton_Keynes Year5_CP_Plans_became_subject_second)</f>
        <v>13</v>
      </c>
      <c r="AJ153" s="179"/>
    </row>
    <row r="154" spans="1:44" s="101" customFormat="1" ht="12.75" customHeight="1" x14ac:dyDescent="0.2">
      <c r="A154" s="533">
        <f>VLOOKUP(B154,Sheet1!$B$4:$C$25,2,FALSE)</f>
        <v>0</v>
      </c>
      <c r="B154" s="112" t="str">
        <f t="shared" si="46"/>
        <v>Oxfordshire</v>
      </c>
      <c r="C154" s="97"/>
      <c r="D154" s="182">
        <f t="shared" si="51"/>
        <v>0.21588946459412781</v>
      </c>
      <c r="E154" s="182">
        <f t="shared" si="47"/>
        <v>0.16561514195583596</v>
      </c>
      <c r="F154" s="182">
        <f t="shared" si="48"/>
        <v>0.2132768361581921</v>
      </c>
      <c r="G154" s="182">
        <f t="shared" si="49"/>
        <v>0.18375</v>
      </c>
      <c r="H154" s="184">
        <f t="shared" si="50"/>
        <v>0.23415265200517466</v>
      </c>
      <c r="I154" s="115"/>
      <c r="J154" s="115"/>
      <c r="K154" s="186"/>
      <c r="L154" s="186"/>
      <c r="M154" s="186"/>
      <c r="N154" s="186"/>
      <c r="O154" s="186"/>
      <c r="P154" s="186"/>
      <c r="Q154" s="187"/>
      <c r="R154" s="177"/>
      <c r="S154" s="177"/>
      <c r="T154" s="186"/>
      <c r="U154" s="139"/>
      <c r="V154" s="154"/>
      <c r="W154" s="170"/>
      <c r="X154" s="846" t="str">
        <f t="shared" si="52"/>
        <v>Oxfordshire</v>
      </c>
      <c r="Y154" s="847">
        <f>IF(Year1_Oxfordshire Year1_CP_Plans_became_subject="","",Year1_Oxfordshire Year1_CP_Plans_became_subject)</f>
        <v>579</v>
      </c>
      <c r="Z154" s="851">
        <f>IF(Year2_Oxfordshire Year2_CP_Plans_became_subject="","",Year2_Oxfordshire Year2_CP_Plans_became_subject)</f>
        <v>634</v>
      </c>
      <c r="AA154" s="851">
        <f>IF(Year3_Oxfordshire Year3_CP_Plans_became_subject="","",Year3_Oxfordshire Year3_CP_Plans_became_subject)</f>
        <v>708</v>
      </c>
      <c r="AB154" s="851">
        <f>IF(Year4_Oxfordshire Year4_CP_Plans_became_subject="","",Year4_Oxfordshire Year4_CP_Plans_became_subject)</f>
        <v>800</v>
      </c>
      <c r="AC154" s="846">
        <f>IF(Year5_Oxfordshire Year5_CP_Plans_became_subject="","",Year5_Oxfordshire Year5_CP_Plans_became_subject)</f>
        <v>773</v>
      </c>
      <c r="AD154" s="850" t="str">
        <f t="shared" si="53"/>
        <v>Oxfordshire</v>
      </c>
      <c r="AE154" s="848">
        <f>IF(Year1_Oxfordshire Year1_CP_Plans_became_subject_second="","",Year1_Oxfordshire Year1_CP_Plans_became_subject_second)</f>
        <v>125</v>
      </c>
      <c r="AF154" s="851">
        <f>IF(Year2_Oxfordshire Year2_CP_Plans_became_subject_second="","",Year2_Oxfordshire Year2_CP_Plans_became_subject_second)</f>
        <v>105</v>
      </c>
      <c r="AG154" s="851">
        <f>IF(Year3_Oxfordshire Year3_CP_Plans_became_subject_second="","",Year3_Oxfordshire Year3_CP_Plans_became_subject_second)</f>
        <v>151</v>
      </c>
      <c r="AH154" s="851">
        <f>IF(Year4_Oxfordshire Year4_CP_Plans_became_subject_second="","",Year4_Oxfordshire Year4_CP_Plans_became_subject_second)</f>
        <v>147</v>
      </c>
      <c r="AI154" s="851">
        <f>IF(Year5_Oxfordshire Year5_CP_Plans_became_subject_second="","",Year5_Oxfordshire Year5_CP_Plans_became_subject_second)</f>
        <v>181</v>
      </c>
      <c r="AJ154" s="178"/>
    </row>
    <row r="155" spans="1:44" s="101" customFormat="1" ht="12.75" customHeight="1" x14ac:dyDescent="0.2">
      <c r="A155" s="533">
        <f>VLOOKUP(B155,Sheet1!$B$4:$C$25,2,FALSE)</f>
        <v>0</v>
      </c>
      <c r="B155" s="112" t="str">
        <f t="shared" si="46"/>
        <v>Portsmouth</v>
      </c>
      <c r="C155" s="97"/>
      <c r="D155" s="182">
        <f t="shared" si="51"/>
        <v>0.10743801652892562</v>
      </c>
      <c r="E155" s="182">
        <f t="shared" si="47"/>
        <v>0.18217054263565891</v>
      </c>
      <c r="F155" s="182">
        <f t="shared" si="48"/>
        <v>0.20202020202020202</v>
      </c>
      <c r="G155" s="182">
        <f t="shared" si="49"/>
        <v>0.2029520295202952</v>
      </c>
      <c r="H155" s="184">
        <f t="shared" si="50"/>
        <v>0.25964912280701752</v>
      </c>
      <c r="I155" s="115"/>
      <c r="J155" s="115"/>
      <c r="K155" s="186"/>
      <c r="L155" s="186"/>
      <c r="M155" s="186"/>
      <c r="N155" s="186"/>
      <c r="O155" s="186"/>
      <c r="P155" s="186"/>
      <c r="Q155" s="187"/>
      <c r="R155" s="177"/>
      <c r="S155" s="177"/>
      <c r="T155" s="186"/>
      <c r="U155" s="139"/>
      <c r="V155" s="154"/>
      <c r="W155" s="170"/>
      <c r="X155" s="846" t="str">
        <f t="shared" si="52"/>
        <v>Portsmouth</v>
      </c>
      <c r="Y155" s="847">
        <f>IF(Year1_Portsmouth Year1_CP_Plans_became_subject="","",Year1_Portsmouth Year1_CP_Plans_became_subject)</f>
        <v>242</v>
      </c>
      <c r="Z155" s="851">
        <f>IF(Year2_Portsmouth Year2_CP_Plans_became_subject="","",Year2_Portsmouth Year2_CP_Plans_became_subject)</f>
        <v>258</v>
      </c>
      <c r="AA155" s="851">
        <f>IF(Year3_Portsmouth Year3_CP_Plans_became_subject="","",Year3_Portsmouth Year3_CP_Plans_became_subject)</f>
        <v>297</v>
      </c>
      <c r="AB155" s="851">
        <f>IF(Year4_Portsmouth Year4_CP_Plans_became_subject="","",Year4_Portsmouth Year4_CP_Plans_became_subject)</f>
        <v>271</v>
      </c>
      <c r="AC155" s="846">
        <f>IF(Year5_Portsmouth Year5_CP_Plans_became_subject="","",Year5_Portsmouth Year5_CP_Plans_became_subject)</f>
        <v>285</v>
      </c>
      <c r="AD155" s="850" t="str">
        <f t="shared" si="53"/>
        <v>Portsmouth</v>
      </c>
      <c r="AE155" s="848">
        <f>IF(Year1_Portsmouth Year1_CP_Plans_became_subject_second="","",Year1_Portsmouth Year1_CP_Plans_became_subject_second)</f>
        <v>26</v>
      </c>
      <c r="AF155" s="851">
        <f>IF(Year2_Portsmouth Year2_CP_Plans_became_subject_second="","",Year2_Portsmouth Year2_CP_Plans_became_subject_second)</f>
        <v>47</v>
      </c>
      <c r="AG155" s="851">
        <f>IF(Year3_Portsmouth Year3_CP_Plans_became_subject_second="","",Year3_Portsmouth Year3_CP_Plans_became_subject_second)</f>
        <v>60</v>
      </c>
      <c r="AH155" s="851">
        <f>IF(Year4_Portsmouth Year4_CP_Plans_became_subject_second="","",Year4_Portsmouth Year4_CP_Plans_became_subject_second)</f>
        <v>55</v>
      </c>
      <c r="AI155" s="851">
        <f>IF(Year5_Portsmouth Year5_CP_Plans_became_subject_second="","",Year5_Portsmouth Year5_CP_Plans_became_subject_second)</f>
        <v>74</v>
      </c>
      <c r="AJ155" s="179"/>
    </row>
    <row r="156" spans="1:44" s="101" customFormat="1" ht="12.75" customHeight="1" x14ac:dyDescent="0.2">
      <c r="A156" s="533">
        <f>VLOOKUP(B156,Sheet1!$B$4:$C$25,2,FALSE)</f>
        <v>0</v>
      </c>
      <c r="B156" s="112" t="str">
        <f t="shared" si="46"/>
        <v>Reading</v>
      </c>
      <c r="C156" s="97"/>
      <c r="D156" s="182">
        <f t="shared" si="51"/>
        <v>0.21105527638190955</v>
      </c>
      <c r="E156" s="182">
        <f t="shared" si="47"/>
        <v>0.23809523809523808</v>
      </c>
      <c r="F156" s="182">
        <f t="shared" si="48"/>
        <v>0.21791044776119403</v>
      </c>
      <c r="G156" s="182">
        <f t="shared" si="49"/>
        <v>0.28878281622911695</v>
      </c>
      <c r="H156" s="184">
        <f t="shared" si="50"/>
        <v>0.17714285714285713</v>
      </c>
      <c r="I156" s="115"/>
      <c r="J156" s="115"/>
      <c r="K156" s="186"/>
      <c r="L156" s="186"/>
      <c r="M156" s="186"/>
      <c r="N156" s="186"/>
      <c r="O156" s="186"/>
      <c r="P156" s="186"/>
      <c r="Q156" s="187"/>
      <c r="R156" s="177"/>
      <c r="S156" s="177"/>
      <c r="T156" s="186"/>
      <c r="U156" s="139"/>
      <c r="V156" s="154"/>
      <c r="W156" s="170"/>
      <c r="X156" s="846" t="str">
        <f t="shared" si="52"/>
        <v>Reading</v>
      </c>
      <c r="Y156" s="847">
        <f>IF(Year1_Reading Year1_CP_Plans_became_subject="","",Year1_Reading Year1_CP_Plans_became_subject)</f>
        <v>199</v>
      </c>
      <c r="Z156" s="851">
        <f>IF(Year2_Reading Year2_CP_Plans_became_subject="","",Year2_Reading Year2_CP_Plans_became_subject)</f>
        <v>252</v>
      </c>
      <c r="AA156" s="851">
        <f>IF(Year3_Reading Year3_CP_Plans_became_subject="","",Year3_Reading Year3_CP_Plans_became_subject)</f>
        <v>335</v>
      </c>
      <c r="AB156" s="851">
        <f>IF(Year4_Reading Year4_CP_Plans_became_subject="","",Year4_Reading Year4_CP_Plans_became_subject)</f>
        <v>419</v>
      </c>
      <c r="AC156" s="846">
        <f>IF(Year5_Reading Year5_CP_Plans_became_subject="","",Year5_Reading Year5_CP_Plans_became_subject)</f>
        <v>350</v>
      </c>
      <c r="AD156" s="850" t="str">
        <f t="shared" si="53"/>
        <v>Reading</v>
      </c>
      <c r="AE156" s="848">
        <f>IF(Year1_Reading Year1_CP_Plans_became_subject_second="","",Year1_Reading Year1_CP_Plans_became_subject_second)</f>
        <v>42</v>
      </c>
      <c r="AF156" s="851">
        <f>IF(Year2_Reading Year2_CP_Plans_became_subject_second="","",Year2_Reading Year2_CP_Plans_became_subject_second)</f>
        <v>60</v>
      </c>
      <c r="AG156" s="851">
        <f>IF(Year3_Reading Year3_CP_Plans_became_subject_second="","",Year3_Reading Year3_CP_Plans_became_subject_second)</f>
        <v>73</v>
      </c>
      <c r="AH156" s="851">
        <f>IF(Year4_Reading Year4_CP_Plans_became_subject_second="","",Year4_Reading Year4_CP_Plans_became_subject_second)</f>
        <v>121</v>
      </c>
      <c r="AI156" s="851">
        <f>IF(Year5_Reading Year5_CP_Plans_became_subject_second="","",Year5_Reading Year5_CP_Plans_became_subject_second)</f>
        <v>62</v>
      </c>
      <c r="AJ156" s="178"/>
    </row>
    <row r="157" spans="1:44" s="101" customFormat="1" ht="12.75" customHeight="1" x14ac:dyDescent="0.2">
      <c r="A157" s="533">
        <f>VLOOKUP(B157,Sheet1!$B$4:$C$25,2,FALSE)</f>
        <v>0</v>
      </c>
      <c r="B157" s="112" t="str">
        <f t="shared" si="46"/>
        <v>Slough</v>
      </c>
      <c r="C157" s="97"/>
      <c r="D157" s="182">
        <f t="shared" si="51"/>
        <v>0.19346049046321526</v>
      </c>
      <c r="E157" s="182">
        <f t="shared" si="47"/>
        <v>0.14450867052023122</v>
      </c>
      <c r="F157" s="182">
        <f t="shared" si="48"/>
        <v>0.16772151898734178</v>
      </c>
      <c r="G157" s="182">
        <f t="shared" si="49"/>
        <v>0.22602739726027396</v>
      </c>
      <c r="H157" s="184">
        <f t="shared" si="50"/>
        <v>0.23333333333333334</v>
      </c>
      <c r="I157" s="115"/>
      <c r="J157" s="115"/>
      <c r="K157" s="186"/>
      <c r="L157" s="186"/>
      <c r="M157" s="186"/>
      <c r="N157" s="186"/>
      <c r="O157" s="186"/>
      <c r="P157" s="186"/>
      <c r="Q157" s="187"/>
      <c r="R157" s="177"/>
      <c r="S157" s="177"/>
      <c r="T157" s="186"/>
      <c r="U157" s="139"/>
      <c r="V157" s="154"/>
      <c r="W157" s="170"/>
      <c r="X157" s="846" t="str">
        <f t="shared" si="52"/>
        <v>Slough</v>
      </c>
      <c r="Y157" s="847">
        <f>IF(Year1_Slough Year1_CP_Plans_became_subject="","",Year1_Slough Year1_CP_Plans_became_subject)</f>
        <v>367</v>
      </c>
      <c r="Z157" s="851">
        <f>IF(Year2_Slough Year2_CP_Plans_became_subject="","",Year2_Slough Year2_CP_Plans_became_subject)</f>
        <v>173</v>
      </c>
      <c r="AA157" s="851">
        <f>IF(Year3_Slough Year3_CP_Plans_became_subject="","",Year3_Slough Year3_CP_Plans_became_subject)</f>
        <v>316</v>
      </c>
      <c r="AB157" s="851">
        <f>IF(Year4_Slough Year4_CP_Plans_became_subject="","",Year4_Slough Year4_CP_Plans_became_subject)</f>
        <v>292</v>
      </c>
      <c r="AC157" s="846">
        <f>IF(Year5_Slough Year5_CP_Plans_became_subject="","",Year5_Slough Year5_CP_Plans_became_subject)</f>
        <v>240</v>
      </c>
      <c r="AD157" s="850" t="str">
        <f t="shared" si="53"/>
        <v>Slough</v>
      </c>
      <c r="AE157" s="848">
        <f>IF(Year1_Slough Year1_CP_Plans_became_subject_second="","",Year1_Slough Year1_CP_Plans_became_subject_second)</f>
        <v>71</v>
      </c>
      <c r="AF157" s="851">
        <f>IF(Year2_Slough Year2_CP_Plans_became_subject_second="","",Year2_Slough Year2_CP_Plans_became_subject_second)</f>
        <v>25</v>
      </c>
      <c r="AG157" s="851">
        <f>IF(Year3_Slough Year3_CP_Plans_became_subject_second="","",Year3_Slough Year3_CP_Plans_became_subject_second)</f>
        <v>53</v>
      </c>
      <c r="AH157" s="851">
        <f>IF(Year4_Slough Year4_CP_Plans_became_subject_second="","",Year4_Slough Year4_CP_Plans_became_subject_second)</f>
        <v>66</v>
      </c>
      <c r="AI157" s="851">
        <f>IF(Year5_Slough Year5_CP_Plans_became_subject_second="","",Year5_Slough Year5_CP_Plans_became_subject_second)</f>
        <v>56</v>
      </c>
      <c r="AJ157" s="179"/>
    </row>
    <row r="158" spans="1:44" s="101" customFormat="1" ht="12.75" customHeight="1" x14ac:dyDescent="0.2">
      <c r="A158" s="533">
        <f>VLOOKUP(B158,Sheet1!$B$4:$C$25,2,FALSE)</f>
        <v>0</v>
      </c>
      <c r="B158" s="112" t="str">
        <f t="shared" si="46"/>
        <v>Somerset</v>
      </c>
      <c r="C158" s="97"/>
      <c r="D158" s="182">
        <f t="shared" si="51"/>
        <v>0.12857142857142856</v>
      </c>
      <c r="E158" s="182">
        <f t="shared" si="47"/>
        <v>0.19935691318327975</v>
      </c>
      <c r="F158" s="182">
        <f t="shared" si="48"/>
        <v>0.25304136253041365</v>
      </c>
      <c r="G158" s="182">
        <f t="shared" si="49"/>
        <v>0.1934931506849315</v>
      </c>
      <c r="H158" s="184">
        <f t="shared" si="50"/>
        <v>0.21132075471698114</v>
      </c>
      <c r="I158" s="115"/>
      <c r="J158" s="115"/>
      <c r="K158" s="186"/>
      <c r="L158" s="186"/>
      <c r="M158" s="186"/>
      <c r="N158" s="186"/>
      <c r="O158" s="186"/>
      <c r="P158" s="186"/>
      <c r="Q158" s="187"/>
      <c r="R158" s="177"/>
      <c r="S158" s="177"/>
      <c r="T158" s="186"/>
      <c r="U158" s="139"/>
      <c r="V158" s="154"/>
      <c r="W158" s="170"/>
      <c r="X158" s="846" t="str">
        <f t="shared" si="52"/>
        <v>Somerset</v>
      </c>
      <c r="Y158" s="847">
        <f>IF(Year1_Somerset Year1_CP_Plans_became_subject="","",Year1_Somerset Year1_CP_Plans_became_subject)</f>
        <v>490</v>
      </c>
      <c r="Z158" s="851">
        <f>IF(Year2_Somerset Year2_CP_Plans_became_subject="","",Year2_Somerset Year2_CP_Plans_became_subject)</f>
        <v>622</v>
      </c>
      <c r="AA158" s="851">
        <f>IF(Year3_Somerset Year3_CP_Plans_became_subject="","",Year3_Somerset Year3_CP_Plans_became_subject)</f>
        <v>411</v>
      </c>
      <c r="AB158" s="851">
        <f>IF(Year4_Somerset Year4_CP_Plans_became_subject="","",Year4_Somerset Year4_CP_Plans_became_subject)</f>
        <v>584</v>
      </c>
      <c r="AC158" s="846">
        <f>IF(Year5_Somerset Year5_CP_Plans_became_subject="","",Year5_Somerset Year5_CP_Plans_became_subject)</f>
        <v>530</v>
      </c>
      <c r="AD158" s="850" t="str">
        <f t="shared" si="53"/>
        <v>Somerset</v>
      </c>
      <c r="AE158" s="848">
        <f>IF(Year1_Somerset Year1_CP_Plans_became_subject_second="","",Year1_Somerset Year1_CP_Plans_became_subject_second)</f>
        <v>63</v>
      </c>
      <c r="AF158" s="851">
        <f>IF(Year2_Somerset Year2_CP_Plans_became_subject_second="","",Year2_Somerset Year2_CP_Plans_became_subject_second)</f>
        <v>124</v>
      </c>
      <c r="AG158" s="851">
        <f>IF(Year3_Somerset Year3_CP_Plans_became_subject_second="","",Year3_Somerset Year3_CP_Plans_became_subject_second)</f>
        <v>104</v>
      </c>
      <c r="AH158" s="851">
        <f>IF(Year4_Somerset Year4_CP_Plans_became_subject_second="","",Year4_Somerset Year4_CP_Plans_became_subject_second)</f>
        <v>113</v>
      </c>
      <c r="AI158" s="851">
        <f>IF(Year5_Somerset Year5_CP_Plans_became_subject_second="","",Year5_Somerset Year5_CP_Plans_became_subject_second)</f>
        <v>112</v>
      </c>
      <c r="AJ158" s="178"/>
    </row>
    <row r="159" spans="1:44" s="101" customFormat="1" ht="12.75" customHeight="1" x14ac:dyDescent="0.2">
      <c r="A159" s="533">
        <f>VLOOKUP(B159,Sheet1!$B$4:$C$25,2,FALSE)</f>
        <v>0</v>
      </c>
      <c r="B159" s="112" t="str">
        <f t="shared" si="46"/>
        <v>Southampton</v>
      </c>
      <c r="C159" s="97"/>
      <c r="D159" s="182">
        <f t="shared" si="51"/>
        <v>0.15549597855227881</v>
      </c>
      <c r="E159" s="182">
        <f t="shared" si="47"/>
        <v>3.6363636363636362E-2</v>
      </c>
      <c r="F159" s="182">
        <f t="shared" si="48"/>
        <v>0.29591836734693877</v>
      </c>
      <c r="G159" s="182">
        <f t="shared" si="49"/>
        <v>0.28496042216358841</v>
      </c>
      <c r="H159" s="184">
        <f t="shared" si="50"/>
        <v>0.30626450116009279</v>
      </c>
      <c r="I159" s="115"/>
      <c r="J159" s="115"/>
      <c r="K159" s="186"/>
      <c r="L159" s="186"/>
      <c r="M159" s="186"/>
      <c r="N159" s="186"/>
      <c r="O159" s="186"/>
      <c r="P159" s="186"/>
      <c r="Q159" s="187"/>
      <c r="R159" s="177"/>
      <c r="S159" s="177"/>
      <c r="T159" s="186"/>
      <c r="U159" s="139"/>
      <c r="V159" s="154"/>
      <c r="W159" s="170"/>
      <c r="X159" s="846" t="str">
        <f t="shared" si="52"/>
        <v>Southampton</v>
      </c>
      <c r="Y159" s="847">
        <f>IF(Year1_Southampton Year1_CP_Plans_became_subject="","",Year1_Southampton Year1_CP_Plans_became_subject)</f>
        <v>373</v>
      </c>
      <c r="Z159" s="851">
        <f>IF(Year2_Southampton Year2_CP_Plans_became_subject="","",Year2_Southampton Year2_CP_Plans_became_subject)</f>
        <v>495</v>
      </c>
      <c r="AA159" s="851">
        <f>IF(Year3_Southampton Year3_CP_Plans_became_subject="","",Year3_Southampton Year3_CP_Plans_became_subject)</f>
        <v>490</v>
      </c>
      <c r="AB159" s="851">
        <f>IF(Year4_Southampton Year4_CP_Plans_became_subject="","",Year4_Southampton Year4_CP_Plans_became_subject)</f>
        <v>379</v>
      </c>
      <c r="AC159" s="846">
        <f>IF(Year5_Southampton Year5_CP_Plans_became_subject="","",Year5_Southampton Year5_CP_Plans_became_subject)</f>
        <v>431</v>
      </c>
      <c r="AD159" s="850" t="str">
        <f t="shared" si="53"/>
        <v>Southampton</v>
      </c>
      <c r="AE159" s="848">
        <f>IF(Year1_Southampton Year1_CP_Plans_became_subject_second="","",Year1_Southampton Year1_CP_Plans_became_subject_second)</f>
        <v>58</v>
      </c>
      <c r="AF159" s="851">
        <f>IF(Year2_Southampton Year2_CP_Plans_became_subject_second="","",Year2_Southampton Year2_CP_Plans_became_subject_second)</f>
        <v>18</v>
      </c>
      <c r="AG159" s="851">
        <f>IF(Year3_Southampton Year3_CP_Plans_became_subject_second="","",Year3_Southampton Year3_CP_Plans_became_subject_second)</f>
        <v>145</v>
      </c>
      <c r="AH159" s="851">
        <f>IF(Year4_Southampton Year4_CP_Plans_became_subject_second="","",Year4_Southampton Year4_CP_Plans_became_subject_second)</f>
        <v>108</v>
      </c>
      <c r="AI159" s="851">
        <f>IF(Year5_Southampton Year5_CP_Plans_became_subject_second="","",Year5_Southampton Year5_CP_Plans_became_subject_second)</f>
        <v>132</v>
      </c>
      <c r="AJ159" s="179"/>
    </row>
    <row r="160" spans="1:44" s="101" customFormat="1" ht="12.75" customHeight="1" x14ac:dyDescent="0.2">
      <c r="A160" s="533">
        <f>VLOOKUP(B160,Sheet1!$B$4:$C$25,2,FALSE)</f>
        <v>0</v>
      </c>
      <c r="B160" s="112" t="str">
        <f t="shared" si="46"/>
        <v>Surrey</v>
      </c>
      <c r="C160" s="97"/>
      <c r="D160" s="182">
        <f t="shared" si="51"/>
        <v>0.20165460186142709</v>
      </c>
      <c r="E160" s="182">
        <f t="shared" si="47"/>
        <v>0.17011278195488722</v>
      </c>
      <c r="F160" s="182">
        <f t="shared" si="48"/>
        <v>0.23084577114427859</v>
      </c>
      <c r="G160" s="182">
        <f t="shared" si="49"/>
        <v>0.22447013487475914</v>
      </c>
      <c r="H160" s="184">
        <f t="shared" si="50"/>
        <v>0.24413553431798435</v>
      </c>
      <c r="I160" s="115"/>
      <c r="J160" s="115"/>
      <c r="K160" s="186"/>
      <c r="L160" s="186"/>
      <c r="M160" s="186"/>
      <c r="N160" s="186"/>
      <c r="O160" s="186"/>
      <c r="P160" s="186"/>
      <c r="Q160" s="187"/>
      <c r="R160" s="177"/>
      <c r="S160" s="177"/>
      <c r="T160" s="186"/>
      <c r="U160" s="139"/>
      <c r="V160" s="154"/>
      <c r="W160" s="170"/>
      <c r="X160" s="846" t="str">
        <f t="shared" si="52"/>
        <v>Surrey</v>
      </c>
      <c r="Y160" s="847">
        <f>IF(Year1_Surrey Year1_CP_Plans_became_subject="","",Year1_Surrey Year1_CP_Plans_became_subject)</f>
        <v>967</v>
      </c>
      <c r="Z160" s="851">
        <f>IF(Year2_Surrey Year2_CP_Plans_became_subject="","",Year2_Surrey Year2_CP_Plans_became_subject)</f>
        <v>1064</v>
      </c>
      <c r="AA160" s="851">
        <f>IF(Year3_Surrey Year3_CP_Plans_became_subject="","",Year3_Surrey Year3_CP_Plans_became_subject)</f>
        <v>1005</v>
      </c>
      <c r="AB160" s="851">
        <f>IF(Year4_Surrey Year4_CP_Plans_became_subject="","",Year4_Surrey Year4_CP_Plans_became_subject)</f>
        <v>1038</v>
      </c>
      <c r="AC160" s="846">
        <f>IF(Year5_Surrey Year5_CP_Plans_became_subject="","",Year5_Surrey Year5_CP_Plans_became_subject)</f>
        <v>1151</v>
      </c>
      <c r="AD160" s="850" t="str">
        <f t="shared" si="53"/>
        <v>Surrey</v>
      </c>
      <c r="AE160" s="848">
        <f>IF(Year1_Surrey Year1_CP_Plans_became_subject_second="","",Year1_Surrey Year1_CP_Plans_became_subject_second)</f>
        <v>195</v>
      </c>
      <c r="AF160" s="851">
        <f>IF(Year2_Surrey Year2_CP_Plans_became_subject_second="","",Year2_Surrey Year2_CP_Plans_became_subject_second)</f>
        <v>181</v>
      </c>
      <c r="AG160" s="851">
        <f>IF(Year3_Surrey Year3_CP_Plans_became_subject_second="","",Year3_Surrey Year3_CP_Plans_became_subject_second)</f>
        <v>232</v>
      </c>
      <c r="AH160" s="851">
        <f>IF(Year4_Surrey Year4_CP_Plans_became_subject_second="","",Year4_Surrey Year4_CP_Plans_became_subject_second)</f>
        <v>233</v>
      </c>
      <c r="AI160" s="851">
        <f>IF(Year5_Surrey Year5_CP_Plans_became_subject_second="","",Year5_Surrey Year5_CP_Plans_became_subject_second)</f>
        <v>281</v>
      </c>
      <c r="AJ160" s="178"/>
    </row>
    <row r="161" spans="1:45" s="101" customFormat="1" ht="12.75" customHeight="1" x14ac:dyDescent="0.2">
      <c r="A161" s="533">
        <f>VLOOKUP(B161,Sheet1!$B$4:$C$25,2,FALSE)</f>
        <v>0</v>
      </c>
      <c r="B161" s="112" t="str">
        <f t="shared" si="46"/>
        <v>Swindon</v>
      </c>
      <c r="C161" s="97"/>
      <c r="D161" s="182">
        <f t="shared" si="51"/>
        <v>0.12413793103448276</v>
      </c>
      <c r="E161" s="182">
        <f t="shared" si="47"/>
        <v>0.19172932330827067</v>
      </c>
      <c r="F161" s="182">
        <f t="shared" si="48"/>
        <v>0.19031141868512111</v>
      </c>
      <c r="G161" s="182">
        <f t="shared" si="49"/>
        <v>0.20170454545454544</v>
      </c>
      <c r="H161" s="184">
        <f t="shared" si="50"/>
        <v>0.19755600814663951</v>
      </c>
      <c r="I161" s="115"/>
      <c r="J161" s="115"/>
      <c r="K161" s="186"/>
      <c r="L161" s="186"/>
      <c r="M161" s="186"/>
      <c r="N161" s="186"/>
      <c r="O161" s="186"/>
      <c r="P161" s="186"/>
      <c r="Q161" s="187"/>
      <c r="R161" s="177"/>
      <c r="S161" s="177"/>
      <c r="T161" s="186"/>
      <c r="U161" s="139"/>
      <c r="V161" s="154"/>
      <c r="W161" s="170"/>
      <c r="X161" s="846" t="str">
        <f t="shared" si="52"/>
        <v>Swindon</v>
      </c>
      <c r="Y161" s="847">
        <f>IF(Year1_Swindon Year1_CP_Plans_became_subject="","",Year1_Swindon Year1_CP_Plans_became_subject)</f>
        <v>290</v>
      </c>
      <c r="Z161" s="851">
        <f>IF(Year2_Swindon Year2_CP_Plans_became_subject="","",Year2_Swindon Year2_CP_Plans_became_subject)</f>
        <v>266</v>
      </c>
      <c r="AA161" s="851">
        <f>IF(Year3_Swindon Year3_CP_Plans_became_subject="","",Year3_Swindon Year3_CP_Plans_became_subject)</f>
        <v>289</v>
      </c>
      <c r="AB161" s="851">
        <f>IF(Year4_Swindon Year4_CP_Plans_became_subject="","",Year4_Swindon Year4_CP_Plans_became_subject)</f>
        <v>352</v>
      </c>
      <c r="AC161" s="846">
        <f>IF(Year5_Swindon Year5_CP_Plans_became_subject="","",Year5_Swindon Year5_CP_Plans_became_subject)</f>
        <v>491</v>
      </c>
      <c r="AD161" s="850" t="str">
        <f t="shared" si="53"/>
        <v>Swindon</v>
      </c>
      <c r="AE161" s="848">
        <f>IF(Year1_Swindon Year1_CP_Plans_became_subject_second="","",Year1_Swindon Year1_CP_Plans_became_subject_second)</f>
        <v>36</v>
      </c>
      <c r="AF161" s="851">
        <f>IF(Year2_Swindon Year2_CP_Plans_became_subject_second="","",Year2_Swindon Year2_CP_Plans_became_subject_second)</f>
        <v>51</v>
      </c>
      <c r="AG161" s="851">
        <f>IF(Year3_Swindon Year3_CP_Plans_became_subject_second="","",Year3_Swindon Year3_CP_Plans_became_subject_second)</f>
        <v>55</v>
      </c>
      <c r="AH161" s="851">
        <f>IF(Year4_Swindon Year4_CP_Plans_became_subject_second="","",Year4_Swindon Year4_CP_Plans_became_subject_second)</f>
        <v>71</v>
      </c>
      <c r="AI161" s="851">
        <f>IF(Year5_Swindon Year5_CP_Plans_became_subject_second="","",Year5_Swindon Year5_CP_Plans_became_subject_second)</f>
        <v>97</v>
      </c>
      <c r="AJ161" s="179"/>
    </row>
    <row r="162" spans="1:45" s="101" customFormat="1" ht="12.75" customHeight="1" x14ac:dyDescent="0.2">
      <c r="A162" s="533">
        <f>VLOOKUP(B162,Sheet1!$B$4:$C$25,2,FALSE)</f>
        <v>0</v>
      </c>
      <c r="B162" s="112" t="str">
        <f t="shared" si="46"/>
        <v>Torbay</v>
      </c>
      <c r="C162" s="97"/>
      <c r="D162" s="182">
        <f t="shared" si="51"/>
        <v>0.12935323383084577</v>
      </c>
      <c r="E162" s="182">
        <f t="shared" si="47"/>
        <v>0.16738197424892703</v>
      </c>
      <c r="F162" s="182">
        <f t="shared" si="48"/>
        <v>0.23134328358208955</v>
      </c>
      <c r="G162" s="182">
        <f t="shared" si="49"/>
        <v>0.21212121212121213</v>
      </c>
      <c r="H162" s="184">
        <f t="shared" si="50"/>
        <v>0.26896551724137929</v>
      </c>
      <c r="I162" s="115"/>
      <c r="J162" s="115"/>
      <c r="K162" s="186"/>
      <c r="L162" s="186"/>
      <c r="M162" s="186"/>
      <c r="N162" s="186"/>
      <c r="O162" s="186"/>
      <c r="P162" s="186"/>
      <c r="Q162" s="187"/>
      <c r="R162" s="177"/>
      <c r="S162" s="177"/>
      <c r="T162" s="186"/>
      <c r="U162" s="139"/>
      <c r="V162" s="154"/>
      <c r="W162" s="170"/>
      <c r="X162" s="846" t="str">
        <f t="shared" si="52"/>
        <v>Torbay</v>
      </c>
      <c r="Y162" s="847">
        <f>IF(Year1_Torbay Year1_CP_Plans_became_subject="","",Year1_Torbay Year1_CP_Plans_became_subject)</f>
        <v>201</v>
      </c>
      <c r="Z162" s="851">
        <f>IF(Year2_Torbay Year2_CP_Plans_became_subject="","",Year2_Torbay Year2_CP_Plans_became_subject)</f>
        <v>233</v>
      </c>
      <c r="AA162" s="851">
        <f>IF(Year3_Torbay Year3_CP_Plans_became_subject="","",Year3_Torbay Year3_CP_Plans_became_subject)</f>
        <v>268</v>
      </c>
      <c r="AB162" s="851">
        <f>IF(Year4_Torbay Year4_CP_Plans_became_subject="","",Year4_Torbay Year4_CP_Plans_became_subject)</f>
        <v>297</v>
      </c>
      <c r="AC162" s="846">
        <f>IF(Year5_Torbay Year5_CP_Plans_became_subject="","",Year5_Torbay Year5_CP_Plans_became_subject)</f>
        <v>290</v>
      </c>
      <c r="AD162" s="850" t="str">
        <f t="shared" si="53"/>
        <v>Torbay</v>
      </c>
      <c r="AE162" s="848">
        <f>IF(Year1_Torbay Year1_CP_Plans_became_subject_second="","",Year1_Torbay Year1_CP_Plans_became_subject_second)</f>
        <v>26</v>
      </c>
      <c r="AF162" s="851">
        <f>IF(Year2_Torbay Year2_CP_Plans_became_subject_second="","",Year2_Torbay Year2_CP_Plans_became_subject_second)</f>
        <v>39</v>
      </c>
      <c r="AG162" s="851">
        <f>IF(Year3_Torbay Year3_CP_Plans_became_subject_second="","",Year3_Torbay Year3_CP_Plans_became_subject_second)</f>
        <v>62</v>
      </c>
      <c r="AH162" s="851">
        <f>IF(Year4_Torbay Year4_CP_Plans_became_subject_second="","",Year4_Torbay Year4_CP_Plans_became_subject_second)</f>
        <v>63</v>
      </c>
      <c r="AI162" s="851">
        <f>IF(Year5_Torbay Year5_CP_Plans_became_subject_second="","",Year5_Torbay Year5_CP_Plans_became_subject_second)</f>
        <v>78</v>
      </c>
      <c r="AJ162" s="178"/>
    </row>
    <row r="163" spans="1:45" s="101" customFormat="1" ht="12.75" customHeight="1" x14ac:dyDescent="0.2">
      <c r="A163" s="533">
        <f>VLOOKUP(B163,Sheet1!$B$4:$C$25,2,FALSE)</f>
        <v>0</v>
      </c>
      <c r="B163" s="112" t="str">
        <f t="shared" si="46"/>
        <v>West Berkshire</v>
      </c>
      <c r="C163" s="97"/>
      <c r="D163" s="182">
        <f t="shared" si="51"/>
        <v>0.15827338129496402</v>
      </c>
      <c r="E163" s="182">
        <f t="shared" si="47"/>
        <v>0.19883040935672514</v>
      </c>
      <c r="F163" s="182">
        <f t="shared" si="48"/>
        <v>0.10784313725490197</v>
      </c>
      <c r="G163" s="182">
        <f t="shared" si="49"/>
        <v>0.22748815165876776</v>
      </c>
      <c r="H163" s="184">
        <f t="shared" si="50"/>
        <v>0.18181818181818182</v>
      </c>
      <c r="I163" s="115"/>
      <c r="J163" s="115"/>
      <c r="K163" s="186"/>
      <c r="L163" s="186"/>
      <c r="M163" s="186"/>
      <c r="N163" s="186"/>
      <c r="O163" s="186"/>
      <c r="P163" s="186"/>
      <c r="Q163" s="187"/>
      <c r="R163" s="177"/>
      <c r="S163" s="177"/>
      <c r="T163" s="186"/>
      <c r="U163" s="139"/>
      <c r="V163" s="154"/>
      <c r="W163" s="170"/>
      <c r="X163" s="846" t="str">
        <f t="shared" si="52"/>
        <v>West Berkshire</v>
      </c>
      <c r="Y163" s="847">
        <f>IF(Year1_West_Berkshire Year1_CP_Plans_became_subject="","",Year1_West_Berkshire Year1_CP_Plans_became_subject)</f>
        <v>139</v>
      </c>
      <c r="Z163" s="851">
        <f>IF(Year2_West_Berkshire Year2_CP_Plans_became_subject="","",Year2_West_Berkshire Year2_CP_Plans_became_subject)</f>
        <v>171</v>
      </c>
      <c r="AA163" s="851">
        <f>IF(Year3_West_Berkshire Year3_CP_Plans_became_subject="","",Year3_West_Berkshire Year3_CP_Plans_became_subject)</f>
        <v>204</v>
      </c>
      <c r="AB163" s="851">
        <f>IF(Year4_West_Berkshire Year4_CP_Plans_became_subject="","",Year4_West_Berkshire Year4_CP_Plans_became_subject)</f>
        <v>211</v>
      </c>
      <c r="AC163" s="492">
        <f>IF(Year5_West_Berkshire Year5_CP_Plans_became_subject="","",Year5_West_Berkshire Year5_CP_Plans_became_subject)</f>
        <v>242</v>
      </c>
      <c r="AD163" s="850" t="str">
        <f t="shared" si="53"/>
        <v>West Berkshire</v>
      </c>
      <c r="AE163" s="848">
        <f>IF(Year1_West_Berkshire Year1_CP_Plans_became_subject_second="","",Year1_West_Berkshire Year1_CP_Plans_became_subject_second)</f>
        <v>22</v>
      </c>
      <c r="AF163" s="851">
        <f>IF(Year2_West_Berkshire Year2_CP_Plans_became_subject_second="","",Year2_West_Berkshire Year2_CP_Plans_became_subject_second)</f>
        <v>34</v>
      </c>
      <c r="AG163" s="851">
        <f>IF(Year3_West_Berkshire Year3_CP_Plans_became_subject_second="","",Year3_West_Berkshire Year3_CP_Plans_became_subject_second)</f>
        <v>22</v>
      </c>
      <c r="AH163" s="851">
        <f>IF(Year4_West_Berkshire Year4_CP_Plans_became_subject_second="","",Year4_West_Berkshire Year4_CP_Plans_became_subject_second)</f>
        <v>48</v>
      </c>
      <c r="AI163" s="636">
        <f>IF(Year5_West_Berkshire Year5_CP_Plans_became_subject_second="","",Year5_West_Berkshire Year5_CP_Plans_became_subject_second)</f>
        <v>44</v>
      </c>
      <c r="AJ163" s="179"/>
    </row>
    <row r="164" spans="1:45" s="101" customFormat="1" ht="12.75" customHeight="1" x14ac:dyDescent="0.2">
      <c r="A164" s="533">
        <f>VLOOKUP(B164,Sheet1!$B$4:$C$25,2,FALSE)</f>
        <v>0</v>
      </c>
      <c r="B164" s="112" t="str">
        <f t="shared" si="46"/>
        <v>West Sussex</v>
      </c>
      <c r="C164" s="97"/>
      <c r="D164" s="182">
        <f t="shared" si="51"/>
        <v>0.181169757489301</v>
      </c>
      <c r="E164" s="182">
        <f t="shared" si="47"/>
        <v>0.22770919067215364</v>
      </c>
      <c r="F164" s="182">
        <f t="shared" si="48"/>
        <v>0.22794117647058823</v>
      </c>
      <c r="G164" s="182">
        <f t="shared" si="49"/>
        <v>0.22748815165876776</v>
      </c>
      <c r="H164" s="184">
        <f t="shared" si="50"/>
        <v>0.2437759336099585</v>
      </c>
      <c r="I164" s="115"/>
      <c r="J164" s="115"/>
      <c r="K164" s="186"/>
      <c r="L164" s="186"/>
      <c r="M164" s="186"/>
      <c r="N164" s="186"/>
      <c r="O164" s="186"/>
      <c r="P164" s="186"/>
      <c r="Q164" s="187"/>
      <c r="R164" s="177"/>
      <c r="S164" s="177"/>
      <c r="T164" s="186"/>
      <c r="U164" s="139"/>
      <c r="V164" s="154"/>
      <c r="W164" s="170"/>
      <c r="X164" s="846" t="str">
        <f t="shared" si="52"/>
        <v>West Sussex</v>
      </c>
      <c r="Y164" s="847">
        <f>IF(Year1_West_Sussex Year1_CP_Plans_became_subject="","",Year1_West_Sussex Year1_CP_Plans_became_subject)</f>
        <v>701</v>
      </c>
      <c r="Z164" s="851">
        <f>IF(Year2_West_Sussex Year2_CP_Plans_became_subject="","",Year2_West_Sussex Year2_CP_Plans_became_subject)</f>
        <v>729</v>
      </c>
      <c r="AA164" s="851">
        <f>IF(Year3_West_Sussex Year3_CP_Plans_became_subject="","",Year3_West_Sussex Year3_CP_Plans_became_subject)</f>
        <v>544</v>
      </c>
      <c r="AB164" s="851">
        <f>IF(Year4_West_Sussex Year4_CP_Plans_became_subject="","",Year4_West_Sussex Year4_CP_Plans_became_subject)</f>
        <v>633</v>
      </c>
      <c r="AC164" s="492">
        <f>IF(Year5_West_Sussex Year5_CP_Plans_became_subject="","",Year5_West_Sussex Year5_CP_Plans_became_subject)</f>
        <v>964</v>
      </c>
      <c r="AD164" s="850" t="str">
        <f t="shared" si="53"/>
        <v>West Sussex</v>
      </c>
      <c r="AE164" s="848">
        <f>IF(Year1_West_Sussex Year1_CP_Plans_became_subject_second="","",Year1_West_Sussex Year1_CP_Plans_became_subject_second)</f>
        <v>127</v>
      </c>
      <c r="AF164" s="851">
        <f>IF(Year2_West_Sussex Year2_CP_Plans_became_subject_second="","",Year2_West_Sussex Year2_CP_Plans_became_subject_second)</f>
        <v>166</v>
      </c>
      <c r="AG164" s="851">
        <f>IF(Year3_West_Sussex Year3_CP_Plans_became_subject_second="","",Year3_West_Sussex Year3_CP_Plans_became_subject_second)</f>
        <v>124</v>
      </c>
      <c r="AH164" s="851">
        <f>IF(Year4_West_Sussex Year4_CP_Plans_became_subject_second="","",Year4_West_Sussex Year4_CP_Plans_became_subject_second)</f>
        <v>144</v>
      </c>
      <c r="AI164" s="636">
        <f>IF(Year5_West_Sussex Year5_CP_Plans_became_subject_second="","",Year5_West_Sussex Year5_CP_Plans_became_subject_second)</f>
        <v>235</v>
      </c>
      <c r="AJ164" s="178"/>
    </row>
    <row r="165" spans="1:45" s="101" customFormat="1" ht="12.75" customHeight="1" x14ac:dyDescent="0.2">
      <c r="A165" s="533">
        <f>VLOOKUP(B165,Sheet1!$B$4:$C$25,2,FALSE)</f>
        <v>0</v>
      </c>
      <c r="B165" s="112" t="str">
        <f t="shared" si="46"/>
        <v>Windsor &amp; Maidenhead</v>
      </c>
      <c r="C165" s="97"/>
      <c r="D165" s="182">
        <f t="shared" si="51"/>
        <v>0.41379310344827586</v>
      </c>
      <c r="E165" s="182">
        <f t="shared" si="47"/>
        <v>0.11235955056179775</v>
      </c>
      <c r="F165" s="182">
        <f t="shared" si="48"/>
        <v>0.13714285714285715</v>
      </c>
      <c r="G165" s="182">
        <f t="shared" si="49"/>
        <v>0.30813953488372092</v>
      </c>
      <c r="H165" s="184">
        <f t="shared" si="50"/>
        <v>0.20634920634920634</v>
      </c>
      <c r="I165" s="115"/>
      <c r="J165" s="115"/>
      <c r="K165" s="186"/>
      <c r="L165" s="186"/>
      <c r="M165" s="186"/>
      <c r="N165" s="186"/>
      <c r="O165" s="186"/>
      <c r="P165" s="186"/>
      <c r="Q165" s="187"/>
      <c r="R165" s="177"/>
      <c r="S165" s="177"/>
      <c r="T165" s="186"/>
      <c r="U165" s="139"/>
      <c r="V165" s="154"/>
      <c r="W165" s="170"/>
      <c r="X165" s="846" t="str">
        <f t="shared" si="52"/>
        <v>Windsor &amp; Maidenhead</v>
      </c>
      <c r="Y165" s="847">
        <f>IF(Year1_Windsor_Maidenhead Year1_CP_Plans_became_subject="","",Year1_Windsor_Maidenhead Year1_CP_Plans_became_subject)</f>
        <v>87</v>
      </c>
      <c r="Z165" s="851">
        <f>IF(Year2_Windsor_Maidenhead Year2_CP_Plans_became_subject="","",Year2_Windsor_Maidenhead Year2_CP_Plans_became_subject)</f>
        <v>89</v>
      </c>
      <c r="AA165" s="851">
        <f>IF(Year3_Windsor_Maidenhead Year3_CP_Plans_became_subject="","",Year3_Windsor_Maidenhead Year3_CP_Plans_became_subject)</f>
        <v>175</v>
      </c>
      <c r="AB165" s="851">
        <f>IF(Year4_Windsor_Maidenhead Year4_CP_Plans_became_subject="","",Year4_Windsor_Maidenhead Year4_CP_Plans_became_subject)</f>
        <v>172</v>
      </c>
      <c r="AC165" s="492">
        <f>IF(Year5_Windsor_Maidenhead Year5_CP_Plans_became_subject="","",Year5_Windsor_Maidenhead Year5_CP_Plans_became_subject)</f>
        <v>126</v>
      </c>
      <c r="AD165" s="850" t="str">
        <f t="shared" si="53"/>
        <v>Windsor &amp; Maidenhead</v>
      </c>
      <c r="AE165" s="848">
        <f>IF(Year1_Windsor_Maidenhead Year1_CP_Plans_became_subject_second="","",Year1_Windsor_Maidenhead Year1_CP_Plans_became_subject_second)</f>
        <v>36</v>
      </c>
      <c r="AF165" s="851">
        <f>IF(Year2_Windsor_Maidenhead Year2_CP_Plans_became_subject_second="","",Year2_Windsor_Maidenhead Year2_CP_Plans_became_subject_second)</f>
        <v>10</v>
      </c>
      <c r="AG165" s="851">
        <f>IF(Year3_Windsor_Maidenhead Year3_CP_Plans_became_subject_second="","",Year3_Windsor_Maidenhead Year3_CP_Plans_became_subject_second)</f>
        <v>24</v>
      </c>
      <c r="AH165" s="851">
        <f>IF(Year4_Windsor_Maidenhead Year4_CP_Plans_became_subject_second="","",Year4_Windsor_Maidenhead Year4_CP_Plans_became_subject_second)</f>
        <v>53</v>
      </c>
      <c r="AI165" s="636">
        <f>IF(Year5_Windsor_Maidenhead Year5_CP_Plans_became_subject_second="","",Year5_Windsor_Maidenhead Year5_CP_Plans_became_subject_second)</f>
        <v>26</v>
      </c>
      <c r="AJ165" s="179"/>
    </row>
    <row r="166" spans="1:45" s="101" customFormat="1" ht="12.75" customHeight="1" x14ac:dyDescent="0.2">
      <c r="A166" s="533">
        <f>VLOOKUP(B166,Sheet1!$B$4:$C$25,2,FALSE)</f>
        <v>0</v>
      </c>
      <c r="B166" s="112" t="str">
        <f t="shared" si="46"/>
        <v>Wokingham</v>
      </c>
      <c r="C166" s="97"/>
      <c r="D166" s="182">
        <f t="shared" si="51"/>
        <v>0.21100917431192662</v>
      </c>
      <c r="E166" s="182">
        <f t="shared" si="47"/>
        <v>0.16393442622950818</v>
      </c>
      <c r="F166" s="182">
        <f t="shared" si="48"/>
        <v>0.14912280701754385</v>
      </c>
      <c r="G166" s="182">
        <f t="shared" si="49"/>
        <v>0.32558139534883723</v>
      </c>
      <c r="H166" s="184">
        <f t="shared" si="50"/>
        <v>0.24</v>
      </c>
      <c r="I166" s="115"/>
      <c r="J166" s="115"/>
      <c r="K166" s="186"/>
      <c r="L166" s="186"/>
      <c r="M166" s="186"/>
      <c r="N166" s="186"/>
      <c r="O166" s="186"/>
      <c r="P166" s="186"/>
      <c r="Q166" s="187"/>
      <c r="R166" s="177"/>
      <c r="S166" s="177"/>
      <c r="T166" s="186"/>
      <c r="U166" s="139"/>
      <c r="V166" s="154"/>
      <c r="W166" s="170"/>
      <c r="X166" s="846" t="str">
        <f t="shared" si="52"/>
        <v>Wokingham</v>
      </c>
      <c r="Y166" s="847">
        <f>IF(Year1_Wokingham Year1_CP_Plans_became_subject="","",Year1_Wokingham Year1_CP_Plans_became_subject)</f>
        <v>109</v>
      </c>
      <c r="Z166" s="851">
        <f>IF(Year2_Wokingham Year2_CP_Plans_became_subject="","",Year2_Wokingham Year2_CP_Plans_became_subject)</f>
        <v>61</v>
      </c>
      <c r="AA166" s="851">
        <f>IF(Year3_Wokingham Year3_CP_Plans_became_subject="","",Year3_Wokingham Year3_CP_Plans_became_subject)</f>
        <v>114</v>
      </c>
      <c r="AB166" s="851">
        <f>IF(Year4_Wokingham Year4_CP_Plans_became_subject="","",Year4_Wokingham Year4_CP_Plans_became_subject)</f>
        <v>86</v>
      </c>
      <c r="AC166" s="492">
        <f>IF(Year5_Wokingham Year5_CP_Plans_became_subject="","",Year5_Wokingham Year5_CP_Plans_became_subject)</f>
        <v>150</v>
      </c>
      <c r="AD166" s="850" t="str">
        <f t="shared" si="53"/>
        <v>Wokingham</v>
      </c>
      <c r="AE166" s="848">
        <f>IF(Year1_Wokingham Year1_CP_Plans_became_subject_second="","",Year1_Wokingham Year1_CP_Plans_became_subject_second)</f>
        <v>23</v>
      </c>
      <c r="AF166" s="851">
        <f>IF(Year2_Wokingham Year2_CP_Plans_became_subject_second="","",Year2_Wokingham Year2_CP_Plans_became_subject_second)</f>
        <v>10</v>
      </c>
      <c r="AG166" s="851">
        <f>IF(Year3_Wokingham Year3_CP_Plans_became_subject_second="","",Year3_Wokingham Year3_CP_Plans_became_subject_second)</f>
        <v>17</v>
      </c>
      <c r="AH166" s="851">
        <f>IF(Year4_Wokingham Year4_CP_Plans_became_subject_second="","",Year4_Wokingham Year4_CP_Plans_became_subject_second)</f>
        <v>28</v>
      </c>
      <c r="AI166" s="636">
        <f>IF(Year5_Wokingham Year5_CP_Plans_became_subject_second="","",Year5_Wokingham Year5_CP_Plans_became_subject_second)</f>
        <v>36</v>
      </c>
      <c r="AJ166" s="178"/>
    </row>
    <row r="167" spans="1:45" s="101" customFormat="1" ht="12.75" customHeight="1" x14ac:dyDescent="0.2">
      <c r="A167" s="138"/>
      <c r="B167" s="146" t="str">
        <f t="shared" si="46"/>
        <v>South East</v>
      </c>
      <c r="C167" s="97"/>
      <c r="D167" s="183">
        <f t="shared" si="51"/>
        <v>0.18703358208955223</v>
      </c>
      <c r="E167" s="183">
        <f t="shared" si="47"/>
        <v>0.17023445463812437</v>
      </c>
      <c r="F167" s="183">
        <f t="shared" si="48"/>
        <v>0.20675537359263049</v>
      </c>
      <c r="G167" s="183">
        <f t="shared" si="49"/>
        <v>0.2223360655737705</v>
      </c>
      <c r="H167" s="185">
        <f t="shared" si="50"/>
        <v>0.22592945662535749</v>
      </c>
      <c r="I167" s="115"/>
      <c r="J167" s="115"/>
      <c r="K167" s="188"/>
      <c r="L167" s="188"/>
      <c r="M167" s="188"/>
      <c r="N167" s="188"/>
      <c r="O167" s="188"/>
      <c r="P167" s="188"/>
      <c r="Q167" s="189"/>
      <c r="R167" s="177"/>
      <c r="S167" s="177"/>
      <c r="T167" s="190"/>
      <c r="U167" s="139"/>
      <c r="V167" s="154"/>
      <c r="W167" s="170"/>
      <c r="X167" s="846" t="str">
        <f t="shared" si="52"/>
        <v>South East</v>
      </c>
      <c r="Y167" s="850">
        <f>IF(Year1_SouthEast Year1_CP_Plans_became_subject="","",Year1_SouthEast Year1_CP_Plans_became_subject)</f>
        <v>8576</v>
      </c>
      <c r="Z167" s="851">
        <f>IF(Year2_SouthEast Year2_CP_Plans_became_subject="","",Year2_SouthEast Year2_CP_Plans_became_subject)</f>
        <v>9810</v>
      </c>
      <c r="AA167" s="851">
        <f>IF(Year3_SouthEast Year3_CP_Plans_became_subject="","",Year3_SouthEast Year3_CP_Plans_became_subject)</f>
        <v>9770</v>
      </c>
      <c r="AB167" s="851">
        <f>IF(Year4_SouthEast Year4_CP_Plans_became_subject="","",Year4_SouthEast Year4_CP_Plans_became_subject)</f>
        <v>9760</v>
      </c>
      <c r="AC167" s="846">
        <f>IF(Year5_SouthEast Year5_CP_Plans_became_subject="","",Year5_SouthEast Year5_CP_Plans_became_subject)</f>
        <v>10490</v>
      </c>
      <c r="AD167" s="850" t="str">
        <f t="shared" si="53"/>
        <v>South East</v>
      </c>
      <c r="AE167" s="851">
        <f>IF(Year1_SouthEast Year1_CP_Plans_became_subject_second="","",Year1_SouthEast Year1_CP_Plans_became_subject_second)</f>
        <v>1604</v>
      </c>
      <c r="AF167" s="851">
        <f>IF(Year2_SouthEast Year2_CP_Plans_became_subject_second="","",Year2_SouthEast Year2_CP_Plans_became_subject_second)</f>
        <v>1670</v>
      </c>
      <c r="AG167" s="851">
        <f>IF(Year3_SouthEast Year3_CP_Plans_became_subject_second="","",Year3_SouthEast Year3_CP_Plans_became_subject_second)</f>
        <v>2020</v>
      </c>
      <c r="AH167" s="851">
        <f>IF(Year4_SouthEast Year4_CP_Plans_became_subject_second="","",Year4_SouthEast Year4_CP_Plans_became_subject_second)</f>
        <v>2170</v>
      </c>
      <c r="AI167" s="851">
        <f>IF(Year5_SouthEast Year5_CP_Plans_became_subject_second="","",Year5_SouthEast Year5_CP_Plans_became_subject_second)</f>
        <v>2370</v>
      </c>
      <c r="AJ167" s="179"/>
    </row>
    <row r="168" spans="1:45" s="101" customFormat="1" ht="12.75" customHeight="1" x14ac:dyDescent="0.2">
      <c r="A168" s="138"/>
      <c r="B168" s="370" t="str">
        <f t="shared" si="46"/>
        <v>England</v>
      </c>
      <c r="C168" s="97"/>
      <c r="D168" s="401">
        <f t="shared" si="51"/>
        <v>0.15807962529274006</v>
      </c>
      <c r="E168" s="401">
        <f t="shared" si="47"/>
        <v>0.16572898247870119</v>
      </c>
      <c r="F168" s="401">
        <f t="shared" si="48"/>
        <v>0.17927657558047702</v>
      </c>
      <c r="G168" s="401">
        <f t="shared" si="49"/>
        <v>0.18702002710435175</v>
      </c>
      <c r="H168" s="402">
        <f t="shared" si="50"/>
        <v>0.20212301875817945</v>
      </c>
      <c r="I168" s="115"/>
      <c r="J168" s="115"/>
      <c r="K168" s="188"/>
      <c r="L168" s="188"/>
      <c r="M168" s="188"/>
      <c r="N168" s="188"/>
      <c r="O168" s="188"/>
      <c r="P168" s="188"/>
      <c r="Q168" s="189"/>
      <c r="R168" s="177"/>
      <c r="S168" s="177"/>
      <c r="T168" s="190"/>
      <c r="U168" s="139"/>
      <c r="V168" s="154"/>
      <c r="W168" s="170"/>
      <c r="X168" s="846" t="str">
        <f t="shared" si="52"/>
        <v>England</v>
      </c>
      <c r="Y168" s="852">
        <f>IF(Year1_England Year1_CP_Plans_became_subject="","",Year1_England Year1_CP_Plans_became_subject)</f>
        <v>59780</v>
      </c>
      <c r="Z168" s="853">
        <f>IF(Year2_England Year2_CP_Plans_became_subject="","",Year2_England Year2_CP_Plans_became_subject)</f>
        <v>62210</v>
      </c>
      <c r="AA168" s="851">
        <f>IF(Year3_England Year3_CP_Plans_became_subject="","",Year3_England Year3_CP_Plans_became_subject)</f>
        <v>63310</v>
      </c>
      <c r="AB168" s="851">
        <f>IF(Year4_England Year4_CP_Plans_became_subject="","",Year4_England Year4_CP_Plans_became_subject)</f>
        <v>66410</v>
      </c>
      <c r="AC168" s="492">
        <f>IF(Year5_England Year5_CP_Plans_became_subject="","",Year5_England Year5_CP_Plans_became_subject)</f>
        <v>68770</v>
      </c>
      <c r="AD168" s="850" t="str">
        <f t="shared" si="53"/>
        <v>England</v>
      </c>
      <c r="AE168" s="853">
        <f>IF(Year1_England Year1_CP_Plans_became_subject_second="","",Year1_England Year1_CP_Plans_became_subject_second)</f>
        <v>9450</v>
      </c>
      <c r="AF168" s="853">
        <f>IF(Year2_England Year2_CP_Plans_became_subject_second="","",Year2_England Year2_CP_Plans_became_subject_second)</f>
        <v>10310</v>
      </c>
      <c r="AG168" s="851">
        <f>IF(Year3_England Year3_CP_Plans_became_subject_second="","",Year3_England Year3_CP_Plans_became_subject_second)</f>
        <v>11350</v>
      </c>
      <c r="AH168" s="851">
        <f>IF(Year4_England Year4_CP_Plans_became_subject_second="","",Year4_England Year4_CP_Plans_became_subject_second)</f>
        <v>12420</v>
      </c>
      <c r="AI168" s="636">
        <f>IF(Year5_England Year5_CP_Plans_became_subject_second="","",Year5_England Year5_CP_Plans_became_subject_second)</f>
        <v>13900</v>
      </c>
      <c r="AJ168" s="178"/>
    </row>
    <row r="169" spans="1:45" s="101" customFormat="1" ht="7.5" customHeight="1" x14ac:dyDescent="0.2">
      <c r="A169" s="324"/>
      <c r="B169" s="115"/>
      <c r="C169" s="115"/>
      <c r="D169" s="115"/>
      <c r="E169" s="115"/>
      <c r="F169" s="115"/>
      <c r="G169" s="115"/>
      <c r="H169" s="115"/>
      <c r="I169" s="115"/>
      <c r="J169" s="115"/>
      <c r="K169" s="188"/>
      <c r="L169" s="188"/>
      <c r="M169" s="188"/>
      <c r="N169" s="188"/>
      <c r="O169" s="188"/>
      <c r="P169" s="188"/>
      <c r="Q169" s="189"/>
      <c r="R169" s="177"/>
      <c r="S169" s="177"/>
      <c r="T169" s="190"/>
      <c r="U169" s="139"/>
      <c r="V169" s="154"/>
      <c r="W169" s="170"/>
      <c r="X169" s="88"/>
      <c r="Y169" s="88"/>
      <c r="Z169" s="223"/>
      <c r="AA169" s="223"/>
      <c r="AB169" s="224"/>
      <c r="AC169" s="224"/>
      <c r="AD169" s="226"/>
      <c r="AE169" s="232"/>
      <c r="AF169" s="232"/>
      <c r="AG169" s="232"/>
      <c r="AH169" s="217"/>
      <c r="AI169" s="232"/>
      <c r="AJ169" s="178"/>
    </row>
    <row r="170" spans="1:45" s="88" customFormat="1" ht="38.25" customHeight="1" x14ac:dyDescent="0.2">
      <c r="A170" s="249"/>
      <c r="B170" s="421"/>
      <c r="C170" s="421"/>
      <c r="D170" s="421"/>
      <c r="E170" s="421"/>
      <c r="F170" s="421"/>
      <c r="G170" s="421"/>
      <c r="H170" s="421"/>
      <c r="I170" s="421"/>
      <c r="J170" s="192"/>
      <c r="K170" s="192"/>
      <c r="L170" s="192"/>
      <c r="M170" s="192"/>
      <c r="N170" s="192"/>
      <c r="O170" s="192"/>
      <c r="P170" s="192"/>
      <c r="Q170" s="151"/>
      <c r="R170" s="192"/>
      <c r="S170" s="192"/>
      <c r="T170" s="192"/>
      <c r="U170" s="134"/>
      <c r="V170" s="152"/>
      <c r="W170" s="168"/>
      <c r="AC170" s="224"/>
      <c r="AD170" s="226"/>
      <c r="AE170" s="210"/>
      <c r="AF170" s="210"/>
      <c r="AG170" s="210"/>
      <c r="AI170" s="210"/>
      <c r="AJ170" s="179"/>
    </row>
    <row r="171" spans="1:45" s="88" customFormat="1" ht="39" customHeight="1" x14ac:dyDescent="0.2">
      <c r="A171" s="249"/>
      <c r="B171" s="421"/>
      <c r="C171" s="421"/>
      <c r="D171" s="421"/>
      <c r="E171" s="421"/>
      <c r="F171" s="421"/>
      <c r="G171" s="421"/>
      <c r="H171" s="421"/>
      <c r="I171" s="421"/>
      <c r="J171" s="192"/>
      <c r="K171" s="192"/>
      <c r="L171" s="192"/>
      <c r="M171" s="192"/>
      <c r="N171" s="192"/>
      <c r="O171" s="192"/>
      <c r="P171" s="192"/>
      <c r="Q171" s="151"/>
      <c r="R171" s="192"/>
      <c r="S171" s="192"/>
      <c r="T171" s="192"/>
      <c r="U171" s="134"/>
      <c r="V171" s="152"/>
      <c r="W171" s="168"/>
      <c r="Y171" s="217"/>
      <c r="AD171" s="226"/>
      <c r="AE171" s="210"/>
      <c r="AF171" s="210"/>
      <c r="AG171" s="210"/>
      <c r="AI171" s="210"/>
      <c r="AJ171" s="179"/>
    </row>
    <row r="172" spans="1:45" s="88" customFormat="1" ht="38.25" customHeight="1" x14ac:dyDescent="0.2">
      <c r="A172" s="249"/>
      <c r="B172" s="421"/>
      <c r="C172" s="421"/>
      <c r="D172" s="421"/>
      <c r="E172" s="421"/>
      <c r="F172" s="421"/>
      <c r="G172" s="421"/>
      <c r="H172" s="421"/>
      <c r="I172" s="421"/>
      <c r="J172" s="192"/>
      <c r="K172" s="192"/>
      <c r="L172" s="192"/>
      <c r="M172" s="192"/>
      <c r="N172" s="192"/>
      <c r="O172" s="192"/>
      <c r="P172" s="192"/>
      <c r="Q172" s="151"/>
      <c r="R172" s="192"/>
      <c r="S172" s="192"/>
      <c r="T172" s="192"/>
      <c r="U172" s="134"/>
      <c r="V172" s="152"/>
      <c r="W172" s="168"/>
      <c r="Y172" s="217"/>
      <c r="AD172" s="226"/>
      <c r="AE172" s="210"/>
      <c r="AF172" s="210"/>
      <c r="AG172" s="210"/>
      <c r="AI172" s="210"/>
      <c r="AJ172" s="179"/>
    </row>
    <row r="173" spans="1:45" s="88" customFormat="1" ht="7.5" customHeight="1" x14ac:dyDescent="0.2">
      <c r="A173" s="135"/>
      <c r="B173" s="18"/>
      <c r="C173" s="18"/>
      <c r="D173" s="17"/>
      <c r="E173" s="17"/>
      <c r="F173" s="17"/>
      <c r="G173" s="17"/>
      <c r="H173" s="17"/>
      <c r="I173" s="17"/>
      <c r="J173" s="13"/>
      <c r="K173" s="19"/>
      <c r="L173" s="19"/>
      <c r="M173" s="19"/>
      <c r="N173" s="19"/>
      <c r="O173" s="19"/>
      <c r="P173" s="19"/>
      <c r="Q173" s="19"/>
      <c r="R173" s="19"/>
      <c r="S173" s="19"/>
      <c r="T173" s="20"/>
      <c r="U173" s="134"/>
      <c r="V173" s="152"/>
      <c r="W173" s="168"/>
      <c r="Y173" s="217"/>
      <c r="AI173" s="210"/>
      <c r="AJ173" s="175"/>
      <c r="AK173" s="80"/>
      <c r="AL173" s="80"/>
      <c r="AM173" s="80"/>
      <c r="AN173" s="80"/>
      <c r="AO173" s="80"/>
      <c r="AP173" s="80"/>
      <c r="AQ173" s="80"/>
    </row>
    <row r="174" spans="1:45" s="88" customFormat="1" ht="15" customHeight="1" x14ac:dyDescent="0.2">
      <c r="A174" s="1010"/>
      <c r="B174" s="1018"/>
      <c r="C174" s="1018"/>
      <c r="D174" s="1018"/>
      <c r="E174" s="1018"/>
      <c r="F174" s="1018"/>
      <c r="G174" s="1018"/>
      <c r="H174" s="1018"/>
      <c r="I174" s="1018"/>
      <c r="J174" s="1018"/>
      <c r="K174" s="1018"/>
      <c r="L174" s="1018"/>
      <c r="M174" s="1018"/>
      <c r="N174" s="1018"/>
      <c r="O174" s="1018"/>
      <c r="P174" s="1018"/>
      <c r="Q174" s="1018"/>
      <c r="R174" s="1018"/>
      <c r="S174" s="1018"/>
      <c r="T174" s="1018"/>
      <c r="U174" s="1019"/>
      <c r="V174" s="152"/>
      <c r="W174" s="168"/>
      <c r="AJ174" s="179"/>
      <c r="AS174" s="80"/>
    </row>
    <row r="175" spans="1:45" s="88" customFormat="1" ht="11.25" customHeight="1" x14ac:dyDescent="0.2">
      <c r="A175" s="1020" t="str">
        <f>Home!$A$35</f>
        <v>LA's provide quarterly data on the condition that it is used by the benchmarking group for internal reporting only. Please DO NOT share other LA's data with any external partners or the public</v>
      </c>
      <c r="B175" s="1021"/>
      <c r="C175" s="1021"/>
      <c r="D175" s="1021"/>
      <c r="E175" s="1021"/>
      <c r="F175" s="1021"/>
      <c r="G175" s="1021"/>
      <c r="H175" s="1021"/>
      <c r="I175" s="1022"/>
      <c r="J175" s="1021"/>
      <c r="K175" s="1021"/>
      <c r="L175" s="1021"/>
      <c r="M175" s="1021"/>
      <c r="N175" s="1021"/>
      <c r="O175" s="1021"/>
      <c r="P175" s="1021"/>
      <c r="Q175" s="1021"/>
      <c r="R175" s="1021"/>
      <c r="S175" s="1022"/>
      <c r="T175" s="1021"/>
      <c r="U175" s="1023"/>
      <c r="V175" s="152"/>
      <c r="W175" s="168"/>
      <c r="AI175" s="210"/>
      <c r="AJ175" s="178"/>
      <c r="AK175" s="101"/>
      <c r="AS175" s="80"/>
    </row>
    <row r="176" spans="1:45" ht="11.25" customHeight="1" x14ac:dyDescent="0.2">
      <c r="A176" s="129"/>
      <c r="B176" s="130"/>
      <c r="C176" s="130"/>
      <c r="D176" s="130"/>
      <c r="E176" s="130"/>
      <c r="F176" s="130"/>
      <c r="G176" s="130"/>
      <c r="H176" s="130"/>
      <c r="I176" s="130"/>
      <c r="J176" s="131"/>
      <c r="K176" s="130"/>
      <c r="L176" s="130"/>
      <c r="M176" s="130"/>
      <c r="N176" s="130"/>
      <c r="O176" s="130"/>
      <c r="P176" s="130"/>
      <c r="Q176" s="130"/>
      <c r="R176" s="130"/>
      <c r="S176" s="130"/>
      <c r="T176" s="130"/>
      <c r="U176" s="132"/>
      <c r="V176" s="152"/>
      <c r="W176" s="168"/>
      <c r="X176" s="225"/>
      <c r="Y176" s="223"/>
      <c r="Z176" s="215"/>
      <c r="AI176" s="210"/>
      <c r="AJ176" s="175"/>
    </row>
    <row r="177" spans="1:44" s="82" customFormat="1" ht="15" customHeight="1" x14ac:dyDescent="0.2">
      <c r="A177" s="136"/>
      <c r="B177" s="1100" t="s">
        <v>867</v>
      </c>
      <c r="C177" s="1100"/>
      <c r="D177" s="1100"/>
      <c r="E177" s="1100"/>
      <c r="F177" s="1100"/>
      <c r="G177" s="1100"/>
      <c r="H177" s="1100"/>
      <c r="I177" s="1100"/>
      <c r="J177" s="70"/>
      <c r="K177" s="70"/>
      <c r="L177" s="70"/>
      <c r="M177" s="70"/>
      <c r="N177" s="409"/>
      <c r="O177" s="70"/>
      <c r="P177" s="70"/>
      <c r="Q177" s="70"/>
      <c r="R177" s="70"/>
      <c r="S177" s="70"/>
      <c r="T177" s="70"/>
      <c r="U177" s="137"/>
      <c r="V177" s="153"/>
      <c r="W177" s="169"/>
      <c r="X177" s="436" t="s">
        <v>158</v>
      </c>
      <c r="Y177" s="437"/>
      <c r="Z177" s="438"/>
      <c r="AA177" s="438"/>
      <c r="AB177" s="438"/>
      <c r="AC177" s="650"/>
      <c r="AD177" s="650"/>
      <c r="AE177" s="436" t="s">
        <v>159</v>
      </c>
      <c r="AF177" s="437"/>
      <c r="AG177" s="438"/>
      <c r="AH177" s="438"/>
      <c r="AI177" s="438"/>
      <c r="AJ177" s="175"/>
      <c r="AK177" s="80"/>
    </row>
    <row r="178" spans="1:44" ht="15" customHeight="1" x14ac:dyDescent="0.2">
      <c r="A178" s="135"/>
      <c r="B178" s="1100"/>
      <c r="C178" s="1100"/>
      <c r="D178" s="1100"/>
      <c r="E178" s="1100"/>
      <c r="F178" s="1100"/>
      <c r="G178" s="1100"/>
      <c r="H178" s="1100"/>
      <c r="I178" s="1100"/>
      <c r="J178" s="70"/>
      <c r="K178" s="70"/>
      <c r="L178" s="70"/>
      <c r="M178" s="70"/>
      <c r="N178" s="409"/>
      <c r="O178" s="70"/>
      <c r="P178" s="70"/>
      <c r="Q178" s="10"/>
      <c r="R178" s="70"/>
      <c r="S178" s="70"/>
      <c r="T178" s="70"/>
      <c r="U178" s="134"/>
      <c r="V178" s="152"/>
      <c r="W178" s="168"/>
      <c r="X178" s="438"/>
      <c r="Y178" s="437"/>
      <c r="Z178" s="438"/>
      <c r="AA178" s="438"/>
      <c r="AB178" s="438"/>
      <c r="AC178" s="650"/>
      <c r="AD178" s="650"/>
      <c r="AE178" s="438"/>
      <c r="AF178" s="437"/>
      <c r="AG178" s="438"/>
      <c r="AH178" s="438"/>
      <c r="AI178" s="438"/>
      <c r="AJ178" s="175"/>
    </row>
    <row r="179" spans="1:44" s="101" customFormat="1" ht="27" customHeight="1" x14ac:dyDescent="0.2">
      <c r="A179" s="138"/>
      <c r="B179" s="540" t="s">
        <v>215</v>
      </c>
      <c r="C179" s="97"/>
      <c r="D179" s="393">
        <f>D8</f>
        <v>2014</v>
      </c>
      <c r="E179" s="393">
        <f>E8</f>
        <v>2015</v>
      </c>
      <c r="F179" s="393">
        <f>F8</f>
        <v>2016</v>
      </c>
      <c r="G179" s="393">
        <f>G8</f>
        <v>2017</v>
      </c>
      <c r="H179" s="394">
        <f>H8</f>
        <v>2018</v>
      </c>
      <c r="I179" s="115"/>
      <c r="J179" s="115"/>
      <c r="K179" s="62"/>
      <c r="L179" s="62"/>
      <c r="M179" s="62"/>
      <c r="N179" s="62"/>
      <c r="O179" s="62"/>
      <c r="P179" s="417"/>
      <c r="Q179" s="417"/>
      <c r="R179" s="177"/>
      <c r="S179" s="177"/>
      <c r="T179" s="418"/>
      <c r="U179" s="139"/>
      <c r="V179" s="154"/>
      <c r="W179" s="170"/>
      <c r="X179" s="634"/>
      <c r="Y179" s="638">
        <f>D179</f>
        <v>2014</v>
      </c>
      <c r="Z179" s="534">
        <f t="shared" ref="Z179:AC179" si="54">E179</f>
        <v>2015</v>
      </c>
      <c r="AA179" s="534">
        <f t="shared" si="54"/>
        <v>2016</v>
      </c>
      <c r="AB179" s="534">
        <f t="shared" si="54"/>
        <v>2017</v>
      </c>
      <c r="AC179" s="635">
        <f t="shared" si="54"/>
        <v>2018</v>
      </c>
      <c r="AD179" s="439"/>
      <c r="AE179" s="534">
        <f>Y179</f>
        <v>2014</v>
      </c>
      <c r="AF179" s="534">
        <f t="shared" ref="AF179:AI179" si="55">Z179</f>
        <v>2015</v>
      </c>
      <c r="AG179" s="534">
        <f t="shared" si="55"/>
        <v>2016</v>
      </c>
      <c r="AH179" s="534">
        <f t="shared" si="55"/>
        <v>2017</v>
      </c>
      <c r="AI179" s="534">
        <f t="shared" si="55"/>
        <v>2018</v>
      </c>
      <c r="AJ179" s="175"/>
      <c r="AK179" s="80"/>
    </row>
    <row r="180" spans="1:44" s="101" customFormat="1" ht="12.75" customHeight="1" x14ac:dyDescent="0.2">
      <c r="A180" s="533">
        <f>VLOOKUP(B180,Sheet1!$B$4:$C$25,2,FALSE)</f>
        <v>0</v>
      </c>
      <c r="B180" s="112" t="str">
        <f t="shared" ref="B180:B203" si="56">B145</f>
        <v>Bracknell Forest</v>
      </c>
      <c r="C180" s="97"/>
      <c r="D180" s="182">
        <f>IF(AND(ISNUMBER(AE180),ISNUMBER(Y180)),AE180/Y180,NA())</f>
        <v>1</v>
      </c>
      <c r="E180" s="182">
        <f t="shared" ref="E180" si="57">IF(AND(ISNUMBER(AF180),ISNUMBER(Z180)),AF180/Z180,NA())</f>
        <v>1</v>
      </c>
      <c r="F180" s="182">
        <f t="shared" ref="F180" si="58">IF(AND(ISNUMBER(AG180),ISNUMBER(AA180)),AG180/AA180,NA())</f>
        <v>0.98484848484848486</v>
      </c>
      <c r="G180" s="182">
        <f t="shared" ref="G180" si="59">IF(AND(ISNUMBER(AH180),ISNUMBER(AB180)),AH180/AB180,NA())</f>
        <v>0.97727272727272729</v>
      </c>
      <c r="H180" s="184">
        <f t="shared" ref="H180" si="60">IF(AND(ISNUMBER(AI180),ISNUMBER(AC180)),AI180/AC180,NA())</f>
        <v>0.98461538461538467</v>
      </c>
      <c r="I180" s="115"/>
      <c r="J180" s="115"/>
      <c r="K180" s="186"/>
      <c r="L180" s="186"/>
      <c r="M180" s="186"/>
      <c r="N180" s="186"/>
      <c r="O180" s="186"/>
      <c r="P180" s="186"/>
      <c r="Q180" s="187"/>
      <c r="R180" s="177"/>
      <c r="S180" s="177"/>
      <c r="T180" s="186"/>
      <c r="U180" s="139"/>
      <c r="V180" s="154"/>
      <c r="W180" s="170"/>
      <c r="X180" s="634" t="str">
        <f>B180</f>
        <v>Bracknell Forest</v>
      </c>
      <c r="Y180" s="638">
        <f>IF(Year1_Bracknell_Forest Year1_CP_Plans_3months="","",Year1_Bracknell_Forest Year1_CP_Plans_3months)</f>
        <v>84</v>
      </c>
      <c r="Z180" s="424">
        <f>IF(Year2_Bracknell_Forest Year2_CP_Plans_3months="","",Year2_Bracknell_Forest Year2_CP_Plans_3months)</f>
        <v>104</v>
      </c>
      <c r="AA180" s="424">
        <f>IF(Year3_Bracknell_Forest Year3_CP_Plans_3months="","",Year3_Bracknell_Forest Year3_CP_Plans_3months)</f>
        <v>66</v>
      </c>
      <c r="AB180" s="424">
        <f>IF(Year4_Bracknell_Forest Year4_CP_Plans_3months="","",Year4_Bracknell_Forest Year4_CP_Plans_3months)</f>
        <v>132</v>
      </c>
      <c r="AC180" s="634">
        <f>IF(Year5_Bracknell_Forest Year5_CP_Plans_3months="","",Year5_Bracknell_Forest Year5_CP_Plans_3months)</f>
        <v>65</v>
      </c>
      <c r="AD180" s="439" t="str">
        <f>X180</f>
        <v>Bracknell Forest</v>
      </c>
      <c r="AE180" s="534">
        <f>IF(Year1_Bracknell_Forest Year1_CP_Plans_3months_timescales="","",Year1_Bracknell_Forest Year1_CP_Plans_3months_timescales)</f>
        <v>84</v>
      </c>
      <c r="AF180" s="424">
        <f>IF(Year2_Bracknell_Forest Year2_CP_Plans_3months_timescales="","",Year2_Bracknell_Forest Year2_CP_Plans_3months_timescales)</f>
        <v>104</v>
      </c>
      <c r="AG180" s="424">
        <f>IF(Year3_Bracknell_Forest Year3_CP_Plans_3months_timescales="","",Year3_Bracknell_Forest Year3_CP_Plans_3months_timescales)</f>
        <v>65</v>
      </c>
      <c r="AH180" s="424">
        <f>IF(Year4_Bracknell_Forest Year4_CP_Plans_3months_timescales="","",Year4_Bracknell_Forest Year4_CP_Plans_3months_timescales)</f>
        <v>129</v>
      </c>
      <c r="AI180" s="424">
        <f>IF(Year5_Bracknell_Forest Year5_CP_Plans_3months_timescales="","",Year5_Bracknell_Forest Year5_CP_Plans_3months_timescales)</f>
        <v>64</v>
      </c>
      <c r="AJ180" s="175"/>
      <c r="AK180" s="80"/>
    </row>
    <row r="181" spans="1:44" s="101" customFormat="1" ht="12.75" customHeight="1" x14ac:dyDescent="0.2">
      <c r="A181" s="533">
        <f>VLOOKUP(B181,Sheet1!$B$4:$C$25,2,FALSE)</f>
        <v>0</v>
      </c>
      <c r="B181" s="112" t="str">
        <f t="shared" si="56"/>
        <v>Brighton &amp; Hove</v>
      </c>
      <c r="C181" s="97"/>
      <c r="D181" s="182">
        <f t="shared" ref="D181:D203" si="61">IF(AND(ISNUMBER(AE181),ISNUMBER(Y181)),AE181/Y181,NA())</f>
        <v>0.99543378995433784</v>
      </c>
      <c r="E181" s="182">
        <f t="shared" ref="E181:E203" si="62">IF(AND(ISNUMBER(AF181),ISNUMBER(Z181)),AF181/Z181,NA())</f>
        <v>1</v>
      </c>
      <c r="F181" s="182">
        <f t="shared" ref="F181:F203" si="63">IF(AND(ISNUMBER(AG181),ISNUMBER(AA181)),AG181/AA181,NA())</f>
        <v>0.98006644518272423</v>
      </c>
      <c r="G181" s="182">
        <f t="shared" ref="G181:G203" si="64">IF(AND(ISNUMBER(AH181),ISNUMBER(AB181)),AH181/AB181,NA())</f>
        <v>0.72834645669291342</v>
      </c>
      <c r="H181" s="184">
        <f t="shared" ref="H181:H203" si="65">IF(AND(ISNUMBER(AI181),ISNUMBER(AC181)),AI181/AC181,NA())</f>
        <v>0.99293286219081267</v>
      </c>
      <c r="I181" s="115"/>
      <c r="J181" s="115"/>
      <c r="K181" s="186"/>
      <c r="L181" s="186"/>
      <c r="M181" s="186"/>
      <c r="N181" s="186"/>
      <c r="O181" s="186"/>
      <c r="P181" s="186"/>
      <c r="Q181" s="187"/>
      <c r="R181" s="177"/>
      <c r="S181" s="177"/>
      <c r="T181" s="186"/>
      <c r="U181" s="139"/>
      <c r="V181" s="154"/>
      <c r="W181" s="170"/>
      <c r="X181" s="634" t="str">
        <f t="shared" ref="X181:X203" si="66">B181</f>
        <v>Brighton &amp; Hove</v>
      </c>
      <c r="Y181" s="638">
        <f>IF(Year1_Brighton_Hove Year1_CP_Plans_3months="","",Year1_Brighton_Hove Year1_CP_Plans_3months)</f>
        <v>219</v>
      </c>
      <c r="Z181" s="424">
        <f>IF(Year2_Brighton_Hove Year2_CP_Plans_3months="","",Year2_Brighton_Hove Year2_CP_Plans_3months)</f>
        <v>208</v>
      </c>
      <c r="AA181" s="424">
        <f>IF(Year3_Brighton_Hove Year3_CP_Plans_3months="","",Year3_Brighton_Hove Year3_CP_Plans_3months)</f>
        <v>301</v>
      </c>
      <c r="AB181" s="424">
        <f>IF(Year4_Brighton_Hove Year4_CP_Plans_3months="","",Year4_Brighton_Hove Year4_CP_Plans_3months)</f>
        <v>254</v>
      </c>
      <c r="AC181" s="634">
        <f>IF(Year5_Brighton_Hove Year5_CP_Plans_3months="","",Year5_Brighton_Hove Year5_CP_Plans_3months)</f>
        <v>283</v>
      </c>
      <c r="AD181" s="439" t="str">
        <f t="shared" ref="AD181:AD203" si="67">X181</f>
        <v>Brighton &amp; Hove</v>
      </c>
      <c r="AE181" s="534">
        <f>IF(Year1_Brighton_Hove Year1_CP_Plans_3months_timescales="","",Year1_Brighton_Hove Year1_CP_Plans_3months_timescales)</f>
        <v>218</v>
      </c>
      <c r="AF181" s="424">
        <f>IF(Year2_Brighton_Hove Year2_CP_Plans_3months_timescales="","",Year2_Brighton_Hove Year2_CP_Plans_3months_timescales)</f>
        <v>208</v>
      </c>
      <c r="AG181" s="424">
        <f>IF(Year3_Brighton_Hove Year3_CP_Plans_3months_timescales="","",Year3_Brighton_Hove Year3_CP_Plans_3months_timescales)</f>
        <v>295</v>
      </c>
      <c r="AH181" s="424">
        <f>IF(Year4_Brighton_Hove Year4_CP_Plans_3months_timescales="","",Year4_Brighton_Hove Year4_CP_Plans_3months_timescales)</f>
        <v>185</v>
      </c>
      <c r="AI181" s="424">
        <f>IF(Year5_Brighton_Hove Year5_CP_Plans_3months_timescales="","",Year5_Brighton_Hove Year5_CP_Plans_3months_timescales)</f>
        <v>281</v>
      </c>
      <c r="AJ181" s="175"/>
      <c r="AK181" s="80"/>
    </row>
    <row r="182" spans="1:44" s="101" customFormat="1" ht="12.75" customHeight="1" x14ac:dyDescent="0.2">
      <c r="A182" s="533">
        <f>VLOOKUP(B182,Sheet1!$B$4:$C$25,2,FALSE)</f>
        <v>0</v>
      </c>
      <c r="B182" s="112" t="str">
        <f t="shared" si="56"/>
        <v>Buckinghamshire</v>
      </c>
      <c r="C182" s="97"/>
      <c r="D182" s="182">
        <f t="shared" si="61"/>
        <v>0.79374999999999996</v>
      </c>
      <c r="E182" s="182">
        <f t="shared" si="62"/>
        <v>0.78801843317972353</v>
      </c>
      <c r="F182" s="182">
        <f t="shared" si="63"/>
        <v>0.9285714285714286</v>
      </c>
      <c r="G182" s="182">
        <f t="shared" si="64"/>
        <v>0.84571428571428575</v>
      </c>
      <c r="H182" s="184">
        <f t="shared" si="65"/>
        <v>0.87885010266940455</v>
      </c>
      <c r="I182" s="115"/>
      <c r="J182" s="115"/>
      <c r="K182" s="186"/>
      <c r="L182" s="186"/>
      <c r="M182" s="186"/>
      <c r="N182" s="186"/>
      <c r="O182" s="186"/>
      <c r="P182" s="186"/>
      <c r="Q182" s="187"/>
      <c r="R182" s="177"/>
      <c r="S182" s="177"/>
      <c r="T182" s="186"/>
      <c r="U182" s="139"/>
      <c r="V182" s="154"/>
      <c r="W182" s="170"/>
      <c r="X182" s="634" t="str">
        <f t="shared" si="66"/>
        <v>Buckinghamshire</v>
      </c>
      <c r="Y182" s="638">
        <f>IF(Year1_Buckinghamshire Year1_CP_Plans_3months="","",Year1_Buckinghamshire Year1_CP_Plans_3months)</f>
        <v>160</v>
      </c>
      <c r="Z182" s="424">
        <f>IF(Year2_Buckinghamshire Year2_CP_Plans_3months="","",Year2_Buckinghamshire Year2_CP_Plans_3months)</f>
        <v>217</v>
      </c>
      <c r="AA182" s="424">
        <f>IF(Year3_Buckinghamshire Year3_CP_Plans_3months="","",Year3_Buckinghamshire Year3_CP_Plans_3months)</f>
        <v>294</v>
      </c>
      <c r="AB182" s="424">
        <f>IF(Year4_Buckinghamshire Year4_CP_Plans_3months="","",Year4_Buckinghamshire Year4_CP_Plans_3months)</f>
        <v>350</v>
      </c>
      <c r="AC182" s="634">
        <f>IF(Year5_Buckinghamshire Year5_CP_Plans_3months="","",Year5_Buckinghamshire Year5_CP_Plans_3months)</f>
        <v>487</v>
      </c>
      <c r="AD182" s="439" t="str">
        <f t="shared" si="67"/>
        <v>Buckinghamshire</v>
      </c>
      <c r="AE182" s="534">
        <f>IF(Year1_Buckinghamshire Year1_CP_Plans_3months_timescales="","",Year1_Buckinghamshire Year1_CP_Plans_3months_timescales)</f>
        <v>127</v>
      </c>
      <c r="AF182" s="424">
        <f>IF(Year2_Buckinghamshire Year2_CP_Plans_3months_timescales="","",Year2_Buckinghamshire Year2_CP_Plans_3months_timescales)</f>
        <v>171</v>
      </c>
      <c r="AG182" s="424">
        <f>IF(Year3_Buckinghamshire Year3_CP_Plans_3months_timescales="","",Year3_Buckinghamshire Year3_CP_Plans_3months_timescales)</f>
        <v>273</v>
      </c>
      <c r="AH182" s="424">
        <f>IF(Year4_Buckinghamshire Year4_CP_Plans_3months_timescales="","",Year4_Buckinghamshire Year4_CP_Plans_3months_timescales)</f>
        <v>296</v>
      </c>
      <c r="AI182" s="424">
        <f>IF(Year5_Buckinghamshire Year5_CP_Plans_3months_timescales="","",Year5_Buckinghamshire Year5_CP_Plans_3months_timescales)</f>
        <v>428</v>
      </c>
      <c r="AJ182" s="175"/>
      <c r="AK182" s="80"/>
    </row>
    <row r="183" spans="1:44" s="101" customFormat="1" ht="12.75" customHeight="1" x14ac:dyDescent="0.2">
      <c r="A183" s="533">
        <f>VLOOKUP(B183,Sheet1!$B$4:$C$25,2,FALSE)</f>
        <v>0</v>
      </c>
      <c r="B183" s="112" t="str">
        <f t="shared" si="56"/>
        <v>East Sussex</v>
      </c>
      <c r="C183" s="97"/>
      <c r="D183" s="182">
        <f t="shared" si="61"/>
        <v>0.99564270152505452</v>
      </c>
      <c r="E183" s="182">
        <f t="shared" si="62"/>
        <v>0.99212598425196852</v>
      </c>
      <c r="F183" s="182">
        <f t="shared" si="63"/>
        <v>0.97667638483965014</v>
      </c>
      <c r="G183" s="182">
        <f t="shared" si="64"/>
        <v>0.92121212121212126</v>
      </c>
      <c r="H183" s="184">
        <f t="shared" si="65"/>
        <v>0.90600522193211486</v>
      </c>
      <c r="I183" s="115"/>
      <c r="J183" s="115"/>
      <c r="K183" s="186"/>
      <c r="L183" s="186"/>
      <c r="M183" s="186"/>
      <c r="N183" s="186"/>
      <c r="O183" s="186"/>
      <c r="P183" s="186"/>
      <c r="Q183" s="187"/>
      <c r="R183" s="177"/>
      <c r="S183" s="177"/>
      <c r="T183" s="186"/>
      <c r="U183" s="139"/>
      <c r="V183" s="154"/>
      <c r="W183" s="170"/>
      <c r="X183" s="634" t="str">
        <f t="shared" si="66"/>
        <v>East Sussex</v>
      </c>
      <c r="Y183" s="638">
        <f>IF(Year1_East_Sussex Year1_CP_Plans_3months="","",Year1_East_Sussex Year1_CP_Plans_3months)</f>
        <v>459</v>
      </c>
      <c r="Z183" s="424">
        <f>IF(Year2_East_Sussex Year2_CP_Plans_3months="","",Year2_East_Sussex Year2_CP_Plans_3months)</f>
        <v>381</v>
      </c>
      <c r="AA183" s="424">
        <f>IF(Year3_East_Sussex Year3_CP_Plans_3months="","",Year3_East_Sussex Year3_CP_Plans_3months)</f>
        <v>343</v>
      </c>
      <c r="AB183" s="424">
        <f>IF(Year4_East_Sussex Year4_CP_Plans_3months="","",Year4_East_Sussex Year4_CP_Plans_3months)</f>
        <v>330</v>
      </c>
      <c r="AC183" s="634">
        <f>IF(Year5_East_Sussex Year5_CP_Plans_3months="","",Year5_East_Sussex Year5_CP_Plans_3months)</f>
        <v>383</v>
      </c>
      <c r="AD183" s="439" t="str">
        <f t="shared" si="67"/>
        <v>East Sussex</v>
      </c>
      <c r="AE183" s="534">
        <f>IF(Year1_East_Sussex Year1_CP_Plans_3months_timescales="","",Year1_East_Sussex Year1_CP_Plans_3months_timescales)</f>
        <v>457</v>
      </c>
      <c r="AF183" s="424">
        <f>IF(Year2_East_Sussex Year2_CP_Plans_3months_timescales="","",Year2_East_Sussex Year2_CP_Plans_3months_timescales)</f>
        <v>378</v>
      </c>
      <c r="AG183" s="424">
        <f>IF(Year3_East_Sussex Year3_CP_Plans_3months_timescales="","",Year3_East_Sussex Year3_CP_Plans_3months_timescales)</f>
        <v>335</v>
      </c>
      <c r="AH183" s="424">
        <f>IF(Year4_East_Sussex Year4_CP_Plans_3months_timescales="","",Year4_East_Sussex Year4_CP_Plans_3months_timescales)</f>
        <v>304</v>
      </c>
      <c r="AI183" s="424">
        <f>IF(Year5_East_Sussex Year5_CP_Plans_3months_timescales="","",Year5_East_Sussex Year5_CP_Plans_3months_timescales)</f>
        <v>347</v>
      </c>
      <c r="AJ183" s="175"/>
      <c r="AK183" s="80"/>
    </row>
    <row r="184" spans="1:44" s="101" customFormat="1" ht="12.75" customHeight="1" x14ac:dyDescent="0.2">
      <c r="A184" s="533">
        <f>VLOOKUP(B184,Sheet1!$B$4:$C$25,2,FALSE)</f>
        <v>0</v>
      </c>
      <c r="B184" s="112" t="str">
        <f t="shared" si="56"/>
        <v>Hampshire</v>
      </c>
      <c r="C184" s="97"/>
      <c r="D184" s="182">
        <f t="shared" si="61"/>
        <v>0.86363636363636365</v>
      </c>
      <c r="E184" s="182">
        <f t="shared" si="62"/>
        <v>0.8628691983122363</v>
      </c>
      <c r="F184" s="182">
        <f t="shared" si="63"/>
        <v>0.88361683079677711</v>
      </c>
      <c r="G184" s="182">
        <f t="shared" si="64"/>
        <v>0.87581699346405228</v>
      </c>
      <c r="H184" s="184">
        <f t="shared" si="65"/>
        <v>0.80021030494216616</v>
      </c>
      <c r="I184" s="115"/>
      <c r="J184" s="115"/>
      <c r="K184" s="186"/>
      <c r="L184" s="186"/>
      <c r="M184" s="186"/>
      <c r="N184" s="186"/>
      <c r="O184" s="186"/>
      <c r="P184" s="186"/>
      <c r="Q184" s="187"/>
      <c r="R184" s="177"/>
      <c r="S184" s="177"/>
      <c r="T184" s="186"/>
      <c r="U184" s="139"/>
      <c r="V184" s="154"/>
      <c r="W184" s="170"/>
      <c r="X184" s="634" t="str">
        <f t="shared" si="66"/>
        <v>Hampshire</v>
      </c>
      <c r="Y184" s="638">
        <f>IF(Year1_Hampshire Year1_CP_Plans_3months="","",Year1_Hampshire Year1_CP_Plans_3months)</f>
        <v>748</v>
      </c>
      <c r="Z184" s="424">
        <f>IF(Year2_Hampshire Year2_CP_Plans_3months="","",Year2_Hampshire Year2_CP_Plans_3months)</f>
        <v>948</v>
      </c>
      <c r="AA184" s="424">
        <f>IF(Year3_Hampshire Year3_CP_Plans_3months="","",Year3_Hampshire Year3_CP_Plans_3months)</f>
        <v>1117</v>
      </c>
      <c r="AB184" s="424">
        <f>IF(Year4_Hampshire Year4_CP_Plans_3months="","",Year4_Hampshire Year4_CP_Plans_3months)</f>
        <v>918</v>
      </c>
      <c r="AC184" s="634">
        <f>IF(Year5_Hampshire Year5_CP_Plans_3months="","",Year5_Hampshire Year5_CP_Plans_3months)</f>
        <v>951</v>
      </c>
      <c r="AD184" s="439" t="str">
        <f t="shared" si="67"/>
        <v>Hampshire</v>
      </c>
      <c r="AE184" s="534">
        <f>IF(Year1_Hampshire Year1_CP_Plans_3months_timescales="","",Year1_Hampshire Year1_CP_Plans_3months_timescales)</f>
        <v>646</v>
      </c>
      <c r="AF184" s="424">
        <f>IF(Year2_Hampshire Year2_CP_Plans_3months_timescales="","",Year2_Hampshire Year2_CP_Plans_3months_timescales)</f>
        <v>818</v>
      </c>
      <c r="AG184" s="424">
        <f>IF(Year3_Hampshire Year3_CP_Plans_3months_timescales="","",Year3_Hampshire Year3_CP_Plans_3months_timescales)</f>
        <v>987</v>
      </c>
      <c r="AH184" s="424">
        <f>IF(Year4_Hampshire Year4_CP_Plans_3months_timescales="","",Year4_Hampshire Year4_CP_Plans_3months_timescales)</f>
        <v>804</v>
      </c>
      <c r="AI184" s="424">
        <f>IF(Year5_Hampshire Year5_CP_Plans_3months_timescales="","",Year5_Hampshire Year5_CP_Plans_3months_timescales)</f>
        <v>761</v>
      </c>
      <c r="AJ184" s="175"/>
      <c r="AK184" s="80"/>
    </row>
    <row r="185" spans="1:44" s="101" customFormat="1" ht="12.75" customHeight="1" x14ac:dyDescent="0.2">
      <c r="A185" s="533">
        <f>VLOOKUP(B185,Sheet1!$B$4:$C$25,2,FALSE)</f>
        <v>0</v>
      </c>
      <c r="B185" s="112" t="str">
        <f t="shared" si="56"/>
        <v>Isle of Wight</v>
      </c>
      <c r="C185" s="97"/>
      <c r="D185" s="182">
        <f t="shared" si="61"/>
        <v>0.97029702970297027</v>
      </c>
      <c r="E185" s="182">
        <f t="shared" si="62"/>
        <v>0.88775510204081631</v>
      </c>
      <c r="F185" s="182">
        <f t="shared" si="63"/>
        <v>0.97241379310344822</v>
      </c>
      <c r="G185" s="182">
        <f t="shared" si="64"/>
        <v>0.875</v>
      </c>
      <c r="H185" s="184">
        <f t="shared" si="65"/>
        <v>0.95394736842105265</v>
      </c>
      <c r="I185" s="115"/>
      <c r="J185" s="115"/>
      <c r="K185" s="186"/>
      <c r="L185" s="186"/>
      <c r="M185" s="186"/>
      <c r="N185" s="186"/>
      <c r="O185" s="186"/>
      <c r="P185" s="186"/>
      <c r="Q185" s="187"/>
      <c r="R185" s="177"/>
      <c r="S185" s="177"/>
      <c r="T185" s="186"/>
      <c r="U185" s="139"/>
      <c r="V185" s="154"/>
      <c r="W185" s="170"/>
      <c r="X185" s="634" t="str">
        <f t="shared" si="66"/>
        <v>Isle of Wight</v>
      </c>
      <c r="Y185" s="638">
        <f>IF(Year1_Isle_of_Wight Year1_CP_Plans_3months="","",Year1_Isle_of_Wight Year1_CP_Plans_3months)</f>
        <v>101</v>
      </c>
      <c r="Z185" s="424">
        <f>IF(Year2_Isle_of_Wight Year2_CP_Plans_3months="","",Year2_Isle_of_Wight Year2_CP_Plans_3months)</f>
        <v>196</v>
      </c>
      <c r="AA185" s="424">
        <f>IF(Year3_Isle_of_Wight Year3_CP_Plans_3months="","",Year3_Isle_of_Wight Year3_CP_Plans_3months)</f>
        <v>145</v>
      </c>
      <c r="AB185" s="424">
        <f>IF(Year4_Isle_of_Wight Year4_CP_Plans_3months="","",Year4_Isle_of_Wight Year4_CP_Plans_3months)</f>
        <v>128</v>
      </c>
      <c r="AC185" s="634">
        <f>IF(Year5_Isle_of_Wight Year5_CP_Plans_3months="","",Year5_Isle_of_Wight Year5_CP_Plans_3months)</f>
        <v>152</v>
      </c>
      <c r="AD185" s="439" t="str">
        <f t="shared" si="67"/>
        <v>Isle of Wight</v>
      </c>
      <c r="AE185" s="534">
        <f>IF(Year1_Isle_of_Wight Year1_CP_Plans_3months_timescales="","",Year1_Isle_of_Wight Year1_CP_Plans_3months_timescales)</f>
        <v>98</v>
      </c>
      <c r="AF185" s="424">
        <f>IF(Year2_Isle_of_Wight Year2_CP_Plans_3months_timescales="","",Year2_Isle_of_Wight Year2_CP_Plans_3months_timescales)</f>
        <v>174</v>
      </c>
      <c r="AG185" s="424">
        <f>IF(Year3_Isle_of_Wight Year3_CP_Plans_3months_timescales="","",Year3_Isle_of_Wight Year3_CP_Plans_3months_timescales)</f>
        <v>141</v>
      </c>
      <c r="AH185" s="424">
        <f>IF(Year4_Isle_of_Wight Year4_CP_Plans_3months_timescales="","",Year4_Isle_of_Wight Year4_CP_Plans_3months_timescales)</f>
        <v>112</v>
      </c>
      <c r="AI185" s="424">
        <f>IF(Year5_Isle_of_Wight Year5_CP_Plans_3months_timescales="","",Year5_Isle_of_Wight Year5_CP_Plans_3months_timescales)</f>
        <v>145</v>
      </c>
      <c r="AJ185" s="175"/>
      <c r="AK185" s="80"/>
      <c r="AR185" s="101" t="s">
        <v>104</v>
      </c>
    </row>
    <row r="186" spans="1:44" s="101" customFormat="1" ht="12.75" customHeight="1" x14ac:dyDescent="0.2">
      <c r="A186" s="533">
        <f>VLOOKUP(B186,Sheet1!$B$4:$C$25,2,FALSE)</f>
        <v>0</v>
      </c>
      <c r="B186" s="112" t="str">
        <f t="shared" si="56"/>
        <v>Kent</v>
      </c>
      <c r="C186" s="97"/>
      <c r="D186" s="182">
        <f t="shared" si="61"/>
        <v>0.95764705882352941</v>
      </c>
      <c r="E186" s="182">
        <f t="shared" si="62"/>
        <v>0.99395405078597343</v>
      </c>
      <c r="F186" s="182">
        <f t="shared" si="63"/>
        <v>1</v>
      </c>
      <c r="G186" s="182">
        <f t="shared" si="64"/>
        <v>1</v>
      </c>
      <c r="H186" s="184">
        <f t="shared" si="65"/>
        <v>0.99653078924544669</v>
      </c>
      <c r="I186" s="115"/>
      <c r="J186" s="115"/>
      <c r="K186" s="186"/>
      <c r="L186" s="186"/>
      <c r="M186" s="186"/>
      <c r="N186" s="186"/>
      <c r="O186" s="186"/>
      <c r="P186" s="186"/>
      <c r="Q186" s="187"/>
      <c r="R186" s="177"/>
      <c r="S186" s="177"/>
      <c r="T186" s="186"/>
      <c r="U186" s="139"/>
      <c r="V186" s="154"/>
      <c r="W186" s="170"/>
      <c r="X186" s="634" t="str">
        <f t="shared" si="66"/>
        <v>Kent</v>
      </c>
      <c r="Y186" s="638">
        <f>IF(Year1_Kent Year1_CP_Plans_3months="","",Year1_Kent Year1_CP_Plans_3months)</f>
        <v>850</v>
      </c>
      <c r="Z186" s="424">
        <f>IF(Year2_Kent Year2_CP_Plans_3months="","",Year2_Kent Year2_CP_Plans_3months)</f>
        <v>827</v>
      </c>
      <c r="AA186" s="424">
        <f>IF(Year3_Kent Year3_CP_Plans_3months="","",Year3_Kent Year3_CP_Plans_3months)</f>
        <v>710</v>
      </c>
      <c r="AB186" s="424">
        <f>IF(Year4_Kent Year4_CP_Plans_3months="","",Year4_Kent Year4_CP_Plans_3months)</f>
        <v>863</v>
      </c>
      <c r="AC186" s="634">
        <f>IF(Year5_Kent Year5_CP_Plans_3months="","",Year5_Kent Year5_CP_Plans_3months)</f>
        <v>1153</v>
      </c>
      <c r="AD186" s="439" t="str">
        <f t="shared" si="67"/>
        <v>Kent</v>
      </c>
      <c r="AE186" s="534">
        <f>IF(Year1_Kent Year1_CP_Plans_3months_timescales="","",Year1_Kent Year1_CP_Plans_3months_timescales)</f>
        <v>814</v>
      </c>
      <c r="AF186" s="424">
        <f>IF(Year2_Kent Year2_CP_Plans_3months_timescales="","",Year2_Kent Year2_CP_Plans_3months_timescales)</f>
        <v>822</v>
      </c>
      <c r="AG186" s="424">
        <f>IF(Year3_Kent Year3_CP_Plans_3months_timescales="","",Year3_Kent Year3_CP_Plans_3months_timescales)</f>
        <v>710</v>
      </c>
      <c r="AH186" s="424">
        <f>IF(Year4_Kent Year4_CP_Plans_3months_timescales="","",Year4_Kent Year4_CP_Plans_3months_timescales)</f>
        <v>863</v>
      </c>
      <c r="AI186" s="424">
        <f>IF(Year5_Kent Year5_CP_Plans_3months_timescales="","",Year5_Kent Year5_CP_Plans_3months_timescales)</f>
        <v>1149</v>
      </c>
      <c r="AJ186" s="175"/>
      <c r="AK186" s="80"/>
    </row>
    <row r="187" spans="1:44" s="101" customFormat="1" ht="12.75" customHeight="1" x14ac:dyDescent="0.2">
      <c r="A187" s="533">
        <f>VLOOKUP(B187,Sheet1!$B$4:$C$25,2,FALSE)</f>
        <v>0</v>
      </c>
      <c r="B187" s="112" t="str">
        <f t="shared" si="56"/>
        <v>Medway</v>
      </c>
      <c r="C187" s="97"/>
      <c r="D187" s="182">
        <f t="shared" si="61"/>
        <v>0.97424892703862664</v>
      </c>
      <c r="E187" s="182">
        <f t="shared" si="62"/>
        <v>0.96296296296296291</v>
      </c>
      <c r="F187" s="182">
        <f t="shared" si="63"/>
        <v>0.98987341772151893</v>
      </c>
      <c r="G187" s="182">
        <f t="shared" si="64"/>
        <v>0.97844827586206895</v>
      </c>
      <c r="H187" s="184">
        <f t="shared" si="65"/>
        <v>0.9507575757575758</v>
      </c>
      <c r="I187" s="115"/>
      <c r="J187" s="115"/>
      <c r="K187" s="186"/>
      <c r="L187" s="186"/>
      <c r="M187" s="186"/>
      <c r="N187" s="186"/>
      <c r="O187" s="186"/>
      <c r="P187" s="186"/>
      <c r="Q187" s="187"/>
      <c r="R187" s="177"/>
      <c r="S187" s="177"/>
      <c r="T187" s="186"/>
      <c r="U187" s="139"/>
      <c r="V187" s="154"/>
      <c r="W187" s="170"/>
      <c r="X187" s="634" t="str">
        <f t="shared" si="66"/>
        <v>Medway</v>
      </c>
      <c r="Y187" s="638">
        <f>IF(Year1_Medway Year1_CP_Plans_3months="","",Year1_Medway Year1_CP_Plans_3months)</f>
        <v>233</v>
      </c>
      <c r="Z187" s="424">
        <f>IF(Year2_Medway Year2_CP_Plans_3months="","",Year2_Medway Year2_CP_Plans_3months)</f>
        <v>351</v>
      </c>
      <c r="AA187" s="424">
        <f>IF(Year3_Medway Year3_CP_Plans_3months="","",Year3_Medway Year3_CP_Plans_3months)</f>
        <v>395</v>
      </c>
      <c r="AB187" s="424">
        <f>IF(Year4_Medway Year4_CP_Plans_3months="","",Year4_Medway Year4_CP_Plans_3months)</f>
        <v>232</v>
      </c>
      <c r="AC187" s="634">
        <f>IF(Year5_Medway Year5_CP_Plans_3months="","",Year5_Medway Year5_CP_Plans_3months)</f>
        <v>264</v>
      </c>
      <c r="AD187" s="439" t="str">
        <f t="shared" si="67"/>
        <v>Medway</v>
      </c>
      <c r="AE187" s="534">
        <f>IF(Year1_Medway Year1_CP_Plans_3months_timescales="","",Year1_Medway Year1_CP_Plans_3months_timescales)</f>
        <v>227</v>
      </c>
      <c r="AF187" s="424">
        <f>IF(Year2_Medway Year2_CP_Plans_3months_timescales="","",Year2_Medway Year2_CP_Plans_3months_timescales)</f>
        <v>338</v>
      </c>
      <c r="AG187" s="424">
        <f>IF(Year3_Medway Year3_CP_Plans_3months_timescales="","",Year3_Medway Year3_CP_Plans_3months_timescales)</f>
        <v>391</v>
      </c>
      <c r="AH187" s="424">
        <f>IF(Year4_Medway Year4_CP_Plans_3months_timescales="","",Year4_Medway Year4_CP_Plans_3months_timescales)</f>
        <v>227</v>
      </c>
      <c r="AI187" s="424">
        <f>IF(Year5_Medway Year5_CP_Plans_3months_timescales="","",Year5_Medway Year5_CP_Plans_3months_timescales)</f>
        <v>251</v>
      </c>
      <c r="AJ187" s="175"/>
      <c r="AK187" s="80"/>
    </row>
    <row r="188" spans="1:44" s="101" customFormat="1" ht="12.75" customHeight="1" x14ac:dyDescent="0.2">
      <c r="A188" s="533">
        <f>VLOOKUP(B188,Sheet1!$B$4:$C$25,2,FALSE)</f>
        <v>0</v>
      </c>
      <c r="B188" s="112" t="str">
        <f t="shared" si="56"/>
        <v>Milton Keynes</v>
      </c>
      <c r="C188" s="97"/>
      <c r="D188" s="182">
        <f t="shared" si="61"/>
        <v>1</v>
      </c>
      <c r="E188" s="182">
        <f t="shared" si="62"/>
        <v>1</v>
      </c>
      <c r="F188" s="182">
        <f t="shared" si="63"/>
        <v>0.95652173913043481</v>
      </c>
      <c r="G188" s="182">
        <f t="shared" si="64"/>
        <v>1</v>
      </c>
      <c r="H188" s="184">
        <f t="shared" si="65"/>
        <v>0.98529411764705888</v>
      </c>
      <c r="I188" s="115"/>
      <c r="J188" s="115"/>
      <c r="K188" s="186"/>
      <c r="L188" s="186"/>
      <c r="M188" s="186"/>
      <c r="N188" s="186"/>
      <c r="O188" s="186"/>
      <c r="P188" s="186"/>
      <c r="Q188" s="187"/>
      <c r="R188" s="177"/>
      <c r="S188" s="177"/>
      <c r="T188" s="186"/>
      <c r="U188" s="139"/>
      <c r="V188" s="154"/>
      <c r="W188" s="170"/>
      <c r="X188" s="634" t="str">
        <f t="shared" si="66"/>
        <v>Milton Keynes</v>
      </c>
      <c r="Y188" s="638">
        <f>IF(Year1_Milton_Keynes Year1_CP_Plans_3months="","",Year1_Milton_Keynes Year1_CP_Plans_3months)</f>
        <v>29</v>
      </c>
      <c r="Z188" s="424">
        <f>IF(Year2_Milton_Keynes Year2_CP_Plans_3months="","",Year2_Milton_Keynes Year2_CP_Plans_3months)</f>
        <v>34</v>
      </c>
      <c r="AA188" s="424">
        <f>IF(Year3_Milton_Keynes Year3_CP_Plans_3months="","",Year3_Milton_Keynes Year3_CP_Plans_3months)</f>
        <v>46</v>
      </c>
      <c r="AB188" s="424">
        <f>IF(Year4_Milton_Keynes Year4_CP_Plans_3months="","",Year4_Milton_Keynes Year4_CP_Plans_3months)</f>
        <v>49</v>
      </c>
      <c r="AC188" s="634">
        <f>IF(Year5_Milton_Keynes Year5_CP_Plans_3months="","",Year5_Milton_Keynes Year5_CP_Plans_3months)</f>
        <v>68</v>
      </c>
      <c r="AD188" s="439" t="str">
        <f t="shared" si="67"/>
        <v>Milton Keynes</v>
      </c>
      <c r="AE188" s="534">
        <f>IF(Year1_Milton_Keynes Year1_CP_Plans_3months_timescales="","",Year1_Milton_Keynes Year1_CP_Plans_3months_timescales)</f>
        <v>29</v>
      </c>
      <c r="AF188" s="424">
        <f>IF(Year2_Milton_Keynes Year2_CP_Plans_3months_timescales="","",Year2_Milton_Keynes Year2_CP_Plans_3months_timescales)</f>
        <v>34</v>
      </c>
      <c r="AG188" s="424">
        <f>IF(Year3_Milton_Keynes Year3_CP_Plans_3months_timescales="","",Year3_Milton_Keynes Year3_CP_Plans_3months_timescales)</f>
        <v>44</v>
      </c>
      <c r="AH188" s="424">
        <f>IF(Year4_Milton_Keynes Year4_CP_Plans_3months_timescales="","",Year4_Milton_Keynes Year4_CP_Plans_3months_timescales)</f>
        <v>49</v>
      </c>
      <c r="AI188" s="424">
        <f>IF(Year5_Milton_Keynes Year5_CP_Plans_3months_timescales="","",Year5_Milton_Keynes Year5_CP_Plans_3months_timescales)</f>
        <v>67</v>
      </c>
      <c r="AJ188" s="175"/>
      <c r="AK188" s="80"/>
    </row>
    <row r="189" spans="1:44" s="101" customFormat="1" ht="12.75" customHeight="1" x14ac:dyDescent="0.2">
      <c r="A189" s="533">
        <f>VLOOKUP(B189,Sheet1!$B$4:$C$25,2,FALSE)</f>
        <v>0</v>
      </c>
      <c r="B189" s="112" t="str">
        <f t="shared" si="56"/>
        <v>Oxfordshire</v>
      </c>
      <c r="C189" s="97"/>
      <c r="D189" s="182">
        <f t="shared" si="61"/>
        <v>0.96927374301675973</v>
      </c>
      <c r="E189" s="182">
        <f t="shared" si="62"/>
        <v>0.95454545454545459</v>
      </c>
      <c r="F189" s="182">
        <f t="shared" si="63"/>
        <v>0.95674300254452926</v>
      </c>
      <c r="G189" s="182">
        <f t="shared" si="64"/>
        <v>0.97136038186157514</v>
      </c>
      <c r="H189" s="184">
        <f t="shared" si="65"/>
        <v>0.93724696356275305</v>
      </c>
      <c r="I189" s="115"/>
      <c r="J189" s="115"/>
      <c r="K189" s="186"/>
      <c r="L189" s="186"/>
      <c r="M189" s="186"/>
      <c r="N189" s="186"/>
      <c r="O189" s="186"/>
      <c r="P189" s="186"/>
      <c r="Q189" s="187"/>
      <c r="R189" s="177"/>
      <c r="S189" s="177"/>
      <c r="T189" s="186"/>
      <c r="U189" s="139"/>
      <c r="V189" s="154"/>
      <c r="W189" s="170"/>
      <c r="X189" s="634" t="str">
        <f t="shared" si="66"/>
        <v>Oxfordshire</v>
      </c>
      <c r="Y189" s="638">
        <f>IF(Year1_Oxfordshire Year1_CP_Plans_3months="","",Year1_Oxfordshire Year1_CP_Plans_3months)</f>
        <v>358</v>
      </c>
      <c r="Z189" s="424">
        <f>IF(Year2_Oxfordshire Year2_CP_Plans_3months="","",Year2_Oxfordshire Year2_CP_Plans_3months)</f>
        <v>418</v>
      </c>
      <c r="AA189" s="424">
        <f>IF(Year3_Oxfordshire Year3_CP_Plans_3months="","",Year3_Oxfordshire Year3_CP_Plans_3months)</f>
        <v>393</v>
      </c>
      <c r="AB189" s="424">
        <f>IF(Year4_Oxfordshire Year4_CP_Plans_3months="","",Year4_Oxfordshire Year4_CP_Plans_3months)</f>
        <v>419</v>
      </c>
      <c r="AC189" s="634">
        <f>IF(Year5_Oxfordshire Year5_CP_Plans_3months="","",Year5_Oxfordshire Year5_CP_Plans_3months)</f>
        <v>494</v>
      </c>
      <c r="AD189" s="439" t="str">
        <f t="shared" si="67"/>
        <v>Oxfordshire</v>
      </c>
      <c r="AE189" s="534">
        <f>IF(Year1_Oxfordshire Year1_CP_Plans_3months_timescales="","",Year1_Oxfordshire Year1_CP_Plans_3months_timescales)</f>
        <v>347</v>
      </c>
      <c r="AF189" s="424">
        <f>IF(Year2_Oxfordshire Year2_CP_Plans_3months_timescales="","",Year2_Oxfordshire Year2_CP_Plans_3months_timescales)</f>
        <v>399</v>
      </c>
      <c r="AG189" s="424">
        <f>IF(Year3_Oxfordshire Year3_CP_Plans_3months_timescales="","",Year3_Oxfordshire Year3_CP_Plans_3months_timescales)</f>
        <v>376</v>
      </c>
      <c r="AH189" s="424">
        <f>IF(Year4_Oxfordshire Year4_CP_Plans_3months_timescales="","",Year4_Oxfordshire Year4_CP_Plans_3months_timescales)</f>
        <v>407</v>
      </c>
      <c r="AI189" s="424">
        <f>IF(Year5_Oxfordshire Year5_CP_Plans_3months_timescales="","",Year5_Oxfordshire Year5_CP_Plans_3months_timescales)</f>
        <v>463</v>
      </c>
      <c r="AJ189" s="175"/>
      <c r="AK189" s="80"/>
    </row>
    <row r="190" spans="1:44" s="101" customFormat="1" ht="12.75" customHeight="1" x14ac:dyDescent="0.2">
      <c r="A190" s="533">
        <f>VLOOKUP(B190,Sheet1!$B$4:$C$25,2,FALSE)</f>
        <v>0</v>
      </c>
      <c r="B190" s="112" t="str">
        <f t="shared" si="56"/>
        <v>Portsmouth</v>
      </c>
      <c r="C190" s="97"/>
      <c r="D190" s="182">
        <f t="shared" si="61"/>
        <v>1</v>
      </c>
      <c r="E190" s="182">
        <f t="shared" si="62"/>
        <v>0.99397590361445787</v>
      </c>
      <c r="F190" s="182">
        <f t="shared" si="63"/>
        <v>0.93577981651376152</v>
      </c>
      <c r="G190" s="182">
        <f t="shared" si="64"/>
        <v>0.99425287356321834</v>
      </c>
      <c r="H190" s="184">
        <f t="shared" si="65"/>
        <v>1</v>
      </c>
      <c r="I190" s="115"/>
      <c r="J190" s="115"/>
      <c r="K190" s="186"/>
      <c r="L190" s="186"/>
      <c r="M190" s="186"/>
      <c r="N190" s="186"/>
      <c r="O190" s="186"/>
      <c r="P190" s="186"/>
      <c r="Q190" s="187"/>
      <c r="R190" s="177"/>
      <c r="S190" s="177"/>
      <c r="T190" s="186"/>
      <c r="U190" s="139"/>
      <c r="V190" s="154"/>
      <c r="W190" s="170"/>
      <c r="X190" s="634" t="str">
        <f t="shared" si="66"/>
        <v>Portsmouth</v>
      </c>
      <c r="Y190" s="638">
        <f>IF(Year1_Portsmouth Year1_CP_Plans_3months="","",Year1_Portsmouth Year1_CP_Plans_3months)</f>
        <v>154</v>
      </c>
      <c r="Z190" s="424">
        <f>IF(Year2_Portsmouth Year2_CP_Plans_3months="","",Year2_Portsmouth Year2_CP_Plans_3months)</f>
        <v>166</v>
      </c>
      <c r="AA190" s="424">
        <f>IF(Year3_Portsmouth Year3_CP_Plans_3months="","",Year3_Portsmouth Year3_CP_Plans_3months)</f>
        <v>218</v>
      </c>
      <c r="AB190" s="424">
        <f>IF(Year4_Portsmouth Year4_CP_Plans_3months="","",Year4_Portsmouth Year4_CP_Plans_3months)</f>
        <v>174</v>
      </c>
      <c r="AC190" s="634">
        <f>IF(Year5_Portsmouth Year5_CP_Plans_3months="","",Year5_Portsmouth Year5_CP_Plans_3months)</f>
        <v>217</v>
      </c>
      <c r="AD190" s="439" t="str">
        <f t="shared" si="67"/>
        <v>Portsmouth</v>
      </c>
      <c r="AE190" s="534">
        <f>IF(Year1_Portsmouth Year1_CP_Plans_3months_timescales="","",Year1_Portsmouth Year1_CP_Plans_3months_timescales)</f>
        <v>154</v>
      </c>
      <c r="AF190" s="424">
        <f>IF(Year2_Portsmouth Year2_CP_Plans_3months_timescales="","",Year2_Portsmouth Year2_CP_Plans_3months_timescales)</f>
        <v>165</v>
      </c>
      <c r="AG190" s="424">
        <f>IF(Year3_Portsmouth Year3_CP_Plans_3months_timescales="","",Year3_Portsmouth Year3_CP_Plans_3months_timescales)</f>
        <v>204</v>
      </c>
      <c r="AH190" s="424">
        <f>IF(Year4_Portsmouth Year4_CP_Plans_3months_timescales="","",Year4_Portsmouth Year4_CP_Plans_3months_timescales)</f>
        <v>173</v>
      </c>
      <c r="AI190" s="424">
        <f>IF(Year5_Portsmouth Year5_CP_Plans_3months_timescales="","",Year5_Portsmouth Year5_CP_Plans_3months_timescales)</f>
        <v>217</v>
      </c>
      <c r="AJ190" s="175"/>
      <c r="AK190" s="80"/>
    </row>
    <row r="191" spans="1:44" s="101" customFormat="1" ht="12.75" customHeight="1" x14ac:dyDescent="0.2">
      <c r="A191" s="533">
        <f>VLOOKUP(B191,Sheet1!$B$4:$C$25,2,FALSE)</f>
        <v>0</v>
      </c>
      <c r="B191" s="112" t="str">
        <f t="shared" si="56"/>
        <v>Reading</v>
      </c>
      <c r="C191" s="97"/>
      <c r="D191" s="182">
        <f t="shared" si="61"/>
        <v>0.97478991596638653</v>
      </c>
      <c r="E191" s="182">
        <f t="shared" si="62"/>
        <v>0.9850746268656716</v>
      </c>
      <c r="F191" s="182">
        <f t="shared" si="63"/>
        <v>0.78523489932885904</v>
      </c>
      <c r="G191" s="182">
        <f t="shared" si="64"/>
        <v>3.3898305084745763E-2</v>
      </c>
      <c r="H191" s="184">
        <f t="shared" si="65"/>
        <v>0.7142857142857143</v>
      </c>
      <c r="I191" s="115"/>
      <c r="J191" s="115"/>
      <c r="K191" s="186"/>
      <c r="L191" s="186"/>
      <c r="M191" s="186"/>
      <c r="N191" s="186"/>
      <c r="O191" s="186"/>
      <c r="P191" s="186"/>
      <c r="Q191" s="187"/>
      <c r="R191" s="177"/>
      <c r="S191" s="177"/>
      <c r="T191" s="186"/>
      <c r="U191" s="139"/>
      <c r="V191" s="154"/>
      <c r="W191" s="170"/>
      <c r="X191" s="634" t="str">
        <f t="shared" si="66"/>
        <v>Reading</v>
      </c>
      <c r="Y191" s="638">
        <f>IF(Year1_Reading Year1_CP_Plans_3months="","",Year1_Reading Year1_CP_Plans_3months)</f>
        <v>119</v>
      </c>
      <c r="Z191" s="424">
        <f>IF(Year2_Reading Year2_CP_Plans_3months="","",Year2_Reading Year2_CP_Plans_3months)</f>
        <v>134</v>
      </c>
      <c r="AA191" s="424">
        <f>IF(Year3_Reading Year3_CP_Plans_3months="","",Year3_Reading Year3_CP_Plans_3months)</f>
        <v>149</v>
      </c>
      <c r="AB191" s="424">
        <f>IF(Year4_Reading Year4_CP_Plans_3months="","",Year4_Reading Year4_CP_Plans_3months)</f>
        <v>236</v>
      </c>
      <c r="AC191" s="634">
        <f>IF(Year5_Reading Year5_CP_Plans_3months="","",Year5_Reading Year5_CP_Plans_3months)</f>
        <v>217</v>
      </c>
      <c r="AD191" s="439" t="str">
        <f t="shared" si="67"/>
        <v>Reading</v>
      </c>
      <c r="AE191" s="534">
        <f>IF(Year1_Reading Year1_CP_Plans_3months_timescales="","",Year1_Reading Year1_CP_Plans_3months_timescales)</f>
        <v>116</v>
      </c>
      <c r="AF191" s="424">
        <f>IF(Year2_Reading Year2_CP_Plans_3months_timescales="","",Year2_Reading Year2_CP_Plans_3months_timescales)</f>
        <v>132</v>
      </c>
      <c r="AG191" s="424">
        <f>IF(Year3_Reading Year3_CP_Plans_3months_timescales="","",Year3_Reading Year3_CP_Plans_3months_timescales)</f>
        <v>117</v>
      </c>
      <c r="AH191" s="424">
        <f>IF(Year4_Reading Year4_CP_Plans_3months_timescales="","",Year4_Reading Year4_CP_Plans_3months_timescales)</f>
        <v>8</v>
      </c>
      <c r="AI191" s="424">
        <f>IF(Year5_Reading Year5_CP_Plans_3months_timescales="","",Year5_Reading Year5_CP_Plans_3months_timescales)</f>
        <v>155</v>
      </c>
      <c r="AJ191" s="175"/>
      <c r="AK191" s="80"/>
    </row>
    <row r="192" spans="1:44" s="101" customFormat="1" ht="12.75" customHeight="1" x14ac:dyDescent="0.2">
      <c r="A192" s="533">
        <f>VLOOKUP(B192,Sheet1!$B$4:$C$25,2,FALSE)</f>
        <v>0</v>
      </c>
      <c r="B192" s="112" t="str">
        <f t="shared" si="56"/>
        <v>Slough</v>
      </c>
      <c r="C192" s="97"/>
      <c r="D192" s="182">
        <f t="shared" si="61"/>
        <v>0.87012987012987009</v>
      </c>
      <c r="E192" s="182">
        <f t="shared" si="62"/>
        <v>0.81333333333333335</v>
      </c>
      <c r="F192" s="182">
        <f t="shared" si="63"/>
        <v>0.96062992125984248</v>
      </c>
      <c r="G192" s="182">
        <f t="shared" si="64"/>
        <v>0.9642857142857143</v>
      </c>
      <c r="H192" s="184">
        <f t="shared" si="65"/>
        <v>0.39175257731958762</v>
      </c>
      <c r="I192" s="115"/>
      <c r="J192" s="115"/>
      <c r="K192" s="186"/>
      <c r="L192" s="186"/>
      <c r="M192" s="186"/>
      <c r="N192" s="186"/>
      <c r="O192" s="186"/>
      <c r="P192" s="186"/>
      <c r="Q192" s="187"/>
      <c r="R192" s="177"/>
      <c r="S192" s="177"/>
      <c r="T192" s="186"/>
      <c r="U192" s="139"/>
      <c r="V192" s="154"/>
      <c r="W192" s="170"/>
      <c r="X192" s="634" t="str">
        <f t="shared" si="66"/>
        <v>Slough</v>
      </c>
      <c r="Y192" s="638">
        <f>IF(Year1_Slough Year1_CP_Plans_3months="","",Year1_Slough Year1_CP_Plans_3months)</f>
        <v>154</v>
      </c>
      <c r="Z192" s="424">
        <f>IF(Year2_Slough Year2_CP_Plans_3months="","",Year2_Slough Year2_CP_Plans_3months)</f>
        <v>75</v>
      </c>
      <c r="AA192" s="424">
        <f>IF(Year3_Slough Year3_CP_Plans_3months="","",Year3_Slough Year3_CP_Plans_3months)</f>
        <v>127</v>
      </c>
      <c r="AB192" s="424">
        <f>IF(Year4_Slough Year4_CP_Plans_3months="","",Year4_Slough Year4_CP_Plans_3months)</f>
        <v>112</v>
      </c>
      <c r="AC192" s="634">
        <f>IF(Year5_Slough Year5_CP_Plans_3months="","",Year5_Slough Year5_CP_Plans_3months)</f>
        <v>97</v>
      </c>
      <c r="AD192" s="439" t="str">
        <f t="shared" si="67"/>
        <v>Slough</v>
      </c>
      <c r="AE192" s="534">
        <f>IF(Year1_Slough Year1_CP_Plans_3months_timescales="","",Year1_Slough Year1_CP_Plans_3months_timescales)</f>
        <v>134</v>
      </c>
      <c r="AF192" s="424">
        <f>IF(Year2_Slough Year2_CP_Plans_3months_timescales="","",Year2_Slough Year2_CP_Plans_3months_timescales)</f>
        <v>61</v>
      </c>
      <c r="AG192" s="424">
        <f>IF(Year3_Slough Year3_CP_Plans_3months_timescales="","",Year3_Slough Year3_CP_Plans_3months_timescales)</f>
        <v>122</v>
      </c>
      <c r="AH192" s="424">
        <f>IF(Year4_Slough Year4_CP_Plans_3months_timescales="","",Year4_Slough Year4_CP_Plans_3months_timescales)</f>
        <v>108</v>
      </c>
      <c r="AI192" s="424">
        <f>IF(Year5_Slough Year5_CP_Plans_3months_timescales="","",Year5_Slough Year5_CP_Plans_3months_timescales)</f>
        <v>38</v>
      </c>
      <c r="AJ192" s="175"/>
      <c r="AK192" s="80"/>
    </row>
    <row r="193" spans="1:43" s="101" customFormat="1" ht="12.75" customHeight="1" x14ac:dyDescent="0.2">
      <c r="A193" s="533">
        <f>VLOOKUP(B193,Sheet1!$B$4:$C$25,2,FALSE)</f>
        <v>0</v>
      </c>
      <c r="B193" s="112" t="str">
        <f t="shared" si="56"/>
        <v>Somerset</v>
      </c>
      <c r="C193" s="97"/>
      <c r="D193" s="182">
        <f t="shared" si="61"/>
        <v>1</v>
      </c>
      <c r="E193" s="182">
        <f t="shared" si="62"/>
        <v>1</v>
      </c>
      <c r="F193" s="182">
        <f t="shared" si="63"/>
        <v>0.9732620320855615</v>
      </c>
      <c r="G193" s="182">
        <f t="shared" si="64"/>
        <v>0.95528455284552849</v>
      </c>
      <c r="H193" s="184">
        <f t="shared" si="65"/>
        <v>0.96065573770491808</v>
      </c>
      <c r="I193" s="115"/>
      <c r="J193" s="115"/>
      <c r="K193" s="186"/>
      <c r="L193" s="186"/>
      <c r="M193" s="186"/>
      <c r="N193" s="186"/>
      <c r="O193" s="186"/>
      <c r="P193" s="186"/>
      <c r="Q193" s="187"/>
      <c r="R193" s="177"/>
      <c r="S193" s="177"/>
      <c r="T193" s="186"/>
      <c r="U193" s="139"/>
      <c r="V193" s="154"/>
      <c r="W193" s="170"/>
      <c r="X193" s="634" t="str">
        <f t="shared" si="66"/>
        <v>Somerset</v>
      </c>
      <c r="Y193" s="638">
        <f>IF(Year1_Somerset Year1_CP_Plans_3months="","",Year1_Somerset Year1_CP_Plans_3months)</f>
        <v>290</v>
      </c>
      <c r="Z193" s="424">
        <f>IF(Year2_Somerset Year2_CP_Plans_3months="","",Year2_Somerset Year2_CP_Plans_3months)</f>
        <v>331</v>
      </c>
      <c r="AA193" s="424">
        <f>IF(Year3_Somerset Year3_CP_Plans_3months="","",Year3_Somerset Year3_CP_Plans_3months)</f>
        <v>187</v>
      </c>
      <c r="AB193" s="424">
        <f>IF(Year4_Somerset Year4_CP_Plans_3months="","",Year4_Somerset Year4_CP_Plans_3months)</f>
        <v>246</v>
      </c>
      <c r="AC193" s="634">
        <f>IF(Year5_Somerset Year5_CP_Plans_3months="","",Year5_Somerset Year5_CP_Plans_3months)</f>
        <v>305</v>
      </c>
      <c r="AD193" s="439" t="str">
        <f t="shared" si="67"/>
        <v>Somerset</v>
      </c>
      <c r="AE193" s="534">
        <f>IF(Year1_Somerset Year1_CP_Plans_3months_timescales="","",Year1_Somerset Year1_CP_Plans_3months_timescales)</f>
        <v>290</v>
      </c>
      <c r="AF193" s="424">
        <f>IF(Year2_Somerset Year2_CP_Plans_3months_timescales="","",Year2_Somerset Year2_CP_Plans_3months_timescales)</f>
        <v>331</v>
      </c>
      <c r="AG193" s="424">
        <f>IF(Year3_Somerset Year3_CP_Plans_3months_timescales="","",Year3_Somerset Year3_CP_Plans_3months_timescales)</f>
        <v>182</v>
      </c>
      <c r="AH193" s="424">
        <f>IF(Year4_Somerset Year4_CP_Plans_3months_timescales="","",Year4_Somerset Year4_CP_Plans_3months_timescales)</f>
        <v>235</v>
      </c>
      <c r="AI193" s="424">
        <f>IF(Year5_Somerset Year5_CP_Plans_3months_timescales="","",Year5_Somerset Year5_CP_Plans_3months_timescales)</f>
        <v>293</v>
      </c>
      <c r="AJ193" s="175"/>
      <c r="AK193" s="80"/>
    </row>
    <row r="194" spans="1:43" s="101" customFormat="1" ht="12.75" customHeight="1" x14ac:dyDescent="0.2">
      <c r="A194" s="533">
        <f>VLOOKUP(B194,Sheet1!$B$4:$C$25,2,FALSE)</f>
        <v>0</v>
      </c>
      <c r="B194" s="112" t="str">
        <f t="shared" si="56"/>
        <v>Southampton</v>
      </c>
      <c r="C194" s="97"/>
      <c r="D194" s="182" t="e">
        <f t="shared" si="61"/>
        <v>#N/A</v>
      </c>
      <c r="E194" s="182">
        <f t="shared" si="62"/>
        <v>0.73300970873786409</v>
      </c>
      <c r="F194" s="182">
        <f t="shared" si="63"/>
        <v>0.72</v>
      </c>
      <c r="G194" s="182">
        <f t="shared" si="64"/>
        <v>0.75</v>
      </c>
      <c r="H194" s="184">
        <f t="shared" si="65"/>
        <v>0.72033898305084743</v>
      </c>
      <c r="I194" s="115"/>
      <c r="J194" s="115"/>
      <c r="K194" s="186"/>
      <c r="L194" s="186"/>
      <c r="M194" s="186"/>
      <c r="N194" s="186"/>
      <c r="O194" s="186"/>
      <c r="P194" s="186"/>
      <c r="Q194" s="187"/>
      <c r="R194" s="177"/>
      <c r="S194" s="177"/>
      <c r="T194" s="186"/>
      <c r="U194" s="139"/>
      <c r="V194" s="154"/>
      <c r="W194" s="170"/>
      <c r="X194" s="634" t="str">
        <f t="shared" si="66"/>
        <v>Southampton</v>
      </c>
      <c r="Y194" s="638" t="str">
        <f>IF(Year1_Southampton Year1_CP_Plans_3months="","",Year1_Southampton Year1_CP_Plans_3months)</f>
        <v>..</v>
      </c>
      <c r="Z194" s="424">
        <f>IF(Year2_Southampton Year2_CP_Plans_3months="","",Year2_Southampton Year2_CP_Plans_3months)</f>
        <v>206</v>
      </c>
      <c r="AA194" s="424">
        <f>IF(Year3_Southampton Year3_CP_Plans_3months="","",Year3_Southampton Year3_CP_Plans_3months)</f>
        <v>200</v>
      </c>
      <c r="AB194" s="424">
        <f>IF(Year4_Southampton Year4_CP_Plans_3months="","",Year4_Southampton Year4_CP_Plans_3months)</f>
        <v>188</v>
      </c>
      <c r="AC194" s="634">
        <f>IF(Year5_Southampton Year5_CP_Plans_3months="","",Year5_Southampton Year5_CP_Plans_3months)</f>
        <v>236</v>
      </c>
      <c r="AD194" s="439" t="str">
        <f t="shared" si="67"/>
        <v>Southampton</v>
      </c>
      <c r="AE194" s="534" t="str">
        <f>IF(Year1_Southampton Year1_CP_Plans_3months_timescales="","",Year1_Southampton Year1_CP_Plans_3months_timescales)</f>
        <v>..</v>
      </c>
      <c r="AF194" s="424">
        <f>IF(Year2_Southampton Year2_CP_Plans_3months_timescales="","",Year2_Southampton Year2_CP_Plans_3months_timescales)</f>
        <v>151</v>
      </c>
      <c r="AG194" s="424">
        <f>IF(Year3_Southampton Year3_CP_Plans_3months_timescales="","",Year3_Southampton Year3_CP_Plans_3months_timescales)</f>
        <v>144</v>
      </c>
      <c r="AH194" s="424">
        <f>IF(Year4_Southampton Year4_CP_Plans_3months_timescales="","",Year4_Southampton Year4_CP_Plans_3months_timescales)</f>
        <v>141</v>
      </c>
      <c r="AI194" s="424">
        <f>IF(Year5_Southampton Year5_CP_Plans_3months_timescales="","",Year5_Southampton Year5_CP_Plans_3months_timescales)</f>
        <v>170</v>
      </c>
      <c r="AJ194" s="175"/>
      <c r="AK194" s="80"/>
    </row>
    <row r="195" spans="1:43" s="101" customFormat="1" ht="12.75" customHeight="1" x14ac:dyDescent="0.2">
      <c r="A195" s="533">
        <f>VLOOKUP(B195,Sheet1!$B$4:$C$25,2,FALSE)</f>
        <v>0</v>
      </c>
      <c r="B195" s="112" t="str">
        <f t="shared" si="56"/>
        <v>Surrey</v>
      </c>
      <c r="C195" s="97"/>
      <c r="D195" s="182">
        <f t="shared" si="61"/>
        <v>0.93993993993993996</v>
      </c>
      <c r="E195" s="182">
        <f t="shared" si="62"/>
        <v>0.851123595505618</v>
      </c>
      <c r="F195" s="182">
        <f t="shared" si="63"/>
        <v>0.97249190938511332</v>
      </c>
      <c r="G195" s="182">
        <f t="shared" si="64"/>
        <v>0.97734627831715215</v>
      </c>
      <c r="H195" s="184">
        <f t="shared" si="65"/>
        <v>0.95</v>
      </c>
      <c r="I195" s="115"/>
      <c r="J195" s="115"/>
      <c r="K195" s="186"/>
      <c r="L195" s="186"/>
      <c r="M195" s="186"/>
      <c r="N195" s="186"/>
      <c r="O195" s="186"/>
      <c r="P195" s="186"/>
      <c r="Q195" s="187"/>
      <c r="R195" s="177"/>
      <c r="S195" s="177"/>
      <c r="T195" s="186"/>
      <c r="U195" s="139"/>
      <c r="V195" s="154"/>
      <c r="W195" s="170"/>
      <c r="X195" s="634" t="str">
        <f t="shared" si="66"/>
        <v>Surrey</v>
      </c>
      <c r="Y195" s="638">
        <f>IF(Year1_Surrey Year1_CP_Plans_3months="","",Year1_Surrey Year1_CP_Plans_3months)</f>
        <v>666</v>
      </c>
      <c r="Z195" s="424">
        <f>IF(Year2_Surrey Year2_CP_Plans_3months="","",Year2_Surrey Year2_CP_Plans_3months)</f>
        <v>712</v>
      </c>
      <c r="AA195" s="424">
        <f>IF(Year3_Surrey Year3_CP_Plans_3months="","",Year3_Surrey Year3_CP_Plans_3months)</f>
        <v>618</v>
      </c>
      <c r="AB195" s="424">
        <f>IF(Year4_Surrey Year4_CP_Plans_3months="","",Year4_Surrey Year4_CP_Plans_3months)</f>
        <v>618</v>
      </c>
      <c r="AC195" s="634">
        <f>IF(Year5_Surrey Year5_CP_Plans_3months="","",Year5_Surrey Year5_CP_Plans_3months)</f>
        <v>660</v>
      </c>
      <c r="AD195" s="439" t="str">
        <f t="shared" si="67"/>
        <v>Surrey</v>
      </c>
      <c r="AE195" s="534">
        <f>IF(Year1_Surrey Year1_CP_Plans_3months_timescales="","",Year1_Surrey Year1_CP_Plans_3months_timescales)</f>
        <v>626</v>
      </c>
      <c r="AF195" s="424">
        <f>IF(Year2_Surrey Year2_CP_Plans_3months_timescales="","",Year2_Surrey Year2_CP_Plans_3months_timescales)</f>
        <v>606</v>
      </c>
      <c r="AG195" s="424">
        <f>IF(Year3_Surrey Year3_CP_Plans_3months_timescales="","",Year3_Surrey Year3_CP_Plans_3months_timescales)</f>
        <v>601</v>
      </c>
      <c r="AH195" s="424">
        <f>IF(Year4_Surrey Year4_CP_Plans_3months_timescales="","",Year4_Surrey Year4_CP_Plans_3months_timescales)</f>
        <v>604</v>
      </c>
      <c r="AI195" s="424">
        <f>IF(Year5_Surrey Year5_CP_Plans_3months_timescales="","",Year5_Surrey Year5_CP_Plans_3months_timescales)</f>
        <v>627</v>
      </c>
      <c r="AJ195" s="175"/>
      <c r="AK195" s="80"/>
    </row>
    <row r="196" spans="1:43" s="101" customFormat="1" ht="12.75" customHeight="1" x14ac:dyDescent="0.2">
      <c r="A196" s="533">
        <f>VLOOKUP(B196,Sheet1!$B$4:$C$25,2,FALSE)</f>
        <v>0</v>
      </c>
      <c r="B196" s="112" t="str">
        <f t="shared" si="56"/>
        <v>Swindon</v>
      </c>
      <c r="C196" s="97"/>
      <c r="D196" s="182">
        <f t="shared" si="61"/>
        <v>0.9838709677419355</v>
      </c>
      <c r="E196" s="182">
        <f t="shared" si="62"/>
        <v>0.93377483443708609</v>
      </c>
      <c r="F196" s="182">
        <f t="shared" si="63"/>
        <v>0.94374999999999998</v>
      </c>
      <c r="G196" s="182">
        <f t="shared" si="64"/>
        <v>0.91719745222929938</v>
      </c>
      <c r="H196" s="184">
        <f t="shared" si="65"/>
        <v>0.98473282442748089</v>
      </c>
      <c r="I196" s="115"/>
      <c r="J196" s="115"/>
      <c r="K196" s="186"/>
      <c r="L196" s="186"/>
      <c r="M196" s="186"/>
      <c r="N196" s="186"/>
      <c r="O196" s="186"/>
      <c r="P196" s="186"/>
      <c r="Q196" s="187"/>
      <c r="R196" s="177"/>
      <c r="S196" s="177"/>
      <c r="T196" s="186"/>
      <c r="U196" s="139"/>
      <c r="V196" s="154"/>
      <c r="W196" s="170"/>
      <c r="X196" s="634" t="str">
        <f t="shared" si="66"/>
        <v>Swindon</v>
      </c>
      <c r="Y196" s="638">
        <f>IF(Year1_Swindon Year1_CP_Plans_3months="","",Year1_Swindon Year1_CP_Plans_3months)</f>
        <v>124</v>
      </c>
      <c r="Z196" s="424">
        <f>IF(Year2_Swindon Year2_CP_Plans_3months="","",Year2_Swindon Year2_CP_Plans_3months)</f>
        <v>151</v>
      </c>
      <c r="AA196" s="424">
        <f>IF(Year3_Swindon Year3_CP_Plans_3months="","",Year3_Swindon Year3_CP_Plans_3months)</f>
        <v>160</v>
      </c>
      <c r="AB196" s="424">
        <f>IF(Year4_Swindon Year4_CP_Plans_3months="","",Year4_Swindon Year4_CP_Plans_3months)</f>
        <v>157</v>
      </c>
      <c r="AC196" s="634">
        <f>IF(Year5_Swindon Year5_CP_Plans_3months="","",Year5_Swindon Year5_CP_Plans_3months)</f>
        <v>262</v>
      </c>
      <c r="AD196" s="439" t="str">
        <f t="shared" si="67"/>
        <v>Swindon</v>
      </c>
      <c r="AE196" s="534">
        <f>IF(Year1_Swindon Year1_CP_Plans_3months_timescales="","",Year1_Swindon Year1_CP_Plans_3months_timescales)</f>
        <v>122</v>
      </c>
      <c r="AF196" s="424">
        <f>IF(Year2_Swindon Year2_CP_Plans_3months_timescales="","",Year2_Swindon Year2_CP_Plans_3months_timescales)</f>
        <v>141</v>
      </c>
      <c r="AG196" s="424">
        <f>IF(Year3_Swindon Year3_CP_Plans_3months_timescales="","",Year3_Swindon Year3_CP_Plans_3months_timescales)</f>
        <v>151</v>
      </c>
      <c r="AH196" s="424">
        <f>IF(Year4_Swindon Year4_CP_Plans_3months_timescales="","",Year4_Swindon Year4_CP_Plans_3months_timescales)</f>
        <v>144</v>
      </c>
      <c r="AI196" s="424">
        <f>IF(Year5_Swindon Year5_CP_Plans_3months_timescales="","",Year5_Swindon Year5_CP_Plans_3months_timescales)</f>
        <v>258</v>
      </c>
      <c r="AJ196" s="175"/>
      <c r="AK196" s="80"/>
    </row>
    <row r="197" spans="1:43" s="101" customFormat="1" ht="12.75" customHeight="1" x14ac:dyDescent="0.2">
      <c r="A197" s="533">
        <f>VLOOKUP(B197,Sheet1!$B$4:$C$25,2,FALSE)</f>
        <v>0</v>
      </c>
      <c r="B197" s="112" t="str">
        <f t="shared" si="56"/>
        <v>Torbay</v>
      </c>
      <c r="C197" s="97"/>
      <c r="D197" s="182">
        <f t="shared" si="61"/>
        <v>0.92783505154639179</v>
      </c>
      <c r="E197" s="182">
        <f t="shared" si="62"/>
        <v>0.96842105263157896</v>
      </c>
      <c r="F197" s="182">
        <f t="shared" si="63"/>
        <v>0.90566037735849059</v>
      </c>
      <c r="G197" s="182">
        <f t="shared" si="64"/>
        <v>0.80916030534351147</v>
      </c>
      <c r="H197" s="184">
        <f t="shared" si="65"/>
        <v>0.74117647058823533</v>
      </c>
      <c r="I197" s="115"/>
      <c r="J197" s="115"/>
      <c r="K197" s="186"/>
      <c r="L197" s="186"/>
      <c r="M197" s="186"/>
      <c r="N197" s="186"/>
      <c r="O197" s="186"/>
      <c r="P197" s="186"/>
      <c r="Q197" s="187"/>
      <c r="R197" s="177"/>
      <c r="S197" s="177"/>
      <c r="T197" s="186"/>
      <c r="U197" s="139"/>
      <c r="V197" s="154"/>
      <c r="W197" s="170"/>
      <c r="X197" s="634" t="str">
        <f t="shared" si="66"/>
        <v>Torbay</v>
      </c>
      <c r="Y197" s="638">
        <f>IF(Year1_Torbay Year1_CP_Plans_3months="","",Year1_Torbay Year1_CP_Plans_3months)</f>
        <v>97</v>
      </c>
      <c r="Z197" s="424">
        <f>IF(Year2_Torbay Year2_CP_Plans_3months="","",Year2_Torbay Year2_CP_Plans_3months)</f>
        <v>95</v>
      </c>
      <c r="AA197" s="424">
        <f>IF(Year3_Torbay Year3_CP_Plans_3months="","",Year3_Torbay Year3_CP_Plans_3months)</f>
        <v>106</v>
      </c>
      <c r="AB197" s="424">
        <f>IF(Year4_Torbay Year4_CP_Plans_3months="","",Year4_Torbay Year4_CP_Plans_3months)</f>
        <v>131</v>
      </c>
      <c r="AC197" s="634">
        <f>IF(Year5_Torbay Year5_CP_Plans_3months="","",Year5_Torbay Year5_CP_Plans_3months)</f>
        <v>85</v>
      </c>
      <c r="AD197" s="439" t="str">
        <f t="shared" si="67"/>
        <v>Torbay</v>
      </c>
      <c r="AE197" s="534">
        <f>IF(Year1_Torbay Year1_CP_Plans_3months_timescales="","",Year1_Torbay Year1_CP_Plans_3months_timescales)</f>
        <v>90</v>
      </c>
      <c r="AF197" s="424">
        <f>IF(Year2_Torbay Year2_CP_Plans_3months_timescales="","",Year2_Torbay Year2_CP_Plans_3months_timescales)</f>
        <v>92</v>
      </c>
      <c r="AG197" s="424">
        <f>IF(Year3_Torbay Year3_CP_Plans_3months_timescales="","",Year3_Torbay Year3_CP_Plans_3months_timescales)</f>
        <v>96</v>
      </c>
      <c r="AH197" s="424">
        <f>IF(Year4_Torbay Year4_CP_Plans_3months_timescales="","",Year4_Torbay Year4_CP_Plans_3months_timescales)</f>
        <v>106</v>
      </c>
      <c r="AI197" s="424">
        <f>IF(Year5_Torbay Year5_CP_Plans_3months_timescales="","",Year5_Torbay Year5_CP_Plans_3months_timescales)</f>
        <v>63</v>
      </c>
      <c r="AJ197" s="175"/>
      <c r="AK197" s="80"/>
    </row>
    <row r="198" spans="1:43" s="101" customFormat="1" ht="12.75" customHeight="1" x14ac:dyDescent="0.2">
      <c r="A198" s="533">
        <f>VLOOKUP(B198,Sheet1!$B$4:$C$25,2,FALSE)</f>
        <v>0</v>
      </c>
      <c r="B198" s="112" t="str">
        <f t="shared" si="56"/>
        <v>West Berkshire</v>
      </c>
      <c r="C198" s="97"/>
      <c r="D198" s="182">
        <f t="shared" si="61"/>
        <v>0.93150684931506844</v>
      </c>
      <c r="E198" s="182">
        <f t="shared" si="62"/>
        <v>1</v>
      </c>
      <c r="F198" s="182">
        <f t="shared" si="63"/>
        <v>0.98936170212765961</v>
      </c>
      <c r="G198" s="182">
        <f t="shared" si="64"/>
        <v>0.98780487804878048</v>
      </c>
      <c r="H198" s="184">
        <f t="shared" si="65"/>
        <v>1</v>
      </c>
      <c r="I198" s="115"/>
      <c r="J198" s="115"/>
      <c r="K198" s="186"/>
      <c r="L198" s="186"/>
      <c r="M198" s="186"/>
      <c r="N198" s="186"/>
      <c r="O198" s="186"/>
      <c r="P198" s="186"/>
      <c r="Q198" s="187"/>
      <c r="R198" s="177"/>
      <c r="S198" s="177"/>
      <c r="T198" s="186"/>
      <c r="U198" s="139"/>
      <c r="V198" s="154"/>
      <c r="W198" s="170"/>
      <c r="X198" s="634" t="str">
        <f t="shared" si="66"/>
        <v>West Berkshire</v>
      </c>
      <c r="Y198" s="638">
        <f>IF(Year1_West_Berkshire Year1_CP_Plans_3months="","",Year1_West_Berkshire Year1_CP_Plans_3months)</f>
        <v>73</v>
      </c>
      <c r="Z198" s="424">
        <f>IF(Year2_West_Berkshire Year2_CP_Plans_3months="","",Year2_West_Berkshire Year2_CP_Plans_3months)</f>
        <v>95</v>
      </c>
      <c r="AA198" s="424">
        <f>IF(Year3_West_Berkshire Year3_CP_Plans_3months="","",Year3_West_Berkshire Year3_CP_Plans_3months)</f>
        <v>94</v>
      </c>
      <c r="AB198" s="424">
        <f>IF(Year4_West_Berkshire Year4_CP_Plans_3months="","",Year4_West_Berkshire Year4_CP_Plans_3months)</f>
        <v>82</v>
      </c>
      <c r="AC198" s="639">
        <f>IF(Year5_West_Berkshire Year5_CP_Plans_3months="","",Year5_West_Berkshire Year5_CP_Plans_3months)</f>
        <v>93</v>
      </c>
      <c r="AD198" s="439" t="str">
        <f t="shared" si="67"/>
        <v>West Berkshire</v>
      </c>
      <c r="AE198" s="534">
        <f>IF(Year1_West_Berkshire Year1_CP_Plans_3months_timescales="","",Year1_West_Berkshire Year1_CP_Plans_3months_timescales)</f>
        <v>68</v>
      </c>
      <c r="AF198" s="424">
        <f>IF(Year2_West_Berkshire Year2_CP_Plans_3months_timescales="","",Year2_West_Berkshire Year2_CP_Plans_3months_timescales)</f>
        <v>95</v>
      </c>
      <c r="AG198" s="424">
        <f>IF(Year3_West_Berkshire Year3_CP_Plans_3months_timescales="","",Year3_West_Berkshire Year3_CP_Plans_3months_timescales)</f>
        <v>93</v>
      </c>
      <c r="AH198" s="424">
        <f>IF(Year4_West_Berkshire Year4_CP_Plans_3months_timescales="","",Year4_West_Berkshire Year4_CP_Plans_3months_timescales)</f>
        <v>81</v>
      </c>
      <c r="AI198" s="637">
        <f>IF(Year5_West_Berkshire Year5_CP_Plans_3months_timescales="","",Year5_West_Berkshire Year5_CP_Plans_3months_timescales)</f>
        <v>93</v>
      </c>
      <c r="AJ198" s="175"/>
      <c r="AK198" s="80"/>
    </row>
    <row r="199" spans="1:43" s="101" customFormat="1" ht="12.75" customHeight="1" x14ac:dyDescent="0.2">
      <c r="A199" s="533">
        <f>VLOOKUP(B199,Sheet1!$B$4:$C$25,2,FALSE)</f>
        <v>0</v>
      </c>
      <c r="B199" s="112" t="str">
        <f t="shared" si="56"/>
        <v>West Sussex</v>
      </c>
      <c r="C199" s="97"/>
      <c r="D199" s="182">
        <f t="shared" si="61"/>
        <v>0.99076923076923074</v>
      </c>
      <c r="E199" s="182">
        <f t="shared" si="62"/>
        <v>0.98016997167138808</v>
      </c>
      <c r="F199" s="182">
        <f t="shared" si="63"/>
        <v>0.92086330935251803</v>
      </c>
      <c r="G199" s="182">
        <f t="shared" si="64"/>
        <v>0.83377308707124009</v>
      </c>
      <c r="H199" s="184">
        <f t="shared" si="65"/>
        <v>0.88682432432432434</v>
      </c>
      <c r="I199" s="115"/>
      <c r="J199" s="115"/>
      <c r="K199" s="186"/>
      <c r="L199" s="186"/>
      <c r="M199" s="186"/>
      <c r="N199" s="186"/>
      <c r="O199" s="186"/>
      <c r="P199" s="186"/>
      <c r="Q199" s="187"/>
      <c r="R199" s="177"/>
      <c r="S199" s="177"/>
      <c r="T199" s="186"/>
      <c r="U199" s="139"/>
      <c r="V199" s="154"/>
      <c r="W199" s="170"/>
      <c r="X199" s="634" t="str">
        <f t="shared" si="66"/>
        <v>West Sussex</v>
      </c>
      <c r="Y199" s="638">
        <f>IF(Year1_West_Sussex Year1_CP_Plans_3months="","",Year1_West_Sussex Year1_CP_Plans_3months)</f>
        <v>325</v>
      </c>
      <c r="Z199" s="424">
        <f>IF(Year2_West_Sussex Year2_CP_Plans_3months="","",Year2_West_Sussex Year2_CP_Plans_3months)</f>
        <v>353</v>
      </c>
      <c r="AA199" s="424">
        <f>IF(Year3_West_Sussex Year3_CP_Plans_3months="","",Year3_West_Sussex Year3_CP_Plans_3months)</f>
        <v>278</v>
      </c>
      <c r="AB199" s="424">
        <f>IF(Year4_West_Sussex Year4_CP_Plans_3months="","",Year4_West_Sussex Year4_CP_Plans_3months)</f>
        <v>379</v>
      </c>
      <c r="AC199" s="639">
        <f>IF(Year5_West_Sussex Year5_CP_Plans_3months="","",Year5_West_Sussex Year5_CP_Plans_3months)</f>
        <v>592</v>
      </c>
      <c r="AD199" s="439" t="str">
        <f t="shared" si="67"/>
        <v>West Sussex</v>
      </c>
      <c r="AE199" s="534">
        <f>IF(Year1_West_Sussex Year1_CP_Plans_3months_timescales="","",Year1_West_Sussex Year1_CP_Plans_3months_timescales)</f>
        <v>322</v>
      </c>
      <c r="AF199" s="424">
        <f>IF(Year2_West_Sussex Year2_CP_Plans_3months_timescales="","",Year2_West_Sussex Year2_CP_Plans_3months_timescales)</f>
        <v>346</v>
      </c>
      <c r="AG199" s="424">
        <f>IF(Year3_West_Sussex Year3_CP_Plans_3months_timescales="","",Year3_West_Sussex Year3_CP_Plans_3months_timescales)</f>
        <v>256</v>
      </c>
      <c r="AH199" s="424">
        <f>IF(Year4_West_Sussex Year4_CP_Plans_3months_timescales="","",Year4_West_Sussex Year4_CP_Plans_3months_timescales)</f>
        <v>316</v>
      </c>
      <c r="AI199" s="637">
        <f>IF(Year5_West_Sussex Year5_CP_Plans_3months_timescales="","",Year5_West_Sussex Year5_CP_Plans_3months_timescales)</f>
        <v>525</v>
      </c>
      <c r="AJ199" s="175"/>
      <c r="AK199" s="80"/>
    </row>
    <row r="200" spans="1:43" s="101" customFormat="1" ht="12.75" customHeight="1" x14ac:dyDescent="0.2">
      <c r="A200" s="533">
        <f>VLOOKUP(B200,Sheet1!$B$4:$C$25,2,FALSE)</f>
        <v>0</v>
      </c>
      <c r="B200" s="112" t="str">
        <f t="shared" si="56"/>
        <v>Windsor &amp; Maidenhead</v>
      </c>
      <c r="C200" s="97"/>
      <c r="D200" s="182">
        <f t="shared" si="61"/>
        <v>0.92537313432835822</v>
      </c>
      <c r="E200" s="182">
        <f t="shared" si="62"/>
        <v>0.98039215686274506</v>
      </c>
      <c r="F200" s="182">
        <f t="shared" si="63"/>
        <v>1</v>
      </c>
      <c r="G200" s="182">
        <f t="shared" si="64"/>
        <v>0.96907216494845361</v>
      </c>
      <c r="H200" s="184">
        <f t="shared" si="65"/>
        <v>0.8</v>
      </c>
      <c r="I200" s="115"/>
      <c r="J200" s="115"/>
      <c r="K200" s="186"/>
      <c r="L200" s="186"/>
      <c r="M200" s="186"/>
      <c r="N200" s="186"/>
      <c r="O200" s="186"/>
      <c r="P200" s="186"/>
      <c r="Q200" s="187"/>
      <c r="R200" s="177"/>
      <c r="S200" s="177"/>
      <c r="T200" s="186"/>
      <c r="U200" s="139"/>
      <c r="V200" s="154"/>
      <c r="W200" s="170"/>
      <c r="X200" s="634" t="str">
        <f t="shared" si="66"/>
        <v>Windsor &amp; Maidenhead</v>
      </c>
      <c r="Y200" s="638">
        <f>IF(Year1_Windsor_Maidenhead Year1_CP_Plans_3months="","",Year1_Windsor_Maidenhead Year1_CP_Plans_3months)</f>
        <v>67</v>
      </c>
      <c r="Z200" s="424">
        <f>IF(Year2_Windsor_Maidenhead Year2_CP_Plans_3months="","",Year2_Windsor_Maidenhead Year2_CP_Plans_3months)</f>
        <v>51</v>
      </c>
      <c r="AA200" s="424">
        <f>IF(Year3_Windsor_Maidenhead Year3_CP_Plans_3months="","",Year3_Windsor_Maidenhead Year3_CP_Plans_3months)</f>
        <v>83</v>
      </c>
      <c r="AB200" s="424">
        <f>IF(Year4_Windsor_Maidenhead Year4_CP_Plans_3months="","",Year4_Windsor_Maidenhead Year4_CP_Plans_3months)</f>
        <v>97</v>
      </c>
      <c r="AC200" s="639">
        <f>IF(Year5_Windsor_Maidenhead Year5_CP_Plans_3months="","",Year5_Windsor_Maidenhead Year5_CP_Plans_3months)</f>
        <v>55</v>
      </c>
      <c r="AD200" s="439" t="str">
        <f t="shared" si="67"/>
        <v>Windsor &amp; Maidenhead</v>
      </c>
      <c r="AE200" s="534">
        <f>IF(Year1_Windsor_Maidenhead Year1_CP_Plans_3months_timescales="","",Year1_Windsor_Maidenhead Year1_CP_Plans_3months_timescales)</f>
        <v>62</v>
      </c>
      <c r="AF200" s="424">
        <f>IF(Year2_Windsor_Maidenhead Year2_CP_Plans_3months_timescales="","",Year2_Windsor_Maidenhead Year2_CP_Plans_3months_timescales)</f>
        <v>50</v>
      </c>
      <c r="AG200" s="424">
        <f>IF(Year3_Windsor_Maidenhead Year3_CP_Plans_3months_timescales="","",Year3_Windsor_Maidenhead Year3_CP_Plans_3months_timescales)</f>
        <v>83</v>
      </c>
      <c r="AH200" s="424">
        <f>IF(Year4_Windsor_Maidenhead Year4_CP_Plans_3months_timescales="","",Year4_Windsor_Maidenhead Year4_CP_Plans_3months_timescales)</f>
        <v>94</v>
      </c>
      <c r="AI200" s="637">
        <f>IF(Year5_Windsor_Maidenhead Year5_CP_Plans_3months_timescales="","",Year5_Windsor_Maidenhead Year5_CP_Plans_3months_timescales)</f>
        <v>44</v>
      </c>
      <c r="AJ200" s="175"/>
      <c r="AK200" s="80"/>
    </row>
    <row r="201" spans="1:43" s="101" customFormat="1" ht="12.75" customHeight="1" x14ac:dyDescent="0.2">
      <c r="A201" s="533">
        <f>VLOOKUP(B201,Sheet1!$B$4:$C$25,2,FALSE)</f>
        <v>0</v>
      </c>
      <c r="B201" s="112" t="str">
        <f t="shared" si="56"/>
        <v>Wokingham</v>
      </c>
      <c r="C201" s="97"/>
      <c r="D201" s="182">
        <f t="shared" si="61"/>
        <v>0.98484848484848486</v>
      </c>
      <c r="E201" s="182">
        <f t="shared" si="62"/>
        <v>1</v>
      </c>
      <c r="F201" s="182">
        <f t="shared" si="63"/>
        <v>0.94736842105263153</v>
      </c>
      <c r="G201" s="182">
        <f t="shared" si="64"/>
        <v>0.96551724137931039</v>
      </c>
      <c r="H201" s="184">
        <f t="shared" si="65"/>
        <v>1</v>
      </c>
      <c r="I201" s="115"/>
      <c r="J201" s="115"/>
      <c r="K201" s="186"/>
      <c r="L201" s="186"/>
      <c r="M201" s="186"/>
      <c r="N201" s="186"/>
      <c r="O201" s="186"/>
      <c r="P201" s="186"/>
      <c r="Q201" s="187"/>
      <c r="R201" s="177"/>
      <c r="S201" s="177"/>
      <c r="T201" s="186"/>
      <c r="U201" s="139"/>
      <c r="V201" s="154"/>
      <c r="W201" s="170"/>
      <c r="X201" s="634" t="str">
        <f t="shared" si="66"/>
        <v>Wokingham</v>
      </c>
      <c r="Y201" s="638">
        <f>IF(Year1_Wokingham Year1_CP_Plans_3months="","",Year1_Wokingham Year1_CP_Plans_3months)</f>
        <v>66</v>
      </c>
      <c r="Z201" s="424">
        <f>IF(Year2_Wokingham Year2_CP_Plans_3months="","",Year2_Wokingham Year2_CP_Plans_3months)</f>
        <v>34</v>
      </c>
      <c r="AA201" s="424">
        <f>IF(Year3_Wokingham Year3_CP_Plans_3months="","",Year3_Wokingham Year3_CP_Plans_3months)</f>
        <v>38</v>
      </c>
      <c r="AB201" s="424">
        <f>IF(Year4_Wokingham Year4_CP_Plans_3months="","",Year4_Wokingham Year4_CP_Plans_3months)</f>
        <v>29</v>
      </c>
      <c r="AC201" s="639">
        <f>IF(Year5_Wokingham Year5_CP_Plans_3months="","",Year5_Wokingham Year5_CP_Plans_3months)</f>
        <v>78</v>
      </c>
      <c r="AD201" s="439" t="str">
        <f t="shared" si="67"/>
        <v>Wokingham</v>
      </c>
      <c r="AE201" s="534">
        <f>IF(Year1_Wokingham Year1_CP_Plans_3months_timescales="","",Year1_Wokingham Year1_CP_Plans_3months_timescales)</f>
        <v>65</v>
      </c>
      <c r="AF201" s="424">
        <f>IF(Year2_Wokingham Year2_CP_Plans_3months_timescales="","",Year2_Wokingham Year2_CP_Plans_3months_timescales)</f>
        <v>34</v>
      </c>
      <c r="AG201" s="424">
        <f>IF(Year3_Wokingham Year3_CP_Plans_3months_timescales="","",Year3_Wokingham Year3_CP_Plans_3months_timescales)</f>
        <v>36</v>
      </c>
      <c r="AH201" s="424">
        <f>IF(Year4_Wokingham Year4_CP_Plans_3months_timescales="","",Year4_Wokingham Year4_CP_Plans_3months_timescales)</f>
        <v>28</v>
      </c>
      <c r="AI201" s="637">
        <f>IF(Year5_Wokingham Year5_CP_Plans_3months_timescales="","",Year5_Wokingham Year5_CP_Plans_3months_timescales)</f>
        <v>78</v>
      </c>
      <c r="AJ201" s="175"/>
      <c r="AK201" s="80"/>
    </row>
    <row r="202" spans="1:43" s="101" customFormat="1" ht="12.75" customHeight="1" x14ac:dyDescent="0.2">
      <c r="A202" s="138"/>
      <c r="B202" s="146" t="str">
        <f t="shared" si="56"/>
        <v>South East</v>
      </c>
      <c r="C202" s="97"/>
      <c r="D202" s="183">
        <f t="shared" si="61"/>
        <v>0.94429599177800616</v>
      </c>
      <c r="E202" s="183">
        <f t="shared" si="62"/>
        <v>0.92727272727272725</v>
      </c>
      <c r="F202" s="183">
        <f t="shared" si="63"/>
        <v>0.93772241992882566</v>
      </c>
      <c r="G202" s="183">
        <f t="shared" si="64"/>
        <v>0.88193202146690519</v>
      </c>
      <c r="H202" s="185">
        <f t="shared" si="65"/>
        <v>0.9007633587786259</v>
      </c>
      <c r="I202" s="115"/>
      <c r="J202" s="115"/>
      <c r="K202" s="188"/>
      <c r="L202" s="188"/>
      <c r="M202" s="188"/>
      <c r="N202" s="188"/>
      <c r="O202" s="188"/>
      <c r="P202" s="188"/>
      <c r="Q202" s="189"/>
      <c r="R202" s="177"/>
      <c r="S202" s="177"/>
      <c r="T202" s="190"/>
      <c r="U202" s="139"/>
      <c r="V202" s="154"/>
      <c r="W202" s="170"/>
      <c r="X202" s="634" t="str">
        <f t="shared" si="66"/>
        <v>South East</v>
      </c>
      <c r="Y202" s="439">
        <f>IF(Year1_SouthEast Year1_CP_Plans_3months="","",Year1_SouthEast Year1_CP_Plans_3months)</f>
        <v>4865</v>
      </c>
      <c r="Z202" s="424">
        <f>IF(Year2_SouthEast Year2_CP_Plans_3months="","",Year2_SouthEast Year2_CP_Plans_3months)</f>
        <v>5500</v>
      </c>
      <c r="AA202" s="424">
        <f>IF(Year3_SouthEast Year3_CP_Plans_3months="","",Year3_SouthEast Year3_CP_Plans_3months)</f>
        <v>5620</v>
      </c>
      <c r="AB202" s="424">
        <f>IF(Year4_SouthEast Year4_CP_Plans_3months="","",Year4_SouthEast Year4_CP_Plans_3months)</f>
        <v>5590</v>
      </c>
      <c r="AC202" s="634">
        <f>IF(Year5_SouthEast Year5_CP_Plans_3months="","",Year5_SouthEast Year5_CP_Plans_3months)</f>
        <v>6550</v>
      </c>
      <c r="AD202" s="439" t="str">
        <f t="shared" si="67"/>
        <v>South East</v>
      </c>
      <c r="AE202" s="424">
        <f>IF(Year1_SouthEast Year1_CP_Plans_3months_timescales="","",Year1_SouthEast Year1_CP_Plans_3months_timescales)</f>
        <v>4594</v>
      </c>
      <c r="AF202" s="424">
        <f>IF(Year2_SouthEast Year2_CP_Plans_3months_timescales="","",Year2_SouthEast Year2_CP_Plans_3months_timescales)</f>
        <v>5100</v>
      </c>
      <c r="AG202" s="424">
        <f>IF(Year3_SouthEast Year3_CP_Plans_3months_timescales="","",Year3_SouthEast Year3_CP_Plans_3months_timescales)</f>
        <v>5270</v>
      </c>
      <c r="AH202" s="424">
        <f>IF(Year4_SouthEast Year4_CP_Plans_3months_timescales="","",Year4_SouthEast Year4_CP_Plans_3months_timescales)</f>
        <v>4930</v>
      </c>
      <c r="AI202" s="424">
        <f>IF(Year5_SouthEast Year5_CP_Plans_3months_timescales="","",Year5_SouthEast Year5_CP_Plans_3months_timescales)</f>
        <v>5900</v>
      </c>
      <c r="AJ202" s="175"/>
      <c r="AK202" s="80"/>
    </row>
    <row r="203" spans="1:43" s="101" customFormat="1" ht="12.75" customHeight="1" x14ac:dyDescent="0.2">
      <c r="A203" s="138"/>
      <c r="B203" s="370" t="str">
        <f t="shared" si="56"/>
        <v>England</v>
      </c>
      <c r="C203" s="97"/>
      <c r="D203" s="401">
        <f t="shared" si="61"/>
        <v>0.94561933534743203</v>
      </c>
      <c r="E203" s="401">
        <f t="shared" si="62"/>
        <v>0.94219653179190754</v>
      </c>
      <c r="F203" s="401">
        <f t="shared" si="63"/>
        <v>0.93724696356275305</v>
      </c>
      <c r="G203" s="401">
        <f t="shared" si="64"/>
        <v>0.92191075514874143</v>
      </c>
      <c r="H203" s="402">
        <f t="shared" si="65"/>
        <v>0.90516782099094295</v>
      </c>
      <c r="I203" s="115"/>
      <c r="J203" s="115"/>
      <c r="K203" s="188"/>
      <c r="L203" s="188"/>
      <c r="M203" s="188"/>
      <c r="N203" s="188"/>
      <c r="O203" s="188"/>
      <c r="P203" s="188"/>
      <c r="Q203" s="189"/>
      <c r="R203" s="177"/>
      <c r="S203" s="177"/>
      <c r="T203" s="190"/>
      <c r="U203" s="139"/>
      <c r="V203" s="154"/>
      <c r="W203" s="170"/>
      <c r="X203" s="634" t="str">
        <f t="shared" si="66"/>
        <v>England</v>
      </c>
      <c r="Y203" s="661">
        <f>IF(Year1_England Year1_CP_Plans_3months="","",Year1_England Year1_CP_Plans_3months)</f>
        <v>33100</v>
      </c>
      <c r="Z203" s="662">
        <f>IF(Year2_England Year2_CP_Plans_3months="","",Year2_England Year2_CP_Plans_3months)</f>
        <v>34600</v>
      </c>
      <c r="AA203" s="424">
        <f>IF(Year3_England Year3_CP_Plans_3months="","",Year3_England Year3_CP_Plans_3months)</f>
        <v>34580</v>
      </c>
      <c r="AB203" s="424">
        <f>IF(Year4_England Year4_CP_Plans_3months="","",Year4_England Year4_CP_Plans_3months)</f>
        <v>34960</v>
      </c>
      <c r="AC203" s="639">
        <f>IF(Year5_England Year5_CP_Plans_3months="","",Year5_England Year5_CP_Plans_3months)</f>
        <v>37540</v>
      </c>
      <c r="AD203" s="439" t="str">
        <f t="shared" si="67"/>
        <v>England</v>
      </c>
      <c r="AE203" s="662">
        <f>IF(Year1_England Year1_CP_Plans_3months_timescales="","",Year1_England Year1_CP_Plans_3months_timescales)</f>
        <v>31300</v>
      </c>
      <c r="AF203" s="662">
        <f>IF(Year2_England Year2_CP_Plans_3months_timescales="","",Year2_England Year2_CP_Plans_3months_timescales)</f>
        <v>32600</v>
      </c>
      <c r="AG203" s="424">
        <f>IF(Year3_England Year3_CP_Plans_3months_timescales="","",Year3_England Year3_CP_Plans_3months_timescales)</f>
        <v>32410</v>
      </c>
      <c r="AH203" s="424">
        <f>IF(Year4_England Year4_CP_Plans_3months_timescales="","",Year4_England Year4_CP_Plans_3months_timescales)</f>
        <v>32230</v>
      </c>
      <c r="AI203" s="637">
        <f>IF(Year5_England Year5_CP_Plans_3months_timescales="","",Year5_England Year5_CP_Plans_3months_timescales)</f>
        <v>33980</v>
      </c>
      <c r="AJ203" s="175"/>
      <c r="AK203" s="80"/>
    </row>
    <row r="204" spans="1:43" s="101" customFormat="1" ht="7.5" customHeight="1" x14ac:dyDescent="0.2">
      <c r="A204" s="324"/>
      <c r="B204" s="115"/>
      <c r="C204" s="115"/>
      <c r="D204" s="115"/>
      <c r="E204" s="115"/>
      <c r="F204" s="115"/>
      <c r="G204" s="115"/>
      <c r="H204" s="115"/>
      <c r="I204" s="115"/>
      <c r="J204" s="115"/>
      <c r="K204" s="188"/>
      <c r="L204" s="188"/>
      <c r="M204" s="188"/>
      <c r="N204" s="188"/>
      <c r="O204" s="188"/>
      <c r="P204" s="188"/>
      <c r="Q204" s="189"/>
      <c r="R204" s="177"/>
      <c r="S204" s="177"/>
      <c r="T204" s="190"/>
      <c r="U204" s="139"/>
      <c r="V204" s="154"/>
      <c r="W204" s="170"/>
      <c r="X204" s="88"/>
      <c r="Y204" s="88"/>
      <c r="Z204" s="223"/>
      <c r="AA204" s="223"/>
      <c r="AB204" s="224"/>
      <c r="AC204" s="224"/>
      <c r="AD204" s="224"/>
      <c r="AE204" s="224"/>
      <c r="AF204" s="224"/>
      <c r="AG204" s="224"/>
      <c r="AH204" s="224"/>
      <c r="AI204" s="224"/>
      <c r="AJ204" s="175"/>
      <c r="AK204" s="80"/>
    </row>
    <row r="205" spans="1:43" s="88" customFormat="1" ht="38.25" customHeight="1" x14ac:dyDescent="0.2">
      <c r="A205" s="249"/>
      <c r="B205" s="421"/>
      <c r="C205" s="421"/>
      <c r="D205" s="421"/>
      <c r="E205" s="421"/>
      <c r="F205" s="421"/>
      <c r="G205" s="421"/>
      <c r="H205" s="421"/>
      <c r="I205" s="421"/>
      <c r="J205" s="192"/>
      <c r="K205" s="192"/>
      <c r="L205" s="192"/>
      <c r="M205" s="192"/>
      <c r="N205" s="192"/>
      <c r="O205" s="192"/>
      <c r="P205" s="192"/>
      <c r="Q205" s="151"/>
      <c r="R205" s="192"/>
      <c r="S205" s="192"/>
      <c r="T205" s="192"/>
      <c r="U205" s="134"/>
      <c r="V205" s="152"/>
      <c r="W205" s="168"/>
      <c r="AC205" s="224"/>
      <c r="AD205" s="226"/>
      <c r="AE205" s="210"/>
      <c r="AF205" s="210"/>
      <c r="AG205" s="210"/>
      <c r="AI205" s="210"/>
      <c r="AJ205" s="175"/>
      <c r="AK205" s="80"/>
    </row>
    <row r="206" spans="1:43" s="88" customFormat="1" ht="39" customHeight="1" x14ac:dyDescent="0.2">
      <c r="A206" s="249"/>
      <c r="B206" s="421"/>
      <c r="C206" s="421"/>
      <c r="D206" s="421"/>
      <c r="E206" s="421"/>
      <c r="F206" s="421"/>
      <c r="G206" s="421"/>
      <c r="H206" s="421"/>
      <c r="I206" s="421"/>
      <c r="J206" s="192"/>
      <c r="K206" s="192"/>
      <c r="L206" s="192"/>
      <c r="M206" s="192"/>
      <c r="N206" s="192"/>
      <c r="O206" s="192"/>
      <c r="P206" s="192"/>
      <c r="Q206" s="151"/>
      <c r="R206" s="192"/>
      <c r="S206" s="192"/>
      <c r="T206" s="192"/>
      <c r="U206" s="134"/>
      <c r="V206" s="152"/>
      <c r="W206" s="168"/>
      <c r="Y206" s="217"/>
      <c r="AD206" s="226"/>
      <c r="AE206" s="210"/>
      <c r="AF206" s="210"/>
      <c r="AG206" s="210"/>
      <c r="AI206" s="210"/>
      <c r="AJ206" s="175"/>
      <c r="AK206" s="80"/>
    </row>
    <row r="207" spans="1:43" s="88" customFormat="1" ht="38.25" customHeight="1" x14ac:dyDescent="0.2">
      <c r="A207" s="249"/>
      <c r="B207" s="421"/>
      <c r="C207" s="421"/>
      <c r="D207" s="421"/>
      <c r="E207" s="421"/>
      <c r="F207" s="421"/>
      <c r="G207" s="421"/>
      <c r="H207" s="421"/>
      <c r="I207" s="421"/>
      <c r="J207" s="192"/>
      <c r="K207" s="192"/>
      <c r="L207" s="192"/>
      <c r="M207" s="192"/>
      <c r="N207" s="192"/>
      <c r="O207" s="192"/>
      <c r="P207" s="192"/>
      <c r="Q207" s="151"/>
      <c r="R207" s="192"/>
      <c r="S207" s="192"/>
      <c r="T207" s="192"/>
      <c r="U207" s="134"/>
      <c r="V207" s="152"/>
      <c r="W207" s="168"/>
      <c r="Y207" s="217"/>
      <c r="AD207" s="226"/>
      <c r="AE207" s="210"/>
      <c r="AF207" s="210"/>
      <c r="AG207" s="210"/>
      <c r="AI207" s="210"/>
      <c r="AJ207" s="175"/>
      <c r="AK207" s="80"/>
    </row>
    <row r="208" spans="1:43" s="88" customFormat="1" ht="7.5" customHeight="1" x14ac:dyDescent="0.2">
      <c r="A208" s="135"/>
      <c r="B208" s="18"/>
      <c r="C208" s="18"/>
      <c r="D208" s="17"/>
      <c r="E208" s="17"/>
      <c r="F208" s="17"/>
      <c r="G208" s="17"/>
      <c r="H208" s="17"/>
      <c r="I208" s="17"/>
      <c r="J208" s="13"/>
      <c r="K208" s="19"/>
      <c r="L208" s="19"/>
      <c r="M208" s="19"/>
      <c r="N208" s="19"/>
      <c r="O208" s="19"/>
      <c r="P208" s="19"/>
      <c r="Q208" s="19"/>
      <c r="R208" s="19"/>
      <c r="S208" s="19"/>
      <c r="T208" s="20"/>
      <c r="U208" s="134"/>
      <c r="V208" s="152"/>
      <c r="W208" s="168"/>
      <c r="Y208" s="217"/>
      <c r="AI208" s="210"/>
      <c r="AJ208" s="175"/>
      <c r="AK208" s="80"/>
      <c r="AL208" s="80"/>
      <c r="AM208" s="80"/>
      <c r="AN208" s="80"/>
      <c r="AO208" s="80"/>
      <c r="AP208" s="80"/>
      <c r="AQ208" s="80"/>
    </row>
    <row r="209" spans="1:45" s="88" customFormat="1" ht="15" customHeight="1" x14ac:dyDescent="0.2">
      <c r="A209" s="1010"/>
      <c r="B209" s="1018"/>
      <c r="C209" s="1018"/>
      <c r="D209" s="1018"/>
      <c r="E209" s="1018"/>
      <c r="F209" s="1018"/>
      <c r="G209" s="1018"/>
      <c r="H209" s="1018"/>
      <c r="I209" s="1018"/>
      <c r="J209" s="1018"/>
      <c r="K209" s="1018"/>
      <c r="L209" s="1018"/>
      <c r="M209" s="1018"/>
      <c r="N209" s="1018"/>
      <c r="O209" s="1018"/>
      <c r="P209" s="1018"/>
      <c r="Q209" s="1018"/>
      <c r="R209" s="1018"/>
      <c r="S209" s="1018"/>
      <c r="T209" s="1018"/>
      <c r="U209" s="1019"/>
      <c r="V209" s="152"/>
      <c r="W209" s="168"/>
      <c r="AJ209" s="175"/>
      <c r="AK209" s="80"/>
      <c r="AS209" s="80"/>
    </row>
    <row r="210" spans="1:45" s="88" customFormat="1" ht="11.25" customHeight="1" x14ac:dyDescent="0.2">
      <c r="A210" s="1020" t="str">
        <f>Home!$A$35</f>
        <v>LA's provide quarterly data on the condition that it is used by the benchmarking group for internal reporting only. Please DO NOT share other LA's data with any external partners or the public</v>
      </c>
      <c r="B210" s="1021"/>
      <c r="C210" s="1021"/>
      <c r="D210" s="1021"/>
      <c r="E210" s="1021"/>
      <c r="F210" s="1021"/>
      <c r="G210" s="1021"/>
      <c r="H210" s="1021"/>
      <c r="I210" s="1022"/>
      <c r="J210" s="1021"/>
      <c r="K210" s="1021"/>
      <c r="L210" s="1021"/>
      <c r="M210" s="1021"/>
      <c r="N210" s="1021"/>
      <c r="O210" s="1021"/>
      <c r="P210" s="1021"/>
      <c r="Q210" s="1021"/>
      <c r="R210" s="1021"/>
      <c r="S210" s="1022"/>
      <c r="T210" s="1021"/>
      <c r="U210" s="1023"/>
      <c r="V210" s="152"/>
      <c r="W210" s="168"/>
      <c r="AI210" s="210"/>
      <c r="AJ210" s="175"/>
      <c r="AK210" s="80"/>
      <c r="AS210" s="80"/>
    </row>
    <row r="211" spans="1:45" ht="11.25" customHeight="1" x14ac:dyDescent="0.2">
      <c r="A211" s="157"/>
      <c r="B211" s="130"/>
      <c r="C211" s="130"/>
      <c r="D211" s="130"/>
      <c r="E211" s="130"/>
      <c r="F211" s="130"/>
      <c r="G211" s="130"/>
      <c r="H211" s="130"/>
      <c r="I211" s="130"/>
      <c r="J211" s="131"/>
      <c r="K211" s="130"/>
      <c r="L211" s="130"/>
      <c r="M211" s="130"/>
      <c r="N211" s="130"/>
      <c r="O211" s="130"/>
      <c r="P211" s="130"/>
      <c r="Q211" s="130"/>
      <c r="R211" s="130"/>
      <c r="S211" s="130"/>
      <c r="T211" s="130"/>
      <c r="U211" s="130"/>
      <c r="V211" s="152"/>
      <c r="W211" s="168"/>
      <c r="AE211" s="89"/>
      <c r="AH211" s="210"/>
      <c r="AI211" s="210"/>
      <c r="AJ211" s="175"/>
      <c r="AL211" s="88"/>
      <c r="AM211" s="88"/>
      <c r="AN211" s="88"/>
      <c r="AO211" s="88"/>
      <c r="AP211" s="88"/>
      <c r="AQ211" s="88"/>
    </row>
    <row r="212" spans="1:45" ht="11.25" customHeight="1" x14ac:dyDescent="0.2">
      <c r="A212" s="158"/>
      <c r="B212" s="9"/>
      <c r="C212" s="9"/>
      <c r="D212" s="9"/>
      <c r="E212" s="9"/>
      <c r="F212" s="9"/>
      <c r="G212" s="9"/>
      <c r="H212" s="9"/>
      <c r="I212" s="9"/>
      <c r="J212" s="13"/>
      <c r="K212" s="9"/>
      <c r="L212" s="9"/>
      <c r="M212" s="9"/>
      <c r="N212" s="9"/>
      <c r="O212" s="9"/>
      <c r="P212" s="9"/>
      <c r="Q212" s="9"/>
      <c r="R212" s="9"/>
      <c r="S212" s="9"/>
      <c r="T212" s="9"/>
      <c r="U212" s="9"/>
      <c r="V212" s="152"/>
      <c r="W212" s="168"/>
      <c r="AE212" s="89"/>
      <c r="AH212" s="210"/>
      <c r="AI212" s="210"/>
      <c r="AJ212" s="175"/>
      <c r="AL212" s="88"/>
      <c r="AM212" s="88"/>
      <c r="AN212" s="88"/>
      <c r="AO212" s="88"/>
      <c r="AP212" s="88"/>
      <c r="AQ212" s="88"/>
    </row>
    <row r="213" spans="1:45" ht="11.25" customHeight="1" x14ac:dyDescent="0.2">
      <c r="A213" s="158"/>
      <c r="B213" s="1006" t="s">
        <v>82</v>
      </c>
      <c r="C213" s="411"/>
      <c r="D213" s="15"/>
      <c r="E213" s="15"/>
      <c r="F213" s="9"/>
      <c r="G213" s="9"/>
      <c r="H213" s="9"/>
      <c r="I213" s="9"/>
      <c r="J213" s="13"/>
      <c r="K213" s="9"/>
      <c r="L213" s="9"/>
      <c r="M213" s="9"/>
      <c r="N213" s="9"/>
      <c r="O213" s="9"/>
      <c r="P213" s="9"/>
      <c r="Q213" s="9"/>
      <c r="R213" s="9"/>
      <c r="S213" s="9"/>
      <c r="T213" s="9"/>
      <c r="U213" s="9"/>
      <c r="V213" s="152"/>
      <c r="W213" s="168"/>
      <c r="AE213" s="89"/>
      <c r="AH213" s="210"/>
      <c r="AI213" s="210"/>
      <c r="AJ213" s="175"/>
      <c r="AL213" s="88"/>
      <c r="AM213" s="88"/>
      <c r="AN213" s="88"/>
      <c r="AO213" s="88"/>
      <c r="AP213" s="88"/>
      <c r="AQ213" s="88"/>
    </row>
    <row r="214" spans="1:45" ht="11.25" customHeight="1" x14ac:dyDescent="0.2">
      <c r="A214" s="158"/>
      <c r="B214" s="1007"/>
      <c r="C214" s="410"/>
      <c r="D214" s="9"/>
      <c r="E214" s="9"/>
      <c r="F214" s="9"/>
      <c r="G214" s="9"/>
      <c r="H214" s="9"/>
      <c r="I214" s="9"/>
      <c r="J214" s="13"/>
      <c r="K214" s="9"/>
      <c r="L214" s="9"/>
      <c r="M214" s="9"/>
      <c r="N214" s="9"/>
      <c r="O214" s="9"/>
      <c r="P214" s="9"/>
      <c r="Q214" s="9"/>
      <c r="R214" s="9"/>
      <c r="S214" s="9"/>
      <c r="T214" s="9"/>
      <c r="U214" s="9"/>
      <c r="V214" s="152"/>
      <c r="W214" s="168"/>
      <c r="AE214" s="89"/>
      <c r="AH214" s="210"/>
      <c r="AI214" s="210"/>
      <c r="AJ214" s="175"/>
    </row>
    <row r="215" spans="1:45" ht="11.25" customHeight="1" x14ac:dyDescent="0.2">
      <c r="A215" s="158"/>
      <c r="B215" s="973" t="s">
        <v>81</v>
      </c>
      <c r="C215" s="974"/>
      <c r="D215" s="974"/>
      <c r="E215" s="974"/>
      <c r="F215" s="974"/>
      <c r="G215" s="974"/>
      <c r="H215" s="9"/>
      <c r="I215" s="9"/>
      <c r="J215" s="13"/>
      <c r="K215" s="9"/>
      <c r="L215" s="9"/>
      <c r="M215" s="9"/>
      <c r="N215" s="9"/>
      <c r="O215" s="9"/>
      <c r="P215" s="9"/>
      <c r="Q215" s="9"/>
      <c r="R215" s="9"/>
      <c r="S215" s="9"/>
      <c r="T215" s="9"/>
      <c r="U215" s="9"/>
      <c r="V215" s="152"/>
      <c r="W215" s="168"/>
      <c r="AE215" s="89"/>
      <c r="AH215" s="210"/>
      <c r="AI215" s="210"/>
      <c r="AJ215" s="175"/>
    </row>
    <row r="216" spans="1:45" ht="11.25" customHeight="1" x14ac:dyDescent="0.2">
      <c r="A216" s="158"/>
      <c r="B216" s="973"/>
      <c r="C216" s="974"/>
      <c r="D216" s="974"/>
      <c r="E216" s="974"/>
      <c r="F216" s="974"/>
      <c r="G216" s="974"/>
      <c r="H216" s="9"/>
      <c r="I216" s="9"/>
      <c r="J216" s="13"/>
      <c r="K216" s="9"/>
      <c r="L216" s="9"/>
      <c r="M216" s="9"/>
      <c r="N216" s="9"/>
      <c r="O216" s="9"/>
      <c r="P216" s="9"/>
      <c r="Q216" s="9"/>
      <c r="R216" s="9"/>
      <c r="S216" s="9"/>
      <c r="T216" s="9"/>
      <c r="U216" s="9"/>
      <c r="V216" s="152"/>
      <c r="W216" s="168"/>
      <c r="AE216" s="89"/>
      <c r="AH216" s="215"/>
      <c r="AI216" s="215"/>
      <c r="AJ216" s="175"/>
    </row>
    <row r="217" spans="1:45" s="82" customFormat="1" ht="11.25" customHeight="1" x14ac:dyDescent="0.2">
      <c r="A217" s="158"/>
      <c r="B217" s="973" t="s">
        <v>78</v>
      </c>
      <c r="C217" s="975"/>
      <c r="D217" s="975"/>
      <c r="E217" s="975"/>
      <c r="F217" s="975"/>
      <c r="G217" s="975"/>
      <c r="H217" s="15"/>
      <c r="I217" s="15"/>
      <c r="J217" s="15"/>
      <c r="K217" s="15"/>
      <c r="L217" s="15"/>
      <c r="M217" s="15"/>
      <c r="N217" s="15"/>
      <c r="O217" s="15"/>
      <c r="P217" s="15"/>
      <c r="Q217" s="15"/>
      <c r="R217" s="15"/>
      <c r="S217" s="15"/>
      <c r="T217" s="15"/>
      <c r="U217" s="15"/>
      <c r="V217" s="155"/>
      <c r="W217" s="172"/>
      <c r="X217" s="88"/>
      <c r="Y217" s="88"/>
      <c r="Z217" s="88"/>
      <c r="AA217" s="88"/>
      <c r="AB217" s="88"/>
      <c r="AC217" s="88"/>
      <c r="AD217" s="88"/>
      <c r="AE217" s="89"/>
      <c r="AF217" s="88"/>
      <c r="AG217" s="88"/>
      <c r="AH217" s="210"/>
      <c r="AI217" s="210"/>
      <c r="AJ217" s="175"/>
      <c r="AK217" s="80"/>
    </row>
    <row r="218" spans="1:45" ht="11.25" customHeight="1" x14ac:dyDescent="0.2">
      <c r="A218" s="158"/>
      <c r="B218" s="973"/>
      <c r="C218" s="975"/>
      <c r="D218" s="975"/>
      <c r="E218" s="975"/>
      <c r="F218" s="975"/>
      <c r="G218" s="975"/>
      <c r="H218" s="9"/>
      <c r="I218" s="9"/>
      <c r="J218" s="13"/>
      <c r="K218" s="9"/>
      <c r="L218" s="9"/>
      <c r="M218" s="9"/>
      <c r="N218" s="9"/>
      <c r="O218" s="9"/>
      <c r="P218" s="9"/>
      <c r="Q218" s="9"/>
      <c r="R218" s="9"/>
      <c r="S218" s="9"/>
      <c r="T218" s="9"/>
      <c r="U218" s="9"/>
      <c r="V218" s="152"/>
      <c r="W218" s="168"/>
      <c r="AE218" s="89"/>
      <c r="AH218" s="210"/>
      <c r="AI218" s="210"/>
      <c r="AJ218" s="175"/>
    </row>
    <row r="219" spans="1:45" ht="11.25" customHeight="1" x14ac:dyDescent="0.2">
      <c r="A219" s="158"/>
      <c r="B219" s="976" t="s">
        <v>18</v>
      </c>
      <c r="C219" s="977"/>
      <c r="D219" s="977"/>
      <c r="E219" s="977"/>
      <c r="F219" s="977"/>
      <c r="G219" s="977"/>
      <c r="H219" s="9"/>
      <c r="I219" s="9"/>
      <c r="J219" s="13"/>
      <c r="K219" s="9"/>
      <c r="L219" s="9"/>
      <c r="M219" s="9"/>
      <c r="N219" s="9"/>
      <c r="O219" s="9"/>
      <c r="P219" s="9"/>
      <c r="Q219" s="9"/>
      <c r="R219" s="9"/>
      <c r="S219" s="9"/>
      <c r="T219" s="9"/>
      <c r="U219" s="9"/>
      <c r="V219" s="152"/>
      <c r="W219" s="168"/>
      <c r="AE219" s="89"/>
      <c r="AH219" s="210"/>
      <c r="AI219" s="210"/>
      <c r="AJ219" s="175"/>
    </row>
    <row r="220" spans="1:45" ht="11.25" customHeight="1" x14ac:dyDescent="0.2">
      <c r="A220" s="158"/>
      <c r="B220" s="976"/>
      <c r="C220" s="977"/>
      <c r="D220" s="977"/>
      <c r="E220" s="977"/>
      <c r="F220" s="977"/>
      <c r="G220" s="977"/>
      <c r="H220" s="9"/>
      <c r="I220" s="9"/>
      <c r="J220" s="13"/>
      <c r="K220" s="9"/>
      <c r="L220" s="9"/>
      <c r="M220" s="9"/>
      <c r="N220" s="9"/>
      <c r="O220" s="9"/>
      <c r="P220" s="9"/>
      <c r="Q220" s="9"/>
      <c r="R220" s="9"/>
      <c r="S220" s="9"/>
      <c r="T220" s="9"/>
      <c r="U220" s="9"/>
      <c r="V220" s="152"/>
      <c r="W220" s="168"/>
      <c r="AE220" s="89"/>
      <c r="AH220" s="210"/>
      <c r="AI220" s="210"/>
      <c r="AJ220" s="175"/>
    </row>
    <row r="221" spans="1:45" ht="11.25" customHeight="1" x14ac:dyDescent="0.2">
      <c r="A221" s="158"/>
      <c r="B221" s="976" t="s">
        <v>210</v>
      </c>
      <c r="C221" s="976"/>
      <c r="D221" s="978"/>
      <c r="E221" s="978"/>
      <c r="F221" s="978"/>
      <c r="G221" s="924"/>
      <c r="H221" s="9"/>
      <c r="I221" s="9"/>
      <c r="J221" s="13"/>
      <c r="K221" s="9"/>
      <c r="L221" s="9"/>
      <c r="M221" s="9"/>
      <c r="N221" s="9"/>
      <c r="O221" s="9"/>
      <c r="P221" s="9"/>
      <c r="Q221" s="9"/>
      <c r="R221" s="9"/>
      <c r="S221" s="9"/>
      <c r="T221" s="9"/>
      <c r="U221" s="11"/>
      <c r="V221" s="281"/>
      <c r="W221" s="168"/>
      <c r="Z221" s="80"/>
      <c r="AA221" s="80"/>
      <c r="AE221" s="89"/>
      <c r="AH221" s="210"/>
      <c r="AI221" s="210"/>
      <c r="AJ221" s="175"/>
      <c r="AK221" s="175"/>
    </row>
    <row r="222" spans="1:45" ht="11.25" customHeight="1" x14ac:dyDescent="0.2">
      <c r="A222" s="158"/>
      <c r="B222" s="976"/>
      <c r="C222" s="976"/>
      <c r="D222" s="978"/>
      <c r="E222" s="978"/>
      <c r="F222" s="978"/>
      <c r="G222" s="924"/>
      <c r="H222" s="9"/>
      <c r="I222" s="9"/>
      <c r="J222" s="13"/>
      <c r="K222" s="9"/>
      <c r="L222" s="9"/>
      <c r="M222" s="9"/>
      <c r="N222" s="9"/>
      <c r="O222" s="9"/>
      <c r="P222" s="9"/>
      <c r="Q222" s="9"/>
      <c r="R222" s="9"/>
      <c r="S222" s="9"/>
      <c r="T222" s="9"/>
      <c r="U222" s="11"/>
      <c r="V222" s="281"/>
      <c r="W222" s="168"/>
      <c r="Z222" s="80"/>
      <c r="AA222" s="80"/>
      <c r="AE222" s="89"/>
      <c r="AH222" s="210"/>
      <c r="AI222" s="210"/>
      <c r="AJ222" s="175"/>
      <c r="AK222" s="175"/>
    </row>
    <row r="223" spans="1:45" ht="11.25" customHeight="1" x14ac:dyDescent="0.2">
      <c r="A223" s="158"/>
      <c r="B223" s="976" t="s">
        <v>211</v>
      </c>
      <c r="C223" s="976"/>
      <c r="D223" s="978"/>
      <c r="E223" s="978"/>
      <c r="F223" s="978"/>
      <c r="G223" s="924"/>
      <c r="H223" s="9"/>
      <c r="I223" s="9"/>
      <c r="J223" s="13"/>
      <c r="K223" s="9"/>
      <c r="L223" s="9"/>
      <c r="M223" s="9"/>
      <c r="N223" s="9"/>
      <c r="O223" s="9"/>
      <c r="P223" s="9"/>
      <c r="Q223" s="9"/>
      <c r="R223" s="9"/>
      <c r="S223" s="9"/>
      <c r="T223" s="9"/>
      <c r="U223" s="11"/>
      <c r="V223" s="281"/>
      <c r="W223" s="168"/>
      <c r="Z223" s="80"/>
      <c r="AA223" s="80"/>
      <c r="AE223" s="89"/>
      <c r="AH223" s="210"/>
      <c r="AI223" s="210"/>
      <c r="AJ223" s="175"/>
      <c r="AK223" s="175"/>
    </row>
    <row r="224" spans="1:45" ht="11.25" customHeight="1" x14ac:dyDescent="0.2">
      <c r="A224" s="158"/>
      <c r="B224" s="976"/>
      <c r="C224" s="976"/>
      <c r="D224" s="978"/>
      <c r="E224" s="978"/>
      <c r="F224" s="978"/>
      <c r="G224" s="924"/>
      <c r="H224" s="9"/>
      <c r="I224" s="9"/>
      <c r="J224" s="13"/>
      <c r="K224" s="9"/>
      <c r="L224" s="9"/>
      <c r="M224" s="9"/>
      <c r="N224" s="9"/>
      <c r="O224" s="9"/>
      <c r="P224" s="9"/>
      <c r="Q224" s="9"/>
      <c r="R224" s="9"/>
      <c r="S224" s="9"/>
      <c r="T224" s="9"/>
      <c r="U224" s="11"/>
      <c r="V224" s="281"/>
      <c r="W224" s="168"/>
      <c r="Z224" s="80"/>
      <c r="AA224" s="80"/>
      <c r="AE224" s="89"/>
      <c r="AH224" s="210"/>
      <c r="AI224" s="210"/>
      <c r="AJ224" s="175"/>
      <c r="AK224" s="175"/>
    </row>
    <row r="225" spans="1:37" ht="11.25" customHeight="1" x14ac:dyDescent="0.2">
      <c r="A225" s="158"/>
      <c r="B225" s="976" t="s">
        <v>212</v>
      </c>
      <c r="C225" s="976"/>
      <c r="D225" s="978"/>
      <c r="E225" s="978"/>
      <c r="F225" s="978"/>
      <c r="G225" s="924"/>
      <c r="H225" s="9"/>
      <c r="I225" s="9"/>
      <c r="J225" s="13"/>
      <c r="K225" s="9"/>
      <c r="L225" s="9"/>
      <c r="M225" s="9"/>
      <c r="N225" s="9"/>
      <c r="O225" s="9"/>
      <c r="P225" s="9"/>
      <c r="Q225" s="9"/>
      <c r="R225" s="9"/>
      <c r="S225" s="9"/>
      <c r="T225" s="9"/>
      <c r="U225" s="11"/>
      <c r="V225" s="281"/>
      <c r="W225" s="168"/>
      <c r="Z225" s="80"/>
      <c r="AA225" s="80"/>
      <c r="AE225" s="89"/>
      <c r="AH225" s="210"/>
      <c r="AI225" s="210"/>
      <c r="AJ225" s="175"/>
      <c r="AK225" s="175"/>
    </row>
    <row r="226" spans="1:37" ht="11.25" customHeight="1" x14ac:dyDescent="0.2">
      <c r="A226" s="158"/>
      <c r="B226" s="976"/>
      <c r="C226" s="976"/>
      <c r="D226" s="978"/>
      <c r="E226" s="978"/>
      <c r="F226" s="978"/>
      <c r="G226" s="924"/>
      <c r="H226" s="9"/>
      <c r="I226" s="9"/>
      <c r="J226" s="13"/>
      <c r="K226" s="9"/>
      <c r="L226" s="9"/>
      <c r="M226" s="9"/>
      <c r="N226" s="9"/>
      <c r="O226" s="9"/>
      <c r="P226" s="9"/>
      <c r="Q226" s="9"/>
      <c r="R226" s="9"/>
      <c r="S226" s="9"/>
      <c r="T226" s="9"/>
      <c r="U226" s="11"/>
      <c r="V226" s="281"/>
      <c r="W226" s="168"/>
      <c r="Z226" s="80"/>
      <c r="AA226" s="80"/>
      <c r="AE226" s="89"/>
      <c r="AH226" s="210"/>
      <c r="AI226" s="210"/>
      <c r="AJ226" s="175"/>
      <c r="AK226" s="175"/>
    </row>
    <row r="227" spans="1:37" ht="11.25" customHeight="1" x14ac:dyDescent="0.2">
      <c r="A227" s="158"/>
      <c r="B227" s="973" t="s">
        <v>80</v>
      </c>
      <c r="C227" s="974"/>
      <c r="D227" s="974"/>
      <c r="E227" s="974"/>
      <c r="F227" s="974"/>
      <c r="G227" s="974"/>
      <c r="H227" s="9"/>
      <c r="I227" s="9"/>
      <c r="J227" s="13"/>
      <c r="K227" s="9"/>
      <c r="L227" s="9"/>
      <c r="M227" s="9"/>
      <c r="N227" s="9"/>
      <c r="O227" s="9"/>
      <c r="P227" s="9"/>
      <c r="Q227" s="9"/>
      <c r="R227" s="9"/>
      <c r="S227" s="9"/>
      <c r="T227" s="9"/>
      <c r="U227" s="9"/>
      <c r="V227" s="152"/>
      <c r="W227" s="168"/>
      <c r="AE227" s="89"/>
      <c r="AH227" s="210"/>
      <c r="AI227" s="210"/>
      <c r="AJ227" s="175"/>
    </row>
    <row r="228" spans="1:37" ht="11.25" customHeight="1" x14ac:dyDescent="0.2">
      <c r="A228" s="158"/>
      <c r="B228" s="973"/>
      <c r="C228" s="974"/>
      <c r="D228" s="974"/>
      <c r="E228" s="974"/>
      <c r="F228" s="974"/>
      <c r="G228" s="974"/>
      <c r="H228" s="9"/>
      <c r="I228" s="9"/>
      <c r="J228" s="13"/>
      <c r="K228" s="9"/>
      <c r="L228" s="9"/>
      <c r="M228" s="9"/>
      <c r="N228" s="9"/>
      <c r="O228" s="9"/>
      <c r="P228" s="9"/>
      <c r="Q228" s="9"/>
      <c r="R228" s="9"/>
      <c r="S228" s="9"/>
      <c r="T228" s="9"/>
      <c r="U228" s="9"/>
      <c r="V228" s="152"/>
      <c r="W228" s="168"/>
      <c r="AE228" s="89"/>
      <c r="AH228" s="210"/>
      <c r="AI228" s="210"/>
      <c r="AJ228" s="175"/>
    </row>
    <row r="229" spans="1:37" ht="11.25" customHeight="1" x14ac:dyDescent="0.2">
      <c r="A229" s="158"/>
      <c r="B229" s="973" t="s">
        <v>69</v>
      </c>
      <c r="C229" s="974"/>
      <c r="D229" s="974"/>
      <c r="E229" s="974"/>
      <c r="F229" s="974"/>
      <c r="G229" s="974"/>
      <c r="H229" s="9"/>
      <c r="I229" s="9"/>
      <c r="J229" s="13"/>
      <c r="K229" s="9"/>
      <c r="L229" s="9"/>
      <c r="M229" s="9"/>
      <c r="N229" s="9"/>
      <c r="O229" s="9"/>
      <c r="P229" s="9"/>
      <c r="Q229" s="9"/>
      <c r="R229" s="9"/>
      <c r="S229" s="9"/>
      <c r="T229" s="9"/>
      <c r="U229" s="9"/>
      <c r="V229" s="152"/>
      <c r="W229" s="168"/>
      <c r="AE229" s="89"/>
      <c r="AH229" s="210"/>
      <c r="AI229" s="210"/>
      <c r="AJ229" s="175"/>
    </row>
    <row r="230" spans="1:37" ht="11.25" customHeight="1" x14ac:dyDescent="0.2">
      <c r="A230" s="158"/>
      <c r="B230" s="973"/>
      <c r="C230" s="974"/>
      <c r="D230" s="974"/>
      <c r="E230" s="974"/>
      <c r="F230" s="974"/>
      <c r="G230" s="974"/>
      <c r="H230" s="9"/>
      <c r="I230" s="9"/>
      <c r="J230" s="13"/>
      <c r="K230" s="9"/>
      <c r="L230" s="9"/>
      <c r="M230" s="9"/>
      <c r="N230" s="9"/>
      <c r="O230" s="9"/>
      <c r="P230" s="9"/>
      <c r="Q230" s="9"/>
      <c r="R230" s="9"/>
      <c r="S230" s="9"/>
      <c r="T230" s="9"/>
      <c r="U230" s="9"/>
      <c r="V230" s="152"/>
      <c r="W230" s="168"/>
      <c r="AE230" s="89"/>
      <c r="AH230" s="210"/>
      <c r="AI230" s="210"/>
      <c r="AJ230" s="175"/>
    </row>
    <row r="231" spans="1:37" ht="11.25" customHeight="1" x14ac:dyDescent="0.2">
      <c r="A231" s="158"/>
      <c r="B231" s="973" t="s">
        <v>25</v>
      </c>
      <c r="C231" s="974"/>
      <c r="D231" s="974"/>
      <c r="E231" s="974"/>
      <c r="F231" s="974"/>
      <c r="G231" s="974"/>
      <c r="H231" s="9"/>
      <c r="I231" s="9"/>
      <c r="J231" s="13"/>
      <c r="K231" s="9"/>
      <c r="L231" s="9"/>
      <c r="M231" s="9"/>
      <c r="N231" s="9"/>
      <c r="O231" s="9"/>
      <c r="P231" s="9"/>
      <c r="Q231" s="9"/>
      <c r="R231" s="9"/>
      <c r="S231" s="9"/>
      <c r="T231" s="9"/>
      <c r="U231" s="9"/>
      <c r="V231" s="152"/>
      <c r="W231" s="168"/>
      <c r="AE231" s="89"/>
      <c r="AH231" s="210"/>
      <c r="AI231" s="210"/>
      <c r="AJ231" s="175"/>
    </row>
    <row r="232" spans="1:37" ht="11.25" customHeight="1" x14ac:dyDescent="0.2">
      <c r="A232" s="158"/>
      <c r="B232" s="973"/>
      <c r="C232" s="974"/>
      <c r="D232" s="974"/>
      <c r="E232" s="974"/>
      <c r="F232" s="974"/>
      <c r="G232" s="974"/>
      <c r="H232" s="9"/>
      <c r="I232" s="9"/>
      <c r="J232" s="13"/>
      <c r="K232" s="9"/>
      <c r="L232" s="9"/>
      <c r="M232" s="9"/>
      <c r="N232" s="9"/>
      <c r="O232" s="9"/>
      <c r="P232" s="9"/>
      <c r="Q232" s="9"/>
      <c r="R232" s="9"/>
      <c r="S232" s="9"/>
      <c r="T232" s="9"/>
      <c r="U232" s="9"/>
      <c r="V232" s="152"/>
      <c r="W232" s="168"/>
      <c r="AE232" s="89"/>
      <c r="AH232" s="210"/>
      <c r="AI232" s="210"/>
      <c r="AJ232" s="175"/>
    </row>
    <row r="233" spans="1:37" ht="11.25" customHeight="1" x14ac:dyDescent="0.2">
      <c r="A233" s="158"/>
      <c r="B233" s="973" t="s">
        <v>23</v>
      </c>
      <c r="C233" s="974"/>
      <c r="D233" s="974"/>
      <c r="E233" s="974"/>
      <c r="F233" s="974"/>
      <c r="G233" s="974"/>
      <c r="H233" s="9"/>
      <c r="I233" s="9"/>
      <c r="J233" s="13"/>
      <c r="K233" s="9"/>
      <c r="L233" s="9"/>
      <c r="M233" s="9"/>
      <c r="N233" s="9"/>
      <c r="O233" s="9"/>
      <c r="P233" s="9"/>
      <c r="Q233" s="9"/>
      <c r="R233" s="9"/>
      <c r="S233" s="9"/>
      <c r="T233" s="9"/>
      <c r="U233" s="9"/>
      <c r="V233" s="152"/>
      <c r="W233" s="168"/>
      <c r="AE233" s="89"/>
      <c r="AH233" s="210"/>
      <c r="AI233" s="210"/>
      <c r="AJ233" s="175"/>
    </row>
    <row r="234" spans="1:37" ht="11.25" customHeight="1" x14ac:dyDescent="0.2">
      <c r="A234" s="158"/>
      <c r="B234" s="973"/>
      <c r="C234" s="974"/>
      <c r="D234" s="974"/>
      <c r="E234" s="974"/>
      <c r="F234" s="974"/>
      <c r="G234" s="974"/>
      <c r="H234" s="9"/>
      <c r="I234" s="9"/>
      <c r="J234" s="13"/>
      <c r="K234" s="9"/>
      <c r="L234" s="9"/>
      <c r="M234" s="9"/>
      <c r="N234" s="9"/>
      <c r="O234" s="9"/>
      <c r="P234" s="9"/>
      <c r="Q234" s="9"/>
      <c r="R234" s="9"/>
      <c r="S234" s="9"/>
      <c r="T234" s="9"/>
      <c r="U234" s="9"/>
      <c r="V234" s="152"/>
      <c r="W234" s="168"/>
      <c r="AE234" s="89"/>
      <c r="AH234" s="210"/>
      <c r="AI234" s="210"/>
      <c r="AJ234" s="175"/>
    </row>
    <row r="235" spans="1:37" ht="11.25" customHeight="1" x14ac:dyDescent="0.2">
      <c r="A235" s="158"/>
      <c r="B235" s="973" t="s">
        <v>26</v>
      </c>
      <c r="C235" s="974"/>
      <c r="D235" s="974"/>
      <c r="E235" s="974"/>
      <c r="F235" s="974"/>
      <c r="G235" s="974"/>
      <c r="H235" s="9"/>
      <c r="I235" s="9"/>
      <c r="J235" s="13"/>
      <c r="K235" s="9"/>
      <c r="L235" s="9"/>
      <c r="M235" s="9"/>
      <c r="N235" s="9"/>
      <c r="O235" s="9"/>
      <c r="P235" s="9"/>
      <c r="Q235" s="9"/>
      <c r="R235" s="9"/>
      <c r="S235" s="9"/>
      <c r="T235" s="9"/>
      <c r="U235" s="9"/>
      <c r="V235" s="152"/>
      <c r="W235" s="168"/>
      <c r="AE235" s="89"/>
      <c r="AH235" s="210"/>
      <c r="AI235" s="210"/>
      <c r="AJ235" s="175"/>
    </row>
    <row r="236" spans="1:37" ht="11.25" customHeight="1" x14ac:dyDescent="0.2">
      <c r="A236" s="158"/>
      <c r="B236" s="973"/>
      <c r="C236" s="974"/>
      <c r="D236" s="974"/>
      <c r="E236" s="974"/>
      <c r="F236" s="974"/>
      <c r="G236" s="974"/>
      <c r="H236" s="9"/>
      <c r="I236" s="9"/>
      <c r="J236" s="13"/>
      <c r="K236" s="9"/>
      <c r="L236" s="9"/>
      <c r="M236" s="9"/>
      <c r="N236" s="9"/>
      <c r="O236" s="9"/>
      <c r="P236" s="9"/>
      <c r="Q236" s="9"/>
      <c r="R236" s="9"/>
      <c r="S236" s="9"/>
      <c r="T236" s="9"/>
      <c r="U236" s="9"/>
      <c r="V236" s="152"/>
      <c r="W236" s="168"/>
      <c r="AE236" s="89"/>
      <c r="AH236" s="210"/>
      <c r="AI236" s="210"/>
      <c r="AJ236" s="175"/>
    </row>
    <row r="237" spans="1:37" ht="11.25" customHeight="1" x14ac:dyDescent="0.2">
      <c r="A237" s="158"/>
      <c r="B237" s="973" t="s">
        <v>19</v>
      </c>
      <c r="C237" s="974"/>
      <c r="D237" s="974"/>
      <c r="E237" s="974"/>
      <c r="F237" s="974"/>
      <c r="G237" s="974"/>
      <c r="H237" s="9"/>
      <c r="I237" s="9"/>
      <c r="J237" s="13"/>
      <c r="K237" s="9"/>
      <c r="L237" s="9"/>
      <c r="M237" s="9"/>
      <c r="N237" s="9"/>
      <c r="O237" s="9"/>
      <c r="P237" s="9"/>
      <c r="Q237" s="9"/>
      <c r="R237" s="9"/>
      <c r="S237" s="9"/>
      <c r="T237" s="9"/>
      <c r="U237" s="9"/>
      <c r="V237" s="152"/>
      <c r="W237" s="168"/>
      <c r="AE237" s="89"/>
      <c r="AH237" s="210"/>
      <c r="AI237" s="210"/>
      <c r="AJ237" s="175"/>
    </row>
    <row r="238" spans="1:37" ht="11.25" customHeight="1" x14ac:dyDescent="0.2">
      <c r="A238" s="158"/>
      <c r="B238" s="973"/>
      <c r="C238" s="974"/>
      <c r="D238" s="974"/>
      <c r="E238" s="974"/>
      <c r="F238" s="974"/>
      <c r="G238" s="974"/>
      <c r="H238" s="9"/>
      <c r="I238" s="9"/>
      <c r="J238" s="13"/>
      <c r="K238" s="9"/>
      <c r="L238" s="9"/>
      <c r="M238" s="9"/>
      <c r="N238" s="9"/>
      <c r="O238" s="9"/>
      <c r="P238" s="9"/>
      <c r="Q238" s="9"/>
      <c r="R238" s="9"/>
      <c r="S238" s="9"/>
      <c r="T238" s="9"/>
      <c r="U238" s="9"/>
      <c r="V238" s="152"/>
      <c r="W238" s="168"/>
      <c r="AE238" s="89"/>
      <c r="AH238" s="210"/>
      <c r="AI238" s="210"/>
      <c r="AJ238" s="175"/>
    </row>
    <row r="239" spans="1:37" ht="11.25" customHeight="1" x14ac:dyDescent="0.2">
      <c r="A239" s="158"/>
      <c r="B239" s="973" t="s">
        <v>20</v>
      </c>
      <c r="C239" s="930"/>
      <c r="D239" s="930"/>
      <c r="E239" s="930"/>
      <c r="F239" s="930"/>
      <c r="G239" s="930"/>
      <c r="H239" s="930"/>
      <c r="I239" s="9"/>
      <c r="J239" s="13"/>
      <c r="K239" s="9"/>
      <c r="L239" s="9"/>
      <c r="M239" s="9"/>
      <c r="N239" s="9"/>
      <c r="O239" s="9"/>
      <c r="P239" s="9"/>
      <c r="Q239" s="9"/>
      <c r="R239" s="9"/>
      <c r="S239" s="9"/>
      <c r="T239" s="9"/>
      <c r="U239" s="9"/>
      <c r="V239" s="152"/>
      <c r="W239" s="168"/>
      <c r="AE239" s="89"/>
      <c r="AH239" s="210"/>
      <c r="AI239" s="210"/>
      <c r="AJ239" s="175"/>
    </row>
    <row r="240" spans="1:37" ht="11.25" customHeight="1" x14ac:dyDescent="0.2">
      <c r="A240" s="158"/>
      <c r="B240" s="930"/>
      <c r="C240" s="930"/>
      <c r="D240" s="930"/>
      <c r="E240" s="930"/>
      <c r="F240" s="930"/>
      <c r="G240" s="930"/>
      <c r="H240" s="930"/>
      <c r="I240" s="9"/>
      <c r="J240" s="13"/>
      <c r="K240" s="9"/>
      <c r="L240" s="9"/>
      <c r="M240" s="9"/>
      <c r="N240" s="9"/>
      <c r="O240" s="9"/>
      <c r="P240" s="9"/>
      <c r="Q240" s="9"/>
      <c r="R240" s="9"/>
      <c r="S240" s="9"/>
      <c r="T240" s="9"/>
      <c r="U240" s="9"/>
      <c r="V240" s="152"/>
      <c r="W240" s="168"/>
      <c r="AE240" s="89"/>
      <c r="AH240" s="210"/>
      <c r="AI240" s="210"/>
      <c r="AJ240" s="175"/>
    </row>
    <row r="241" spans="1:45" ht="11.25" customHeight="1" x14ac:dyDescent="0.2">
      <c r="A241" s="158"/>
      <c r="B241" s="973" t="s">
        <v>21</v>
      </c>
      <c r="C241" s="974"/>
      <c r="D241" s="974"/>
      <c r="E241" s="974"/>
      <c r="F241" s="974"/>
      <c r="G241" s="974"/>
      <c r="H241" s="9"/>
      <c r="I241" s="9"/>
      <c r="J241" s="13"/>
      <c r="K241" s="9"/>
      <c r="L241" s="9"/>
      <c r="M241" s="9"/>
      <c r="N241" s="9"/>
      <c r="O241" s="9"/>
      <c r="P241" s="9"/>
      <c r="Q241" s="9"/>
      <c r="R241" s="9"/>
      <c r="S241" s="9"/>
      <c r="T241" s="9"/>
      <c r="U241" s="9"/>
      <c r="V241" s="152"/>
      <c r="W241" s="168"/>
      <c r="AE241" s="89"/>
      <c r="AH241" s="210"/>
      <c r="AI241" s="210"/>
      <c r="AJ241" s="175"/>
    </row>
    <row r="242" spans="1:45" ht="11.25" customHeight="1" x14ac:dyDescent="0.2">
      <c r="A242" s="158"/>
      <c r="B242" s="973"/>
      <c r="C242" s="974"/>
      <c r="D242" s="974"/>
      <c r="E242" s="974"/>
      <c r="F242" s="974"/>
      <c r="G242" s="974"/>
      <c r="H242" s="9"/>
      <c r="I242" s="9"/>
      <c r="J242" s="13"/>
      <c r="K242" s="9"/>
      <c r="L242" s="9"/>
      <c r="M242" s="9"/>
      <c r="N242" s="9"/>
      <c r="O242" s="9"/>
      <c r="P242" s="9"/>
      <c r="Q242" s="9"/>
      <c r="R242" s="9"/>
      <c r="S242" s="9"/>
      <c r="T242" s="9"/>
      <c r="U242" s="9"/>
      <c r="V242" s="152"/>
      <c r="W242" s="168"/>
      <c r="AE242" s="89"/>
      <c r="AH242" s="210"/>
      <c r="AI242" s="210"/>
      <c r="AJ242" s="175"/>
    </row>
    <row r="243" spans="1:45" ht="11.25" customHeight="1" x14ac:dyDescent="0.2">
      <c r="A243" s="158"/>
      <c r="B243" s="973" t="s">
        <v>27</v>
      </c>
      <c r="C243" s="974"/>
      <c r="D243" s="974"/>
      <c r="E243" s="974"/>
      <c r="F243" s="974"/>
      <c r="G243" s="974"/>
      <c r="H243" s="9"/>
      <c r="I243" s="9"/>
      <c r="J243" s="13"/>
      <c r="K243" s="9"/>
      <c r="L243" s="9"/>
      <c r="M243" s="9"/>
      <c r="N243" s="9"/>
      <c r="O243" s="9"/>
      <c r="P243" s="9"/>
      <c r="Q243" s="9"/>
      <c r="R243" s="9"/>
      <c r="S243" s="9"/>
      <c r="T243" s="9"/>
      <c r="U243" s="9"/>
      <c r="V243" s="152"/>
      <c r="W243" s="168"/>
      <c r="AE243" s="89"/>
      <c r="AH243" s="210"/>
      <c r="AI243" s="210"/>
      <c r="AJ243" s="175"/>
    </row>
    <row r="244" spans="1:45" ht="11.25" customHeight="1" x14ac:dyDescent="0.2">
      <c r="A244" s="158"/>
      <c r="B244" s="973"/>
      <c r="C244" s="974"/>
      <c r="D244" s="974"/>
      <c r="E244" s="974"/>
      <c r="F244" s="974"/>
      <c r="G244" s="974"/>
      <c r="H244" s="9"/>
      <c r="I244" s="9"/>
      <c r="J244" s="13"/>
      <c r="K244" s="9"/>
      <c r="L244" s="9"/>
      <c r="M244" s="9"/>
      <c r="N244" s="9"/>
      <c r="O244" s="9"/>
      <c r="P244" s="9"/>
      <c r="Q244" s="9"/>
      <c r="R244" s="9"/>
      <c r="S244" s="9"/>
      <c r="T244" s="9"/>
      <c r="U244" s="9"/>
      <c r="V244" s="152"/>
      <c r="W244" s="168"/>
      <c r="AE244" s="89"/>
      <c r="AH244" s="210"/>
      <c r="AI244" s="210"/>
      <c r="AJ244" s="175"/>
    </row>
    <row r="245" spans="1:45" ht="11.25" customHeight="1" x14ac:dyDescent="0.2">
      <c r="A245" s="158"/>
      <c r="B245" s="973" t="s">
        <v>22</v>
      </c>
      <c r="C245" s="974"/>
      <c r="D245" s="974"/>
      <c r="E245" s="974"/>
      <c r="F245" s="974"/>
      <c r="G245" s="974"/>
      <c r="H245" s="9"/>
      <c r="I245" s="9"/>
      <c r="J245" s="13"/>
      <c r="K245" s="9"/>
      <c r="L245" s="9"/>
      <c r="M245" s="9"/>
      <c r="N245" s="9"/>
      <c r="O245" s="9"/>
      <c r="P245" s="9"/>
      <c r="Q245" s="9"/>
      <c r="R245" s="9"/>
      <c r="S245" s="9"/>
      <c r="T245" s="9"/>
      <c r="U245" s="9"/>
      <c r="V245" s="152"/>
      <c r="W245" s="168"/>
      <c r="AE245" s="89"/>
      <c r="AH245" s="210"/>
      <c r="AI245" s="210"/>
      <c r="AJ245" s="175"/>
    </row>
    <row r="246" spans="1:45" ht="11.25" customHeight="1" x14ac:dyDescent="0.2">
      <c r="A246" s="158"/>
      <c r="B246" s="973"/>
      <c r="C246" s="974"/>
      <c r="D246" s="974"/>
      <c r="E246" s="974"/>
      <c r="F246" s="974"/>
      <c r="G246" s="974"/>
      <c r="H246" s="9"/>
      <c r="I246" s="9"/>
      <c r="J246" s="13"/>
      <c r="K246" s="9"/>
      <c r="L246" s="9"/>
      <c r="M246" s="9"/>
      <c r="N246" s="9"/>
      <c r="O246" s="9"/>
      <c r="P246" s="9"/>
      <c r="Q246" s="9"/>
      <c r="R246" s="9"/>
      <c r="S246" s="9"/>
      <c r="T246" s="9"/>
      <c r="U246" s="9"/>
      <c r="V246" s="152"/>
      <c r="W246" s="168"/>
      <c r="AE246" s="89"/>
      <c r="AH246" s="210"/>
      <c r="AI246" s="210"/>
      <c r="AJ246" s="175"/>
    </row>
    <row r="247" spans="1:45" ht="11.25" customHeight="1" x14ac:dyDescent="0.2">
      <c r="A247" s="158"/>
      <c r="B247" s="973" t="s">
        <v>874</v>
      </c>
      <c r="C247" s="975"/>
      <c r="D247" s="975"/>
      <c r="E247" s="975"/>
      <c r="F247" s="975"/>
      <c r="G247" s="975"/>
      <c r="H247" s="9"/>
      <c r="I247" s="9"/>
      <c r="J247" s="13"/>
      <c r="K247" s="9"/>
      <c r="L247" s="9"/>
      <c r="M247" s="9"/>
      <c r="N247" s="9"/>
      <c r="O247" s="9"/>
      <c r="P247" s="9"/>
      <c r="Q247" s="9"/>
      <c r="R247" s="9"/>
      <c r="S247" s="9"/>
      <c r="T247" s="9"/>
      <c r="U247" s="9"/>
      <c r="V247" s="152"/>
      <c r="W247" s="168"/>
      <c r="AE247" s="89"/>
      <c r="AH247" s="210"/>
      <c r="AI247" s="210"/>
      <c r="AJ247" s="175"/>
    </row>
    <row r="248" spans="1:45" ht="11.25" customHeight="1" x14ac:dyDescent="0.2">
      <c r="A248" s="158"/>
      <c r="B248" s="973"/>
      <c r="C248" s="975"/>
      <c r="D248" s="975"/>
      <c r="E248" s="975"/>
      <c r="F248" s="975"/>
      <c r="G248" s="975"/>
      <c r="H248" s="9"/>
      <c r="I248" s="9"/>
      <c r="J248" s="13"/>
      <c r="K248" s="9"/>
      <c r="L248" s="9"/>
      <c r="M248" s="9"/>
      <c r="N248" s="9"/>
      <c r="O248" s="9"/>
      <c r="P248" s="9"/>
      <c r="Q248" s="9"/>
      <c r="R248" s="9"/>
      <c r="S248" s="9"/>
      <c r="T248" s="9"/>
      <c r="U248" s="9"/>
      <c r="V248" s="152"/>
      <c r="W248" s="168"/>
      <c r="AE248" s="89"/>
      <c r="AH248" s="210"/>
      <c r="AI248" s="210"/>
      <c r="AJ248" s="175"/>
    </row>
    <row r="249" spans="1:45" ht="11.25" customHeight="1" x14ac:dyDescent="0.2">
      <c r="A249" s="158"/>
      <c r="B249" s="973"/>
      <c r="C249" s="973"/>
      <c r="D249" s="973"/>
      <c r="E249" s="973"/>
      <c r="F249" s="975"/>
      <c r="G249" s="975"/>
      <c r="H249" s="975"/>
      <c r="I249" s="9"/>
      <c r="J249" s="13"/>
      <c r="K249" s="9"/>
      <c r="L249" s="9"/>
      <c r="M249" s="9"/>
      <c r="N249" s="9"/>
      <c r="O249" s="9"/>
      <c r="P249" s="9"/>
      <c r="Q249" s="9"/>
      <c r="R249" s="9"/>
      <c r="S249" s="9"/>
      <c r="T249" s="9"/>
      <c r="U249" s="9"/>
      <c r="V249" s="152"/>
      <c r="W249" s="168"/>
      <c r="AE249" s="89"/>
      <c r="AH249" s="210"/>
      <c r="AI249" s="210"/>
      <c r="AJ249" s="175"/>
    </row>
    <row r="250" spans="1:45" ht="11.25" customHeight="1" x14ac:dyDescent="0.2">
      <c r="A250" s="158"/>
      <c r="B250" s="973"/>
      <c r="C250" s="973"/>
      <c r="D250" s="973"/>
      <c r="E250" s="973"/>
      <c r="F250" s="975"/>
      <c r="G250" s="975"/>
      <c r="H250" s="975"/>
      <c r="I250" s="9"/>
      <c r="J250" s="13"/>
      <c r="K250" s="9"/>
      <c r="L250" s="9"/>
      <c r="M250" s="9"/>
      <c r="N250" s="9"/>
      <c r="O250" s="9"/>
      <c r="P250" s="9"/>
      <c r="Q250" s="9"/>
      <c r="R250" s="9"/>
      <c r="S250" s="9"/>
      <c r="T250" s="9"/>
      <c r="U250" s="9"/>
      <c r="V250" s="152"/>
      <c r="W250" s="168"/>
      <c r="AE250" s="89"/>
      <c r="AH250" s="210"/>
      <c r="AI250" s="210"/>
      <c r="AJ250" s="175"/>
    </row>
    <row r="251" spans="1:45" ht="18.75" customHeight="1" x14ac:dyDescent="0.2">
      <c r="A251" s="159"/>
      <c r="B251" s="160"/>
      <c r="C251" s="160"/>
      <c r="D251" s="160"/>
      <c r="E251" s="160"/>
      <c r="F251" s="160"/>
      <c r="G251" s="160"/>
      <c r="H251" s="160"/>
      <c r="I251" s="160"/>
      <c r="J251" s="161"/>
      <c r="K251" s="160"/>
      <c r="L251" s="160"/>
      <c r="M251" s="160"/>
      <c r="N251" s="160"/>
      <c r="O251" s="160"/>
      <c r="P251" s="160"/>
      <c r="Q251" s="160"/>
      <c r="R251" s="160"/>
      <c r="S251" s="160"/>
      <c r="T251" s="160"/>
      <c r="U251" s="160"/>
      <c r="V251" s="156"/>
      <c r="W251" s="180"/>
      <c r="X251" s="227"/>
      <c r="Y251" s="227"/>
      <c r="Z251" s="227"/>
      <c r="AA251" s="227"/>
      <c r="AB251" s="227"/>
      <c r="AC251" s="227"/>
      <c r="AD251" s="227"/>
      <c r="AE251" s="227"/>
      <c r="AF251" s="227"/>
      <c r="AG251" s="227"/>
      <c r="AH251" s="227"/>
      <c r="AI251" s="648"/>
      <c r="AJ251" s="94"/>
    </row>
    <row r="252" spans="1:45" s="87" customFormat="1" ht="11.25" customHeight="1" x14ac:dyDescent="0.2">
      <c r="A252" s="80"/>
      <c r="B252" s="80"/>
      <c r="C252" s="80"/>
      <c r="D252" s="80"/>
      <c r="E252" s="80"/>
      <c r="F252" s="80"/>
      <c r="G252" s="80"/>
      <c r="H252" s="80"/>
      <c r="I252" s="80"/>
      <c r="J252" s="106"/>
      <c r="K252" s="80"/>
      <c r="L252" s="80"/>
      <c r="M252" s="80"/>
      <c r="N252" s="80"/>
      <c r="O252" s="80"/>
      <c r="P252" s="80"/>
      <c r="Q252" s="80"/>
      <c r="R252" s="80"/>
      <c r="S252" s="80"/>
      <c r="T252" s="80"/>
      <c r="U252" s="80"/>
      <c r="V252" s="181"/>
      <c r="X252" s="88"/>
      <c r="Y252" s="88"/>
      <c r="Z252" s="88"/>
      <c r="AA252" s="88"/>
      <c r="AB252" s="88"/>
      <c r="AC252" s="88"/>
      <c r="AD252" s="88"/>
      <c r="AE252" s="88"/>
      <c r="AF252" s="88"/>
      <c r="AG252" s="88"/>
      <c r="AH252" s="88"/>
      <c r="AI252" s="80"/>
      <c r="AJ252" s="80"/>
      <c r="AK252" s="80"/>
      <c r="AL252" s="80"/>
      <c r="AM252" s="80"/>
      <c r="AN252" s="80"/>
      <c r="AO252" s="80"/>
      <c r="AP252" s="80"/>
      <c r="AQ252" s="80"/>
      <c r="AR252" s="80"/>
      <c r="AS252" s="80"/>
    </row>
    <row r="378" spans="37:37" ht="11.25" customHeight="1" x14ac:dyDescent="0.2">
      <c r="AK378" s="80" t="b">
        <v>1</v>
      </c>
    </row>
  </sheetData>
  <mergeCells count="49">
    <mergeCell ref="B243:G244"/>
    <mergeCell ref="B245:G246"/>
    <mergeCell ref="B247:G248"/>
    <mergeCell ref="B249:H250"/>
    <mergeCell ref="B233:G234"/>
    <mergeCell ref="B235:G236"/>
    <mergeCell ref="B237:G238"/>
    <mergeCell ref="B239:H240"/>
    <mergeCell ref="B241:G242"/>
    <mergeCell ref="B217:G218"/>
    <mergeCell ref="B219:G220"/>
    <mergeCell ref="B227:G228"/>
    <mergeCell ref="B229:G230"/>
    <mergeCell ref="B231:G232"/>
    <mergeCell ref="B221:F222"/>
    <mergeCell ref="B223:F224"/>
    <mergeCell ref="B225:F226"/>
    <mergeCell ref="AB39:AB40"/>
    <mergeCell ref="M63:O63"/>
    <mergeCell ref="Q63:T63"/>
    <mergeCell ref="B5:T6"/>
    <mergeCell ref="D7:H7"/>
    <mergeCell ref="I7:I8"/>
    <mergeCell ref="K7:O7"/>
    <mergeCell ref="P7:P8"/>
    <mergeCell ref="R7:T7"/>
    <mergeCell ref="B7:B8"/>
    <mergeCell ref="B107:I108"/>
    <mergeCell ref="B34:T34"/>
    <mergeCell ref="A36:U36"/>
    <mergeCell ref="A37:U37"/>
    <mergeCell ref="AA39:AA40"/>
    <mergeCell ref="A69:U69"/>
    <mergeCell ref="A70:U70"/>
    <mergeCell ref="A104:U104"/>
    <mergeCell ref="A105:U105"/>
    <mergeCell ref="S64:T64"/>
    <mergeCell ref="Q64:R64"/>
    <mergeCell ref="M64:P64"/>
    <mergeCell ref="B215:G216"/>
    <mergeCell ref="A139:U139"/>
    <mergeCell ref="A140:U140"/>
    <mergeCell ref="B142:I143"/>
    <mergeCell ref="A174:U174"/>
    <mergeCell ref="A175:U175"/>
    <mergeCell ref="B213:B214"/>
    <mergeCell ref="B177:I178"/>
    <mergeCell ref="A209:U209"/>
    <mergeCell ref="A210:U210"/>
  </mergeCells>
  <conditionalFormatting sqref="X69:AB69 Z8:AD8">
    <cfRule type="cellIs" dxfId="117" priority="42" stopIfTrue="1" operator="equal">
      <formula>0</formula>
    </cfRule>
  </conditionalFormatting>
  <conditionalFormatting sqref="B9:B30 K9:P30 B50:C65 D9:H30 B145:B166 D145:H166 B180:B201">
    <cfRule type="expression" dxfId="116" priority="43">
      <formula>$B9=$Y$4</formula>
    </cfRule>
    <cfRule type="containsErrors" dxfId="115" priority="44">
      <formula>ISERROR(B9)</formula>
    </cfRule>
  </conditionalFormatting>
  <conditionalFormatting sqref="B110:B131">
    <cfRule type="expression" dxfId="114" priority="36">
      <formula>$B110=$Y$4</formula>
    </cfRule>
    <cfRule type="containsErrors" dxfId="113" priority="37">
      <formula>ISERROR(B110)</formula>
    </cfRule>
  </conditionalFormatting>
  <conditionalFormatting sqref="D110:H131">
    <cfRule type="expression" dxfId="112" priority="30">
      <formula>$B110=$Y$4</formula>
    </cfRule>
    <cfRule type="containsErrors" dxfId="111" priority="31">
      <formula>ISERROR(D110)</formula>
    </cfRule>
  </conditionalFormatting>
  <conditionalFormatting sqref="R9:T30 D180:H201">
    <cfRule type="expression" dxfId="110" priority="28">
      <formula>$B9=$Y$4</formula>
    </cfRule>
  </conditionalFormatting>
  <conditionalFormatting sqref="D180:H201 R8:T30">
    <cfRule type="containsErrors" dxfId="109" priority="29">
      <formula>ISERROR(D8)</formula>
    </cfRule>
  </conditionalFormatting>
  <conditionalFormatting sqref="A9:A30">
    <cfRule type="cellIs" dxfId="108" priority="25" operator="equal">
      <formula>0</formula>
    </cfRule>
  </conditionalFormatting>
  <conditionalFormatting sqref="A110:A131">
    <cfRule type="cellIs" dxfId="107" priority="24" operator="equal">
      <formula>0</formula>
    </cfRule>
  </conditionalFormatting>
  <conditionalFormatting sqref="A145:A166">
    <cfRule type="cellIs" dxfId="106" priority="23" operator="equal">
      <formula>0</formula>
    </cfRule>
  </conditionalFormatting>
  <conditionalFormatting sqref="A180:A201">
    <cfRule type="cellIs" dxfId="105" priority="21" operator="equal">
      <formula>0</formula>
    </cfRule>
  </conditionalFormatting>
  <conditionalFormatting sqref="A1:A36 A38:A69 A71:A104 A106:A139 A141:A174 A176:A209 A211:A1048576">
    <cfRule type="containsErrors" dxfId="104" priority="20">
      <formula>ISERROR(A1)</formula>
    </cfRule>
  </conditionalFormatting>
  <conditionalFormatting sqref="AF9:AG27">
    <cfRule type="containsErrors" dxfId="103" priority="19">
      <formula>ISERROR(AF9)</formula>
    </cfRule>
  </conditionalFormatting>
  <conditionalFormatting sqref="AF9:AG20 AG10:AG27">
    <cfRule type="expression" dxfId="102" priority="18">
      <formula>$B9=$W$4</formula>
    </cfRule>
  </conditionalFormatting>
  <conditionalFormatting sqref="I9:I30">
    <cfRule type="containsErrors" dxfId="101" priority="17">
      <formula>ISERROR(I9)</formula>
    </cfRule>
  </conditionalFormatting>
  <conditionalFormatting sqref="I9:I30">
    <cfRule type="expression" dxfId="100" priority="16">
      <formula>$B9=$Y$4</formula>
    </cfRule>
  </conditionalFormatting>
  <conditionalFormatting sqref="A37">
    <cfRule type="cellIs" dxfId="99" priority="13" operator="equal">
      <formula>0</formula>
    </cfRule>
    <cfRule type="containsErrors" dxfId="98" priority="14">
      <formula>ISERROR(A37)</formula>
    </cfRule>
  </conditionalFormatting>
  <conditionalFormatting sqref="A70">
    <cfRule type="cellIs" dxfId="97" priority="11" operator="equal">
      <formula>0</formula>
    </cfRule>
    <cfRule type="containsErrors" dxfId="96" priority="12">
      <formula>ISERROR(A70)</formula>
    </cfRule>
  </conditionalFormatting>
  <conditionalFormatting sqref="A105">
    <cfRule type="cellIs" dxfId="95" priority="9" operator="equal">
      <formula>0</formula>
    </cfRule>
    <cfRule type="containsErrors" dxfId="94" priority="10">
      <formula>ISERROR(A105)</formula>
    </cfRule>
  </conditionalFormatting>
  <conditionalFormatting sqref="A140">
    <cfRule type="cellIs" dxfId="93" priority="7" operator="equal">
      <formula>0</formula>
    </cfRule>
    <cfRule type="containsErrors" dxfId="92" priority="8">
      <formula>ISERROR(A140)</formula>
    </cfRule>
  </conditionalFormatting>
  <conditionalFormatting sqref="A175">
    <cfRule type="cellIs" dxfId="91" priority="5" operator="equal">
      <formula>0</formula>
    </cfRule>
    <cfRule type="containsErrors" dxfId="90" priority="6">
      <formula>ISERROR(A175)</formula>
    </cfRule>
  </conditionalFormatting>
  <conditionalFormatting sqref="A210">
    <cfRule type="cellIs" dxfId="89" priority="1" operator="equal">
      <formula>0</formula>
    </cfRule>
    <cfRule type="containsErrors" dxfId="88" priority="2">
      <formula>ISERROR(A210)</formula>
    </cfRule>
  </conditionalFormatting>
  <hyperlinks>
    <hyperlink ref="B215:B216" location="Coverage!A1" display="Participating LA's"/>
    <hyperlink ref="B217:B218" location="IDACI!A1" display="IDACI"/>
    <hyperlink ref="B247:B248" location="Adoption!A1" display="Adoption"/>
    <hyperlink ref="B245:B246" location="'Looked After Children'!A1" display="Looked After Children"/>
    <hyperlink ref="B243:B244" location="'Court Applications'!A1" display="Court Applications"/>
    <hyperlink ref="B241:B242" location="'Child Protection Plans'!A1" display="Child Protection Plans"/>
    <hyperlink ref="B239:B240" location="'Initial CP Conferences'!A1" display="Initial Child Protection Conferences"/>
    <hyperlink ref="B237:B238" location="'Section 47 Enquiries'!A1" display="Section 47 Enquiries"/>
    <hyperlink ref="B235:B236" location="'Children in Need'!A1" display="Children in Need"/>
    <hyperlink ref="B233:B234" location="Assessments!A1" display="Assessments"/>
    <hyperlink ref="B231:B232" location="'Re-referrals'!A1" display="Re-referrals"/>
    <hyperlink ref="B229:B230" location="Referral_Source!A1" display="Referral Source"/>
    <hyperlink ref="B227:B228" location="Referrals!A1" display="Referrals"/>
    <hyperlink ref="B219:B220" location="Population!A1" display="Population"/>
    <hyperlink ref="B217:G218" location="IDACI!A1" display="IDACI"/>
    <hyperlink ref="B221:B222" location="CAF_EHA!A1" display="CAF (EHA's)"/>
    <hyperlink ref="B225:B226" location="CAF_EHA!A1" display="CAF (EHA's)"/>
    <hyperlink ref="B223:B224" location="CAF_EHA!A1" display="CAF (EHA's)"/>
    <hyperlink ref="B221:F222" location="EH_Referrals!A1" display="Early Help Referrals"/>
    <hyperlink ref="B223:F224" location="EH_Assessments!A1" display="Early Help Assessments"/>
    <hyperlink ref="B225:F226" location="EH_Clients!A1" display="Early Help Clients"/>
    <hyperlink ref="B247:G248" location="Adoption!A1" display="Permanenc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5" manualBreakCount="5">
    <brk id="37" max="20" man="1"/>
    <brk id="70" max="20" man="1"/>
    <brk id="105" max="20" man="1"/>
    <brk id="140" max="20" man="1"/>
    <brk id="175" max="20" man="1"/>
  </rowBreaks>
  <ignoredErrors>
    <ignoredError sqref="A180:A201 A145:A166 A110:A131 A9:A3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9329" r:id="rId4" name="Check Box 1">
              <controlPr defaultSize="0" autoFill="0" autoLine="0" autoPict="0" macro="[0]!CheckBox1_Click" altText="">
                <anchor>
                  <from>
                    <xdr:col>22</xdr:col>
                    <xdr:colOff>66675</xdr:colOff>
                    <xdr:row>38</xdr:row>
                    <xdr:rowOff>85725</xdr:rowOff>
                  </from>
                  <to>
                    <xdr:col>35</xdr:col>
                    <xdr:colOff>47625</xdr:colOff>
                    <xdr:row>40</xdr:row>
                    <xdr:rowOff>28575</xdr:rowOff>
                  </to>
                </anchor>
              </controlPr>
            </control>
          </mc:Choice>
        </mc:AlternateContent>
        <mc:AlternateContent xmlns:mc="http://schemas.openxmlformats.org/markup-compatibility/2006">
          <mc:Choice Requires="x14">
            <control shapeId="99330" r:id="rId5" name="Check Box 2">
              <controlPr defaultSize="0" autoFill="0" autoLine="0" autoPict="0" macro="[0]!CheckBox1_Click" altText="">
                <anchor>
                  <from>
                    <xdr:col>22</xdr:col>
                    <xdr:colOff>66675</xdr:colOff>
                    <xdr:row>39</xdr:row>
                    <xdr:rowOff>171450</xdr:rowOff>
                  </from>
                  <to>
                    <xdr:col>35</xdr:col>
                    <xdr:colOff>47625</xdr:colOff>
                    <xdr:row>41</xdr:row>
                    <xdr:rowOff>28575</xdr:rowOff>
                  </to>
                </anchor>
              </controlPr>
            </control>
          </mc:Choice>
        </mc:AlternateContent>
        <mc:AlternateContent xmlns:mc="http://schemas.openxmlformats.org/markup-compatibility/2006">
          <mc:Choice Requires="x14">
            <control shapeId="99331" r:id="rId6" name="Check Box 3">
              <controlPr defaultSize="0" autoFill="0" autoLine="0" autoPict="0" macro="[0]!CheckBox1_Click" altText="">
                <anchor>
                  <from>
                    <xdr:col>22</xdr:col>
                    <xdr:colOff>66675</xdr:colOff>
                    <xdr:row>40</xdr:row>
                    <xdr:rowOff>171450</xdr:rowOff>
                  </from>
                  <to>
                    <xdr:col>35</xdr:col>
                    <xdr:colOff>47625</xdr:colOff>
                    <xdr:row>42</xdr:row>
                    <xdr:rowOff>28575</xdr:rowOff>
                  </to>
                </anchor>
              </controlPr>
            </control>
          </mc:Choice>
        </mc:AlternateContent>
        <mc:AlternateContent xmlns:mc="http://schemas.openxmlformats.org/markup-compatibility/2006">
          <mc:Choice Requires="x14">
            <control shapeId="99332" r:id="rId7" name="Check Box 4">
              <controlPr defaultSize="0" autoFill="0" autoLine="0" autoPict="0" macro="[0]!CheckBox1_Click" altText="">
                <anchor>
                  <from>
                    <xdr:col>22</xdr:col>
                    <xdr:colOff>66675</xdr:colOff>
                    <xdr:row>41</xdr:row>
                    <xdr:rowOff>171450</xdr:rowOff>
                  </from>
                  <to>
                    <xdr:col>35</xdr:col>
                    <xdr:colOff>47625</xdr:colOff>
                    <xdr:row>43</xdr:row>
                    <xdr:rowOff>28575</xdr:rowOff>
                  </to>
                </anchor>
              </controlPr>
            </control>
          </mc:Choice>
        </mc:AlternateContent>
        <mc:AlternateContent xmlns:mc="http://schemas.openxmlformats.org/markup-compatibility/2006">
          <mc:Choice Requires="x14">
            <control shapeId="99333" r:id="rId8" name="Check Box 5">
              <controlPr defaultSize="0" autoFill="0" autoLine="0" autoPict="0" macro="[0]!CheckBox1_Click" altText="">
                <anchor>
                  <from>
                    <xdr:col>22</xdr:col>
                    <xdr:colOff>66675</xdr:colOff>
                    <xdr:row>42</xdr:row>
                    <xdr:rowOff>171450</xdr:rowOff>
                  </from>
                  <to>
                    <xdr:col>35</xdr:col>
                    <xdr:colOff>47625</xdr:colOff>
                    <xdr:row>44</xdr:row>
                    <xdr:rowOff>28575</xdr:rowOff>
                  </to>
                </anchor>
              </controlPr>
            </control>
          </mc:Choice>
        </mc:AlternateContent>
        <mc:AlternateContent xmlns:mc="http://schemas.openxmlformats.org/markup-compatibility/2006">
          <mc:Choice Requires="x14">
            <control shapeId="99334" r:id="rId9" name="Check Box 6">
              <controlPr defaultSize="0" autoFill="0" autoLine="0" autoPict="0" macro="[0]!CheckBox1_Click" altText="">
                <anchor>
                  <from>
                    <xdr:col>22</xdr:col>
                    <xdr:colOff>66675</xdr:colOff>
                    <xdr:row>43</xdr:row>
                    <xdr:rowOff>171450</xdr:rowOff>
                  </from>
                  <to>
                    <xdr:col>35</xdr:col>
                    <xdr:colOff>47625</xdr:colOff>
                    <xdr:row>45</xdr:row>
                    <xdr:rowOff>28575</xdr:rowOff>
                  </to>
                </anchor>
              </controlPr>
            </control>
          </mc:Choice>
        </mc:AlternateContent>
        <mc:AlternateContent xmlns:mc="http://schemas.openxmlformats.org/markup-compatibility/2006">
          <mc:Choice Requires="x14">
            <control shapeId="99335" r:id="rId10" name="Check Box 7">
              <controlPr defaultSize="0" autoFill="0" autoLine="0" autoPict="0" macro="[0]!CheckBox1_Click" altText="">
                <anchor>
                  <from>
                    <xdr:col>22</xdr:col>
                    <xdr:colOff>66675</xdr:colOff>
                    <xdr:row>44</xdr:row>
                    <xdr:rowOff>171450</xdr:rowOff>
                  </from>
                  <to>
                    <xdr:col>35</xdr:col>
                    <xdr:colOff>47625</xdr:colOff>
                    <xdr:row>46</xdr:row>
                    <xdr:rowOff>28575</xdr:rowOff>
                  </to>
                </anchor>
              </controlPr>
            </control>
          </mc:Choice>
        </mc:AlternateContent>
        <mc:AlternateContent xmlns:mc="http://schemas.openxmlformats.org/markup-compatibility/2006">
          <mc:Choice Requires="x14">
            <control shapeId="99336" r:id="rId11" name="Check Box 8">
              <controlPr defaultSize="0" autoFill="0" autoLine="0" autoPict="0" macro="[0]!CheckBox1_Click" altText="">
                <anchor>
                  <from>
                    <xdr:col>22</xdr:col>
                    <xdr:colOff>66675</xdr:colOff>
                    <xdr:row>45</xdr:row>
                    <xdr:rowOff>171450</xdr:rowOff>
                  </from>
                  <to>
                    <xdr:col>35</xdr:col>
                    <xdr:colOff>47625</xdr:colOff>
                    <xdr:row>47</xdr:row>
                    <xdr:rowOff>28575</xdr:rowOff>
                  </to>
                </anchor>
              </controlPr>
            </control>
          </mc:Choice>
        </mc:AlternateContent>
        <mc:AlternateContent xmlns:mc="http://schemas.openxmlformats.org/markup-compatibility/2006">
          <mc:Choice Requires="x14">
            <control shapeId="99337" r:id="rId12" name="Check Box 9">
              <controlPr defaultSize="0" autoFill="0" autoLine="0" autoPict="0" macro="[0]!CheckBox1_Click" altText="">
                <anchor>
                  <from>
                    <xdr:col>22</xdr:col>
                    <xdr:colOff>66675</xdr:colOff>
                    <xdr:row>46</xdr:row>
                    <xdr:rowOff>171450</xdr:rowOff>
                  </from>
                  <to>
                    <xdr:col>35</xdr:col>
                    <xdr:colOff>47625</xdr:colOff>
                    <xdr:row>48</xdr:row>
                    <xdr:rowOff>28575</xdr:rowOff>
                  </to>
                </anchor>
              </controlPr>
            </control>
          </mc:Choice>
        </mc:AlternateContent>
        <mc:AlternateContent xmlns:mc="http://schemas.openxmlformats.org/markup-compatibility/2006">
          <mc:Choice Requires="x14">
            <control shapeId="99338" r:id="rId13" name="Check Box 10">
              <controlPr defaultSize="0" autoFill="0" autoLine="0" autoPict="0" macro="[0]!CheckBox1_Click" altText="">
                <anchor>
                  <from>
                    <xdr:col>22</xdr:col>
                    <xdr:colOff>66675</xdr:colOff>
                    <xdr:row>47</xdr:row>
                    <xdr:rowOff>171450</xdr:rowOff>
                  </from>
                  <to>
                    <xdr:col>35</xdr:col>
                    <xdr:colOff>47625</xdr:colOff>
                    <xdr:row>49</xdr:row>
                    <xdr:rowOff>28575</xdr:rowOff>
                  </to>
                </anchor>
              </controlPr>
            </control>
          </mc:Choice>
        </mc:AlternateContent>
        <mc:AlternateContent xmlns:mc="http://schemas.openxmlformats.org/markup-compatibility/2006">
          <mc:Choice Requires="x14">
            <control shapeId="99339" r:id="rId14" name="Check Box 11">
              <controlPr defaultSize="0" autoFill="0" autoLine="0" autoPict="0" macro="[0]!CheckBox1_Click" altText="">
                <anchor>
                  <from>
                    <xdr:col>22</xdr:col>
                    <xdr:colOff>66675</xdr:colOff>
                    <xdr:row>48</xdr:row>
                    <xdr:rowOff>171450</xdr:rowOff>
                  </from>
                  <to>
                    <xdr:col>35</xdr:col>
                    <xdr:colOff>47625</xdr:colOff>
                    <xdr:row>50</xdr:row>
                    <xdr:rowOff>28575</xdr:rowOff>
                  </to>
                </anchor>
              </controlPr>
            </control>
          </mc:Choice>
        </mc:AlternateContent>
        <mc:AlternateContent xmlns:mc="http://schemas.openxmlformats.org/markup-compatibility/2006">
          <mc:Choice Requires="x14">
            <control shapeId="99340" r:id="rId15" name="Check Box 12">
              <controlPr defaultSize="0" autoFill="0" autoLine="0" autoPict="0" macro="[0]!CheckBox1_Click" altText="">
                <anchor>
                  <from>
                    <xdr:col>22</xdr:col>
                    <xdr:colOff>66675</xdr:colOff>
                    <xdr:row>49</xdr:row>
                    <xdr:rowOff>171450</xdr:rowOff>
                  </from>
                  <to>
                    <xdr:col>35</xdr:col>
                    <xdr:colOff>47625</xdr:colOff>
                    <xdr:row>51</xdr:row>
                    <xdr:rowOff>28575</xdr:rowOff>
                  </to>
                </anchor>
              </controlPr>
            </control>
          </mc:Choice>
        </mc:AlternateContent>
        <mc:AlternateContent xmlns:mc="http://schemas.openxmlformats.org/markup-compatibility/2006">
          <mc:Choice Requires="x14">
            <control shapeId="99341" r:id="rId16" name="Check Box 13">
              <controlPr defaultSize="0" autoFill="0" autoLine="0" autoPict="0" macro="[0]!CheckBox1_Click" altText="">
                <anchor>
                  <from>
                    <xdr:col>22</xdr:col>
                    <xdr:colOff>66675</xdr:colOff>
                    <xdr:row>50</xdr:row>
                    <xdr:rowOff>171450</xdr:rowOff>
                  </from>
                  <to>
                    <xdr:col>35</xdr:col>
                    <xdr:colOff>47625</xdr:colOff>
                    <xdr:row>52</xdr:row>
                    <xdr:rowOff>28575</xdr:rowOff>
                  </to>
                </anchor>
              </controlPr>
            </control>
          </mc:Choice>
        </mc:AlternateContent>
        <mc:AlternateContent xmlns:mc="http://schemas.openxmlformats.org/markup-compatibility/2006">
          <mc:Choice Requires="x14">
            <control shapeId="99342" r:id="rId17" name="Check Box 14">
              <controlPr defaultSize="0" autoFill="0" autoLine="0" autoPict="0" macro="[0]!CheckBox1_Click" altText="">
                <anchor>
                  <from>
                    <xdr:col>22</xdr:col>
                    <xdr:colOff>66675</xdr:colOff>
                    <xdr:row>51</xdr:row>
                    <xdr:rowOff>171450</xdr:rowOff>
                  </from>
                  <to>
                    <xdr:col>35</xdr:col>
                    <xdr:colOff>47625</xdr:colOff>
                    <xdr:row>53</xdr:row>
                    <xdr:rowOff>28575</xdr:rowOff>
                  </to>
                </anchor>
              </controlPr>
            </control>
          </mc:Choice>
        </mc:AlternateContent>
        <mc:AlternateContent xmlns:mc="http://schemas.openxmlformats.org/markup-compatibility/2006">
          <mc:Choice Requires="x14">
            <control shapeId="99343" r:id="rId18" name="Check Box 15">
              <controlPr defaultSize="0" autoFill="0" autoLine="0" autoPict="0" macro="[0]!CheckBox1_Click" altText="">
                <anchor>
                  <from>
                    <xdr:col>22</xdr:col>
                    <xdr:colOff>66675</xdr:colOff>
                    <xdr:row>52</xdr:row>
                    <xdr:rowOff>171450</xdr:rowOff>
                  </from>
                  <to>
                    <xdr:col>35</xdr:col>
                    <xdr:colOff>47625</xdr:colOff>
                    <xdr:row>54</xdr:row>
                    <xdr:rowOff>28575</xdr:rowOff>
                  </to>
                </anchor>
              </controlPr>
            </control>
          </mc:Choice>
        </mc:AlternateContent>
        <mc:AlternateContent xmlns:mc="http://schemas.openxmlformats.org/markup-compatibility/2006">
          <mc:Choice Requires="x14">
            <control shapeId="99344" r:id="rId19" name="Check Box 16">
              <controlPr defaultSize="0" autoFill="0" autoLine="0" autoPict="0" macro="[0]!CheckBox1_Click" altText="">
                <anchor>
                  <from>
                    <xdr:col>22</xdr:col>
                    <xdr:colOff>66675</xdr:colOff>
                    <xdr:row>53</xdr:row>
                    <xdr:rowOff>171450</xdr:rowOff>
                  </from>
                  <to>
                    <xdr:col>35</xdr:col>
                    <xdr:colOff>47625</xdr:colOff>
                    <xdr:row>55</xdr:row>
                    <xdr:rowOff>28575</xdr:rowOff>
                  </to>
                </anchor>
              </controlPr>
            </control>
          </mc:Choice>
        </mc:AlternateContent>
        <mc:AlternateContent xmlns:mc="http://schemas.openxmlformats.org/markup-compatibility/2006">
          <mc:Choice Requires="x14">
            <control shapeId="99345" r:id="rId20" name="Check Box 17">
              <controlPr defaultSize="0" autoFill="0" autoLine="0" autoPict="0" macro="[0]!CheckBox1_Click" altText="">
                <anchor>
                  <from>
                    <xdr:col>22</xdr:col>
                    <xdr:colOff>66675</xdr:colOff>
                    <xdr:row>56</xdr:row>
                    <xdr:rowOff>171450</xdr:rowOff>
                  </from>
                  <to>
                    <xdr:col>35</xdr:col>
                    <xdr:colOff>47625</xdr:colOff>
                    <xdr:row>58</xdr:row>
                    <xdr:rowOff>28575</xdr:rowOff>
                  </to>
                </anchor>
              </controlPr>
            </control>
          </mc:Choice>
        </mc:AlternateContent>
        <mc:AlternateContent xmlns:mc="http://schemas.openxmlformats.org/markup-compatibility/2006">
          <mc:Choice Requires="x14">
            <control shapeId="99346" r:id="rId21" name="Check Box 18">
              <controlPr defaultSize="0" autoFill="0" autoLine="0" autoPict="0" macro="[0]!CheckBox1_Click" altText="">
                <anchor>
                  <from>
                    <xdr:col>22</xdr:col>
                    <xdr:colOff>66675</xdr:colOff>
                    <xdr:row>57</xdr:row>
                    <xdr:rowOff>171450</xdr:rowOff>
                  </from>
                  <to>
                    <xdr:col>35</xdr:col>
                    <xdr:colOff>47625</xdr:colOff>
                    <xdr:row>59</xdr:row>
                    <xdr:rowOff>28575</xdr:rowOff>
                  </to>
                </anchor>
              </controlPr>
            </control>
          </mc:Choice>
        </mc:AlternateContent>
        <mc:AlternateContent xmlns:mc="http://schemas.openxmlformats.org/markup-compatibility/2006">
          <mc:Choice Requires="x14">
            <control shapeId="99347" r:id="rId22" name="Check Box 19">
              <controlPr defaultSize="0" autoFill="0" autoLine="0" autoPict="0" macro="[0]!CheckBox1_Click" altText="">
                <anchor>
                  <from>
                    <xdr:col>22</xdr:col>
                    <xdr:colOff>66675</xdr:colOff>
                    <xdr:row>58</xdr:row>
                    <xdr:rowOff>171450</xdr:rowOff>
                  </from>
                  <to>
                    <xdr:col>35</xdr:col>
                    <xdr:colOff>47625</xdr:colOff>
                    <xdr:row>60</xdr:row>
                    <xdr:rowOff>28575</xdr:rowOff>
                  </to>
                </anchor>
              </controlPr>
            </control>
          </mc:Choice>
        </mc:AlternateContent>
        <mc:AlternateContent xmlns:mc="http://schemas.openxmlformats.org/markup-compatibility/2006">
          <mc:Choice Requires="x14">
            <control shapeId="99348" r:id="rId23" name="Check Box 20">
              <controlPr defaultSize="0" autoFill="0" autoLine="0" autoPict="0" macro="[0]!CheckBox1_Click" altText="">
                <anchor>
                  <from>
                    <xdr:col>22</xdr:col>
                    <xdr:colOff>66675</xdr:colOff>
                    <xdr:row>59</xdr:row>
                    <xdr:rowOff>171450</xdr:rowOff>
                  </from>
                  <to>
                    <xdr:col>35</xdr:col>
                    <xdr:colOff>47625</xdr:colOff>
                    <xdr:row>61</xdr:row>
                    <xdr:rowOff>28575</xdr:rowOff>
                  </to>
                </anchor>
              </controlPr>
            </control>
          </mc:Choice>
        </mc:AlternateContent>
        <mc:AlternateContent xmlns:mc="http://schemas.openxmlformats.org/markup-compatibility/2006">
          <mc:Choice Requires="x14">
            <control shapeId="99349" r:id="rId24" name="Check Box 21">
              <controlPr defaultSize="0" autoFill="0" autoLine="0" autoPict="0" macro="[0]!CheckBox1_Click" altText="">
                <anchor>
                  <from>
                    <xdr:col>22</xdr:col>
                    <xdr:colOff>66675</xdr:colOff>
                    <xdr:row>60</xdr:row>
                    <xdr:rowOff>171450</xdr:rowOff>
                  </from>
                  <to>
                    <xdr:col>35</xdr:col>
                    <xdr:colOff>47625</xdr:colOff>
                    <xdr:row>62</xdr:row>
                    <xdr:rowOff>28575</xdr:rowOff>
                  </to>
                </anchor>
              </controlPr>
            </control>
          </mc:Choice>
        </mc:AlternateContent>
        <mc:AlternateContent xmlns:mc="http://schemas.openxmlformats.org/markup-compatibility/2006">
          <mc:Choice Requires="x14">
            <control shapeId="99350" r:id="rId25" name="Check Box 22">
              <controlPr defaultSize="0" autoFill="0" autoLine="0" autoPict="0" macro="[0]!CheckBox1_Click" altText="">
                <anchor>
                  <from>
                    <xdr:col>22</xdr:col>
                    <xdr:colOff>66675</xdr:colOff>
                    <xdr:row>54</xdr:row>
                    <xdr:rowOff>171450</xdr:rowOff>
                  </from>
                  <to>
                    <xdr:col>35</xdr:col>
                    <xdr:colOff>47625</xdr:colOff>
                    <xdr:row>56</xdr:row>
                    <xdr:rowOff>28575</xdr:rowOff>
                  </to>
                </anchor>
              </controlPr>
            </control>
          </mc:Choice>
        </mc:AlternateContent>
        <mc:AlternateContent xmlns:mc="http://schemas.openxmlformats.org/markup-compatibility/2006">
          <mc:Choice Requires="x14">
            <control shapeId="99351" r:id="rId26" name="Check Box 23">
              <controlPr defaultSize="0" autoFill="0" autoLine="0" autoPict="0" macro="[0]!CheckBox1_Click" altText="">
                <anchor>
                  <from>
                    <xdr:col>22</xdr:col>
                    <xdr:colOff>66675</xdr:colOff>
                    <xdr:row>55</xdr:row>
                    <xdr:rowOff>171450</xdr:rowOff>
                  </from>
                  <to>
                    <xdr:col>35</xdr:col>
                    <xdr:colOff>47625</xdr:colOff>
                    <xdr:row>57</xdr:row>
                    <xdr:rowOff>28575</xdr:rowOff>
                  </to>
                </anchor>
              </controlPr>
            </control>
          </mc:Choice>
        </mc:AlternateContent>
        <mc:AlternateContent xmlns:mc="http://schemas.openxmlformats.org/markup-compatibility/2006">
          <mc:Choice Requires="x14">
            <control shapeId="99352" r:id="rId27" name="Check Box 24">
              <controlPr defaultSize="0" autoFill="0" autoLine="0" autoPict="0" macro="[0]!CheckBox1_Click" altText="">
                <anchor>
                  <from>
                    <xdr:col>22</xdr:col>
                    <xdr:colOff>66675</xdr:colOff>
                    <xdr:row>61</xdr:row>
                    <xdr:rowOff>171450</xdr:rowOff>
                  </from>
                  <to>
                    <xdr:col>35</xdr:col>
                    <xdr:colOff>47625</xdr:colOff>
                    <xdr:row>63</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tint="-4.9989318521683403E-2"/>
  </sheetPr>
  <dimension ref="A1:Z103"/>
  <sheetViews>
    <sheetView zoomScaleNormal="100" workbookViewId="0">
      <pane xSplit="2" ySplit="1" topLeftCell="C53" activePane="bottomRight" state="frozen"/>
      <selection activeCell="W29" sqref="W29"/>
      <selection pane="topRight" activeCell="W29" sqref="W29"/>
      <selection pane="bottomLeft" activeCell="W29" sqref="W29"/>
      <selection pane="bottomRight" activeCell="W29" sqref="W29"/>
    </sheetView>
  </sheetViews>
  <sheetFormatPr defaultRowHeight="12.75" x14ac:dyDescent="0.2"/>
  <cols>
    <col min="1" max="1" width="4.42578125" style="919" bestFit="1" customWidth="1"/>
    <col min="2" max="2" width="40.7109375" style="920" customWidth="1"/>
    <col min="3" max="24" width="5" style="921" customWidth="1"/>
    <col min="25" max="25" width="6" style="922" customWidth="1"/>
    <col min="26" max="26" width="6" style="919" customWidth="1"/>
    <col min="27" max="16384" width="9.140625" style="919"/>
  </cols>
  <sheetData>
    <row r="1" spans="1:26" s="615" customFormat="1" ht="67.5" customHeight="1" x14ac:dyDescent="0.2">
      <c r="A1" s="675" t="s">
        <v>746</v>
      </c>
      <c r="B1" s="676"/>
      <c r="C1" s="671" t="s">
        <v>0</v>
      </c>
      <c r="D1" s="671" t="s">
        <v>32</v>
      </c>
      <c r="E1" s="671" t="s">
        <v>9</v>
      </c>
      <c r="F1" s="671" t="s">
        <v>4</v>
      </c>
      <c r="G1" s="671" t="s">
        <v>6</v>
      </c>
      <c r="H1" s="671" t="s">
        <v>1</v>
      </c>
      <c r="I1" s="671" t="s">
        <v>10</v>
      </c>
      <c r="J1" s="671" t="s">
        <v>2</v>
      </c>
      <c r="K1" s="671" t="s">
        <v>11</v>
      </c>
      <c r="L1" s="671" t="s">
        <v>12</v>
      </c>
      <c r="M1" s="671" t="s">
        <v>13</v>
      </c>
      <c r="N1" s="671" t="s">
        <v>3</v>
      </c>
      <c r="O1" s="671" t="s">
        <v>14</v>
      </c>
      <c r="P1" s="671" t="s">
        <v>93</v>
      </c>
      <c r="Q1" s="671" t="s">
        <v>15</v>
      </c>
      <c r="R1" s="671" t="s">
        <v>7</v>
      </c>
      <c r="S1" s="671" t="s">
        <v>116</v>
      </c>
      <c r="T1" s="671" t="s">
        <v>117</v>
      </c>
      <c r="U1" s="671" t="s">
        <v>16</v>
      </c>
      <c r="V1" s="671" t="s">
        <v>5</v>
      </c>
      <c r="W1" s="671" t="s">
        <v>31</v>
      </c>
      <c r="X1" s="672" t="s">
        <v>17</v>
      </c>
      <c r="Y1" s="673" t="s">
        <v>74</v>
      </c>
      <c r="Z1" s="674" t="s">
        <v>130</v>
      </c>
    </row>
    <row r="2" spans="1:26" s="616" customFormat="1" ht="13.5" x14ac:dyDescent="0.2">
      <c r="A2" s="677"/>
      <c r="B2" s="678" t="s">
        <v>660</v>
      </c>
      <c r="C2" s="882"/>
      <c r="D2" s="882"/>
      <c r="E2" s="882"/>
      <c r="F2" s="882"/>
      <c r="G2" s="882"/>
      <c r="H2" s="882"/>
      <c r="I2" s="882"/>
      <c r="J2" s="882"/>
      <c r="K2" s="882"/>
      <c r="L2" s="882"/>
      <c r="M2" s="882"/>
      <c r="N2" s="882"/>
      <c r="O2" s="882"/>
      <c r="P2" s="882"/>
      <c r="Q2" s="882"/>
      <c r="R2" s="882"/>
      <c r="S2" s="882"/>
      <c r="T2" s="882"/>
      <c r="U2" s="882"/>
      <c r="V2" s="882"/>
      <c r="W2" s="883"/>
      <c r="X2" s="884"/>
      <c r="Y2" s="896"/>
      <c r="Z2" s="888"/>
    </row>
    <row r="3" spans="1:26" s="616" customFormat="1" ht="13.5" x14ac:dyDescent="0.2">
      <c r="A3" s="702">
        <v>1</v>
      </c>
      <c r="B3" s="683" t="s">
        <v>270</v>
      </c>
      <c r="C3" s="889"/>
      <c r="D3" s="889"/>
      <c r="E3" s="889"/>
      <c r="F3" s="889"/>
      <c r="G3" s="889"/>
      <c r="H3" s="889"/>
      <c r="I3" s="889"/>
      <c r="J3" s="889"/>
      <c r="K3" s="889"/>
      <c r="L3" s="889"/>
      <c r="M3" s="889"/>
      <c r="N3" s="889"/>
      <c r="O3" s="889"/>
      <c r="P3" s="889"/>
      <c r="Q3" s="889"/>
      <c r="R3" s="889"/>
      <c r="S3" s="889"/>
      <c r="T3" s="889"/>
      <c r="U3" s="889"/>
      <c r="V3" s="889"/>
      <c r="W3" s="889"/>
      <c r="X3" s="891"/>
      <c r="Y3" s="895"/>
      <c r="Z3" s="890"/>
    </row>
    <row r="4" spans="1:26" s="616" customFormat="1" ht="13.5" x14ac:dyDescent="0.2">
      <c r="A4" s="702">
        <v>2</v>
      </c>
      <c r="B4" s="683" t="s">
        <v>271</v>
      </c>
      <c r="C4" s="889"/>
      <c r="D4" s="889"/>
      <c r="E4" s="889"/>
      <c r="F4" s="889"/>
      <c r="G4" s="889"/>
      <c r="H4" s="889"/>
      <c r="I4" s="889"/>
      <c r="J4" s="889"/>
      <c r="K4" s="889"/>
      <c r="L4" s="889"/>
      <c r="M4" s="889"/>
      <c r="N4" s="889"/>
      <c r="O4" s="889"/>
      <c r="P4" s="889"/>
      <c r="Q4" s="889"/>
      <c r="R4" s="889"/>
      <c r="S4" s="889"/>
      <c r="T4" s="889"/>
      <c r="U4" s="889"/>
      <c r="V4" s="889"/>
      <c r="W4" s="889"/>
      <c r="X4" s="891"/>
      <c r="Y4" s="895"/>
      <c r="Z4" s="890"/>
    </row>
    <row r="5" spans="1:26" s="616" customFormat="1" ht="13.5" x14ac:dyDescent="0.2">
      <c r="A5" s="702">
        <v>3</v>
      </c>
      <c r="B5" s="683" t="s">
        <v>272</v>
      </c>
      <c r="C5" s="889"/>
      <c r="D5" s="889"/>
      <c r="E5" s="889"/>
      <c r="F5" s="889"/>
      <c r="G5" s="889"/>
      <c r="H5" s="889"/>
      <c r="I5" s="889"/>
      <c r="J5" s="889"/>
      <c r="K5" s="889"/>
      <c r="L5" s="889"/>
      <c r="M5" s="889"/>
      <c r="N5" s="889"/>
      <c r="O5" s="889"/>
      <c r="P5" s="889"/>
      <c r="Q5" s="889"/>
      <c r="R5" s="889"/>
      <c r="S5" s="889"/>
      <c r="T5" s="889"/>
      <c r="U5" s="889"/>
      <c r="V5" s="889"/>
      <c r="W5" s="889"/>
      <c r="X5" s="891"/>
      <c r="Y5" s="895"/>
      <c r="Z5" s="890"/>
    </row>
    <row r="6" spans="1:26" s="616" customFormat="1" ht="13.5" x14ac:dyDescent="0.2">
      <c r="A6" s="702">
        <v>4</v>
      </c>
      <c r="B6" s="683" t="s">
        <v>273</v>
      </c>
      <c r="C6" s="889"/>
      <c r="D6" s="889"/>
      <c r="E6" s="889"/>
      <c r="F6" s="889"/>
      <c r="G6" s="889"/>
      <c r="H6" s="889"/>
      <c r="I6" s="889"/>
      <c r="J6" s="889"/>
      <c r="K6" s="889"/>
      <c r="L6" s="889"/>
      <c r="M6" s="889"/>
      <c r="N6" s="892"/>
      <c r="O6" s="889"/>
      <c r="P6" s="889"/>
      <c r="Q6" s="889"/>
      <c r="R6" s="889"/>
      <c r="S6" s="889"/>
      <c r="T6" s="889"/>
      <c r="U6" s="893"/>
      <c r="V6" s="889"/>
      <c r="W6" s="889"/>
      <c r="X6" s="891"/>
      <c r="Y6" s="895"/>
      <c r="Z6" s="890"/>
    </row>
    <row r="7" spans="1:26" s="616" customFormat="1" ht="13.5" x14ac:dyDescent="0.2">
      <c r="A7" s="702">
        <v>5</v>
      </c>
      <c r="B7" s="683" t="s">
        <v>274</v>
      </c>
      <c r="C7" s="889"/>
      <c r="D7" s="889"/>
      <c r="E7" s="889"/>
      <c r="F7" s="889"/>
      <c r="G7" s="889"/>
      <c r="H7" s="889"/>
      <c r="I7" s="889"/>
      <c r="J7" s="889"/>
      <c r="K7" s="889"/>
      <c r="L7" s="889"/>
      <c r="M7" s="889"/>
      <c r="N7" s="892"/>
      <c r="O7" s="889"/>
      <c r="P7" s="889"/>
      <c r="Q7" s="889"/>
      <c r="R7" s="889"/>
      <c r="S7" s="889"/>
      <c r="T7" s="889"/>
      <c r="U7" s="893"/>
      <c r="V7" s="889"/>
      <c r="W7" s="889"/>
      <c r="X7" s="891"/>
      <c r="Y7" s="895"/>
      <c r="Z7" s="890"/>
    </row>
    <row r="8" spans="1:26" s="616" customFormat="1" ht="22.5" x14ac:dyDescent="0.2">
      <c r="A8" s="702">
        <v>6</v>
      </c>
      <c r="B8" s="687" t="s">
        <v>275</v>
      </c>
      <c r="C8" s="687"/>
      <c r="D8" s="687"/>
      <c r="E8" s="687"/>
      <c r="F8" s="687"/>
      <c r="G8" s="687"/>
      <c r="H8" s="687"/>
      <c r="I8" s="687"/>
      <c r="J8" s="687"/>
      <c r="K8" s="687"/>
      <c r="L8" s="687"/>
      <c r="M8" s="687"/>
      <c r="N8" s="687"/>
      <c r="O8" s="687"/>
      <c r="P8" s="687"/>
      <c r="Q8" s="687"/>
      <c r="R8" s="687"/>
      <c r="S8" s="687"/>
      <c r="T8" s="687"/>
      <c r="U8" s="687"/>
      <c r="V8" s="687"/>
      <c r="W8" s="687"/>
      <c r="X8" s="687"/>
      <c r="Y8" s="706"/>
      <c r="Z8" s="705"/>
    </row>
    <row r="9" spans="1:26" s="616" customFormat="1" ht="13.5" x14ac:dyDescent="0.2">
      <c r="A9" s="898"/>
      <c r="B9" s="683" t="s">
        <v>276</v>
      </c>
      <c r="C9" s="889"/>
      <c r="D9" s="889"/>
      <c r="E9" s="889"/>
      <c r="F9" s="889"/>
      <c r="G9" s="889"/>
      <c r="H9" s="889"/>
      <c r="I9" s="889"/>
      <c r="J9" s="889"/>
      <c r="K9" s="889"/>
      <c r="L9" s="889"/>
      <c r="M9" s="889"/>
      <c r="N9" s="892"/>
      <c r="O9" s="889"/>
      <c r="P9" s="889"/>
      <c r="Q9" s="889"/>
      <c r="R9" s="889"/>
      <c r="S9" s="889"/>
      <c r="T9" s="889"/>
      <c r="U9" s="893"/>
      <c r="V9" s="889"/>
      <c r="W9" s="889"/>
      <c r="X9" s="891"/>
      <c r="Y9" s="895"/>
      <c r="Z9" s="890"/>
    </row>
    <row r="10" spans="1:26" s="616" customFormat="1" x14ac:dyDescent="0.2">
      <c r="A10" s="899"/>
      <c r="B10" s="688" t="s">
        <v>277</v>
      </c>
      <c r="C10" s="889"/>
      <c r="D10" s="889"/>
      <c r="E10" s="889"/>
      <c r="F10" s="889"/>
      <c r="G10" s="889"/>
      <c r="H10" s="889"/>
      <c r="I10" s="889"/>
      <c r="J10" s="889"/>
      <c r="K10" s="889"/>
      <c r="L10" s="889"/>
      <c r="M10" s="889"/>
      <c r="N10" s="892"/>
      <c r="O10" s="889"/>
      <c r="P10" s="889"/>
      <c r="Q10" s="889"/>
      <c r="R10" s="889"/>
      <c r="S10" s="889"/>
      <c r="T10" s="889"/>
      <c r="U10" s="893"/>
      <c r="V10" s="889"/>
      <c r="W10" s="889"/>
      <c r="X10" s="891"/>
      <c r="Y10" s="895"/>
      <c r="Z10" s="890"/>
    </row>
    <row r="11" spans="1:26" s="616" customFormat="1" ht="13.5" x14ac:dyDescent="0.2">
      <c r="A11" s="702">
        <v>7</v>
      </c>
      <c r="B11" s="683" t="s">
        <v>278</v>
      </c>
      <c r="C11" s="889"/>
      <c r="D11" s="889"/>
      <c r="E11" s="889"/>
      <c r="F11" s="889"/>
      <c r="G11" s="889"/>
      <c r="H11" s="889"/>
      <c r="I11" s="889"/>
      <c r="J11" s="889"/>
      <c r="K11" s="889"/>
      <c r="L11" s="889"/>
      <c r="M11" s="889"/>
      <c r="N11" s="892"/>
      <c r="O11" s="889"/>
      <c r="P11" s="889"/>
      <c r="Q11" s="889"/>
      <c r="R11" s="889"/>
      <c r="S11" s="889"/>
      <c r="T11" s="889"/>
      <c r="U11" s="893"/>
      <c r="V11" s="889"/>
      <c r="W11" s="889"/>
      <c r="X11" s="891"/>
      <c r="Y11" s="895"/>
      <c r="Z11" s="890"/>
    </row>
    <row r="12" spans="1:26" s="616" customFormat="1" ht="13.5" x14ac:dyDescent="0.2">
      <c r="A12" s="702">
        <v>8</v>
      </c>
      <c r="B12" s="683" t="s">
        <v>279</v>
      </c>
      <c r="C12" s="679">
        <v>1136</v>
      </c>
      <c r="D12" s="679">
        <v>4232</v>
      </c>
      <c r="E12" s="679">
        <v>7317</v>
      </c>
      <c r="F12" s="679">
        <v>7430</v>
      </c>
      <c r="G12" s="679">
        <v>16212</v>
      </c>
      <c r="H12" s="679">
        <v>2211</v>
      </c>
      <c r="I12" s="679">
        <v>19164</v>
      </c>
      <c r="J12" s="679">
        <v>4259</v>
      </c>
      <c r="K12" s="679">
        <v>3138</v>
      </c>
      <c r="L12" s="679">
        <v>5905</v>
      </c>
      <c r="M12" s="679">
        <v>1822</v>
      </c>
      <c r="N12" s="679">
        <v>1732</v>
      </c>
      <c r="O12" s="679">
        <v>2507</v>
      </c>
      <c r="P12" s="679">
        <v>7338</v>
      </c>
      <c r="Q12" s="679">
        <v>3471</v>
      </c>
      <c r="R12" s="679">
        <v>11776</v>
      </c>
      <c r="S12" s="679">
        <v>2254</v>
      </c>
      <c r="T12" s="679">
        <v>2408</v>
      </c>
      <c r="U12" s="679">
        <v>1243</v>
      </c>
      <c r="V12" s="679">
        <v>6605</v>
      </c>
      <c r="W12" s="679">
        <v>1043</v>
      </c>
      <c r="X12" s="684">
        <v>1416</v>
      </c>
      <c r="Y12" s="617">
        <f t="shared" ref="Y12:Y65" si="0">SUM(C12:O12,Q12:R12,U12:X12)</f>
        <v>102619</v>
      </c>
      <c r="Z12" s="680">
        <v>657800</v>
      </c>
    </row>
    <row r="13" spans="1:26" s="616" customFormat="1" ht="13.5" x14ac:dyDescent="0.2">
      <c r="A13" s="702">
        <v>9</v>
      </c>
      <c r="B13" s="683" t="s">
        <v>280</v>
      </c>
      <c r="C13" s="889"/>
      <c r="D13" s="889"/>
      <c r="E13" s="889"/>
      <c r="F13" s="889"/>
      <c r="G13" s="889"/>
      <c r="H13" s="889"/>
      <c r="I13" s="889"/>
      <c r="J13" s="889"/>
      <c r="K13" s="889"/>
      <c r="L13" s="889"/>
      <c r="M13" s="889"/>
      <c r="N13" s="889"/>
      <c r="O13" s="889"/>
      <c r="P13" s="889"/>
      <c r="Q13" s="889"/>
      <c r="R13" s="889"/>
      <c r="S13" s="889"/>
      <c r="T13" s="889"/>
      <c r="U13" s="889"/>
      <c r="V13" s="889"/>
      <c r="W13" s="889"/>
      <c r="X13" s="891"/>
      <c r="Y13" s="895"/>
      <c r="Z13" s="890"/>
    </row>
    <row r="14" spans="1:26" s="616" customFormat="1" ht="13.5" x14ac:dyDescent="0.2">
      <c r="A14" s="702">
        <v>10</v>
      </c>
      <c r="B14" s="683" t="s">
        <v>281</v>
      </c>
      <c r="C14" s="679">
        <v>951</v>
      </c>
      <c r="D14" s="679">
        <v>2732</v>
      </c>
      <c r="E14" s="679">
        <v>4071</v>
      </c>
      <c r="F14" s="679">
        <v>6243</v>
      </c>
      <c r="G14" s="679">
        <v>14741</v>
      </c>
      <c r="H14" s="679">
        <v>1776</v>
      </c>
      <c r="I14" s="679">
        <v>13222</v>
      </c>
      <c r="J14" s="679">
        <v>3743</v>
      </c>
      <c r="K14" s="679">
        <v>2047</v>
      </c>
      <c r="L14" s="679">
        <v>3636</v>
      </c>
      <c r="M14" s="679">
        <v>1607</v>
      </c>
      <c r="N14" s="679">
        <v>1702</v>
      </c>
      <c r="O14" s="679">
        <v>2432</v>
      </c>
      <c r="P14" s="679">
        <v>7077</v>
      </c>
      <c r="Q14" s="679">
        <v>3259</v>
      </c>
      <c r="R14" s="679">
        <v>7495</v>
      </c>
      <c r="S14" s="679">
        <v>1817</v>
      </c>
      <c r="T14" s="679">
        <v>1951</v>
      </c>
      <c r="U14" s="679">
        <v>1243</v>
      </c>
      <c r="V14" s="679">
        <v>6168</v>
      </c>
      <c r="W14" s="679">
        <v>963</v>
      </c>
      <c r="X14" s="684">
        <v>983</v>
      </c>
      <c r="Y14" s="617">
        <f t="shared" si="0"/>
        <v>79014</v>
      </c>
      <c r="Z14" s="680">
        <v>565400</v>
      </c>
    </row>
    <row r="15" spans="1:26" s="616" customFormat="1" ht="13.5" x14ac:dyDescent="0.2">
      <c r="A15" s="702">
        <v>11</v>
      </c>
      <c r="B15" s="687" t="s">
        <v>282</v>
      </c>
      <c r="C15" s="687"/>
      <c r="D15" s="687"/>
      <c r="E15" s="687"/>
      <c r="F15" s="687"/>
      <c r="G15" s="687"/>
      <c r="H15" s="687"/>
      <c r="I15" s="687"/>
      <c r="J15" s="687"/>
      <c r="K15" s="687"/>
      <c r="L15" s="687"/>
      <c r="M15" s="687"/>
      <c r="N15" s="687"/>
      <c r="O15" s="687"/>
      <c r="P15" s="687"/>
      <c r="Q15" s="687"/>
      <c r="R15" s="687"/>
      <c r="S15" s="687"/>
      <c r="T15" s="687"/>
      <c r="U15" s="687"/>
      <c r="V15" s="687"/>
      <c r="W15" s="687"/>
      <c r="X15" s="687"/>
      <c r="Y15" s="706"/>
      <c r="Z15" s="706"/>
    </row>
    <row r="16" spans="1:26" s="616" customFormat="1" ht="13.5" x14ac:dyDescent="0.2">
      <c r="A16" s="703"/>
      <c r="B16" s="689" t="s">
        <v>283</v>
      </c>
      <c r="C16" s="686"/>
      <c r="D16" s="679"/>
      <c r="E16" s="679"/>
      <c r="F16" s="679"/>
      <c r="G16" s="679"/>
      <c r="H16" s="679"/>
      <c r="I16" s="679"/>
      <c r="J16" s="679"/>
      <c r="K16" s="679"/>
      <c r="L16" s="679"/>
      <c r="M16" s="679"/>
      <c r="N16" s="679"/>
      <c r="O16" s="679"/>
      <c r="P16" s="679"/>
      <c r="Q16" s="679"/>
      <c r="R16" s="679"/>
      <c r="S16" s="679"/>
      <c r="T16" s="679"/>
      <c r="U16" s="679"/>
      <c r="V16" s="679"/>
      <c r="W16" s="679"/>
      <c r="X16" s="684"/>
      <c r="Y16" s="617"/>
      <c r="Z16" s="680"/>
    </row>
    <row r="17" spans="1:26" s="616" customFormat="1" ht="13.5" x14ac:dyDescent="0.2">
      <c r="A17" s="703"/>
      <c r="B17" s="689" t="s">
        <v>284</v>
      </c>
      <c r="C17" s="893"/>
      <c r="D17" s="889"/>
      <c r="E17" s="889"/>
      <c r="F17" s="889"/>
      <c r="G17" s="889"/>
      <c r="H17" s="889"/>
      <c r="I17" s="889"/>
      <c r="J17" s="889"/>
      <c r="K17" s="889"/>
      <c r="L17" s="889"/>
      <c r="M17" s="889"/>
      <c r="N17" s="889"/>
      <c r="O17" s="889"/>
      <c r="P17" s="889"/>
      <c r="Q17" s="889"/>
      <c r="R17" s="889"/>
      <c r="S17" s="889"/>
      <c r="T17" s="889"/>
      <c r="U17" s="889"/>
      <c r="V17" s="889"/>
      <c r="W17" s="889"/>
      <c r="X17" s="891"/>
      <c r="Y17" s="895"/>
      <c r="Z17" s="890"/>
    </row>
    <row r="18" spans="1:26" s="616" customFormat="1" ht="13.5" x14ac:dyDescent="0.2">
      <c r="A18" s="703"/>
      <c r="B18" s="689" t="s">
        <v>285</v>
      </c>
      <c r="C18" s="893"/>
      <c r="D18" s="889"/>
      <c r="E18" s="889"/>
      <c r="F18" s="889"/>
      <c r="G18" s="889"/>
      <c r="H18" s="889"/>
      <c r="I18" s="889"/>
      <c r="J18" s="889"/>
      <c r="K18" s="889"/>
      <c r="L18" s="889"/>
      <c r="M18" s="889"/>
      <c r="N18" s="889"/>
      <c r="O18" s="889"/>
      <c r="P18" s="889"/>
      <c r="Q18" s="889"/>
      <c r="R18" s="889"/>
      <c r="S18" s="889"/>
      <c r="T18" s="889"/>
      <c r="U18" s="889"/>
      <c r="V18" s="889"/>
      <c r="W18" s="889"/>
      <c r="X18" s="891"/>
      <c r="Y18" s="895"/>
      <c r="Z18" s="890"/>
    </row>
    <row r="19" spans="1:26" s="616" customFormat="1" ht="13.5" x14ac:dyDescent="0.2">
      <c r="A19" s="703"/>
      <c r="B19" s="689" t="s">
        <v>286</v>
      </c>
      <c r="C19" s="893"/>
      <c r="D19" s="889"/>
      <c r="E19" s="889"/>
      <c r="F19" s="889"/>
      <c r="G19" s="889"/>
      <c r="H19" s="889"/>
      <c r="I19" s="889"/>
      <c r="J19" s="889"/>
      <c r="K19" s="889"/>
      <c r="L19" s="889"/>
      <c r="M19" s="889"/>
      <c r="N19" s="889"/>
      <c r="O19" s="889"/>
      <c r="P19" s="889"/>
      <c r="Q19" s="889"/>
      <c r="R19" s="889"/>
      <c r="S19" s="889"/>
      <c r="T19" s="889"/>
      <c r="U19" s="889"/>
      <c r="V19" s="889"/>
      <c r="W19" s="889"/>
      <c r="X19" s="891"/>
      <c r="Y19" s="895"/>
      <c r="Z19" s="890"/>
    </row>
    <row r="20" spans="1:26" s="616" customFormat="1" ht="13.5" x14ac:dyDescent="0.2">
      <c r="A20" s="703"/>
      <c r="B20" s="689" t="s">
        <v>287</v>
      </c>
      <c r="C20" s="686"/>
      <c r="D20" s="679"/>
      <c r="E20" s="679"/>
      <c r="F20" s="679"/>
      <c r="G20" s="679"/>
      <c r="H20" s="679"/>
      <c r="I20" s="679"/>
      <c r="J20" s="679"/>
      <c r="K20" s="679"/>
      <c r="L20" s="679"/>
      <c r="M20" s="679"/>
      <c r="N20" s="685"/>
      <c r="O20" s="679"/>
      <c r="P20" s="679"/>
      <c r="Q20" s="679"/>
      <c r="R20" s="679"/>
      <c r="S20" s="679"/>
      <c r="T20" s="679"/>
      <c r="U20" s="686"/>
      <c r="V20" s="679"/>
      <c r="W20" s="679"/>
      <c r="X20" s="684"/>
      <c r="Y20" s="617"/>
      <c r="Z20" s="680"/>
    </row>
    <row r="21" spans="1:26" s="616" customFormat="1" ht="13.5" x14ac:dyDescent="0.2">
      <c r="A21" s="703"/>
      <c r="B21" s="689" t="s">
        <v>288</v>
      </c>
      <c r="C21" s="686"/>
      <c r="D21" s="679"/>
      <c r="E21" s="679"/>
      <c r="F21" s="679"/>
      <c r="G21" s="679"/>
      <c r="H21" s="679"/>
      <c r="I21" s="679"/>
      <c r="J21" s="679"/>
      <c r="K21" s="679"/>
      <c r="L21" s="679"/>
      <c r="M21" s="679"/>
      <c r="N21" s="685"/>
      <c r="O21" s="679"/>
      <c r="P21" s="679"/>
      <c r="Q21" s="679"/>
      <c r="R21" s="679"/>
      <c r="S21" s="679"/>
      <c r="T21" s="679"/>
      <c r="U21" s="686"/>
      <c r="V21" s="679"/>
      <c r="W21" s="679"/>
      <c r="X21" s="684"/>
      <c r="Y21" s="617"/>
      <c r="Z21" s="680"/>
    </row>
    <row r="22" spans="1:26" s="616" customFormat="1" ht="13.5" x14ac:dyDescent="0.2">
      <c r="A22" s="703"/>
      <c r="B22" s="689" t="s">
        <v>289</v>
      </c>
      <c r="C22" s="686"/>
      <c r="D22" s="679"/>
      <c r="E22" s="679"/>
      <c r="F22" s="679"/>
      <c r="G22" s="679"/>
      <c r="H22" s="679"/>
      <c r="I22" s="679"/>
      <c r="J22" s="679"/>
      <c r="K22" s="679"/>
      <c r="L22" s="679"/>
      <c r="M22" s="679"/>
      <c r="N22" s="685"/>
      <c r="O22" s="679"/>
      <c r="P22" s="679"/>
      <c r="Q22" s="679"/>
      <c r="R22" s="679"/>
      <c r="S22" s="679"/>
      <c r="T22" s="679"/>
      <c r="U22" s="686"/>
      <c r="V22" s="679"/>
      <c r="W22" s="679"/>
      <c r="X22" s="684"/>
      <c r="Y22" s="617"/>
      <c r="Z22" s="680"/>
    </row>
    <row r="23" spans="1:26" s="616" customFormat="1" ht="13.5" x14ac:dyDescent="0.2">
      <c r="A23" s="703"/>
      <c r="B23" s="689" t="s">
        <v>290</v>
      </c>
      <c r="C23" s="893"/>
      <c r="D23" s="889"/>
      <c r="E23" s="889"/>
      <c r="F23" s="889"/>
      <c r="G23" s="889"/>
      <c r="H23" s="889"/>
      <c r="I23" s="889"/>
      <c r="J23" s="889"/>
      <c r="K23" s="889"/>
      <c r="L23" s="889"/>
      <c r="M23" s="889"/>
      <c r="N23" s="892"/>
      <c r="O23" s="889"/>
      <c r="P23" s="889"/>
      <c r="Q23" s="889"/>
      <c r="R23" s="889"/>
      <c r="S23" s="889"/>
      <c r="T23" s="889"/>
      <c r="U23" s="893"/>
      <c r="V23" s="889"/>
      <c r="W23" s="889"/>
      <c r="X23" s="891"/>
      <c r="Y23" s="895"/>
      <c r="Z23" s="890"/>
    </row>
    <row r="24" spans="1:26" s="616" customFormat="1" ht="13.5" x14ac:dyDescent="0.2">
      <c r="A24" s="703"/>
      <c r="B24" s="689" t="s">
        <v>291</v>
      </c>
      <c r="C24" s="893"/>
      <c r="D24" s="889"/>
      <c r="E24" s="889"/>
      <c r="F24" s="889"/>
      <c r="G24" s="889"/>
      <c r="H24" s="889"/>
      <c r="I24" s="889"/>
      <c r="J24" s="889"/>
      <c r="K24" s="889"/>
      <c r="L24" s="889"/>
      <c r="M24" s="889"/>
      <c r="N24" s="892"/>
      <c r="O24" s="889"/>
      <c r="P24" s="889"/>
      <c r="Q24" s="889"/>
      <c r="R24" s="889"/>
      <c r="S24" s="889"/>
      <c r="T24" s="889"/>
      <c r="U24" s="893"/>
      <c r="V24" s="889"/>
      <c r="W24" s="889"/>
      <c r="X24" s="891"/>
      <c r="Y24" s="895"/>
      <c r="Z24" s="890"/>
    </row>
    <row r="25" spans="1:26" s="616" customFormat="1" ht="13.5" x14ac:dyDescent="0.2">
      <c r="A25" s="703"/>
      <c r="B25" s="689" t="s">
        <v>292</v>
      </c>
      <c r="C25" s="893"/>
      <c r="D25" s="889"/>
      <c r="E25" s="889"/>
      <c r="F25" s="889"/>
      <c r="G25" s="889"/>
      <c r="H25" s="889"/>
      <c r="I25" s="889"/>
      <c r="J25" s="889"/>
      <c r="K25" s="889"/>
      <c r="L25" s="889"/>
      <c r="M25" s="889"/>
      <c r="N25" s="892"/>
      <c r="O25" s="889"/>
      <c r="P25" s="889"/>
      <c r="Q25" s="889"/>
      <c r="R25" s="889"/>
      <c r="S25" s="889"/>
      <c r="T25" s="889"/>
      <c r="U25" s="893"/>
      <c r="V25" s="889"/>
      <c r="W25" s="889"/>
      <c r="X25" s="891"/>
      <c r="Y25" s="895"/>
      <c r="Z25" s="890"/>
    </row>
    <row r="26" spans="1:26" s="616" customFormat="1" ht="13.5" x14ac:dyDescent="0.2">
      <c r="A26" s="703"/>
      <c r="B26" s="689" t="s">
        <v>293</v>
      </c>
      <c r="C26" s="893"/>
      <c r="D26" s="889"/>
      <c r="E26" s="889"/>
      <c r="F26" s="889"/>
      <c r="G26" s="889"/>
      <c r="H26" s="889"/>
      <c r="I26" s="889"/>
      <c r="J26" s="889"/>
      <c r="K26" s="889"/>
      <c r="L26" s="889"/>
      <c r="M26" s="889"/>
      <c r="N26" s="892"/>
      <c r="O26" s="889"/>
      <c r="P26" s="889"/>
      <c r="Q26" s="889"/>
      <c r="R26" s="889"/>
      <c r="S26" s="889"/>
      <c r="T26" s="889"/>
      <c r="U26" s="893"/>
      <c r="V26" s="889"/>
      <c r="W26" s="889"/>
      <c r="X26" s="891"/>
      <c r="Y26" s="895"/>
      <c r="Z26" s="890"/>
    </row>
    <row r="27" spans="1:26" s="616" customFormat="1" ht="13.5" x14ac:dyDescent="0.2">
      <c r="A27" s="703"/>
      <c r="B27" s="689" t="s">
        <v>294</v>
      </c>
      <c r="C27" s="893"/>
      <c r="D27" s="889"/>
      <c r="E27" s="889"/>
      <c r="F27" s="889"/>
      <c r="G27" s="889"/>
      <c r="H27" s="889"/>
      <c r="I27" s="889"/>
      <c r="J27" s="889"/>
      <c r="K27" s="889"/>
      <c r="L27" s="889"/>
      <c r="M27" s="889"/>
      <c r="N27" s="892"/>
      <c r="O27" s="889"/>
      <c r="P27" s="889"/>
      <c r="Q27" s="889"/>
      <c r="R27" s="889"/>
      <c r="S27" s="889"/>
      <c r="T27" s="889"/>
      <c r="U27" s="893"/>
      <c r="V27" s="889"/>
      <c r="W27" s="889"/>
      <c r="X27" s="891"/>
      <c r="Y27" s="895"/>
      <c r="Z27" s="890"/>
    </row>
    <row r="28" spans="1:26" s="616" customFormat="1" ht="13.5" x14ac:dyDescent="0.2">
      <c r="A28" s="703"/>
      <c r="B28" s="689" t="s">
        <v>295</v>
      </c>
      <c r="C28" s="686"/>
      <c r="D28" s="679"/>
      <c r="E28" s="679"/>
      <c r="F28" s="679"/>
      <c r="G28" s="679"/>
      <c r="H28" s="679"/>
      <c r="I28" s="679"/>
      <c r="J28" s="679"/>
      <c r="K28" s="679"/>
      <c r="L28" s="679"/>
      <c r="M28" s="679"/>
      <c r="N28" s="685"/>
      <c r="O28" s="679"/>
      <c r="P28" s="679"/>
      <c r="Q28" s="679"/>
      <c r="R28" s="679"/>
      <c r="S28" s="679"/>
      <c r="T28" s="679"/>
      <c r="U28" s="686"/>
      <c r="V28" s="679"/>
      <c r="W28" s="679"/>
      <c r="X28" s="684"/>
      <c r="Y28" s="617"/>
      <c r="Z28" s="680"/>
    </row>
    <row r="29" spans="1:26" s="616" customFormat="1" ht="13.5" x14ac:dyDescent="0.2">
      <c r="A29" s="703"/>
      <c r="B29" s="689" t="s">
        <v>296</v>
      </c>
      <c r="C29" s="686"/>
      <c r="D29" s="679"/>
      <c r="E29" s="679"/>
      <c r="F29" s="679"/>
      <c r="G29" s="679"/>
      <c r="H29" s="679"/>
      <c r="I29" s="679"/>
      <c r="J29" s="679"/>
      <c r="K29" s="679"/>
      <c r="L29" s="679"/>
      <c r="M29" s="679"/>
      <c r="N29" s="685"/>
      <c r="O29" s="679"/>
      <c r="P29" s="679"/>
      <c r="Q29" s="679"/>
      <c r="R29" s="679"/>
      <c r="S29" s="679"/>
      <c r="T29" s="679"/>
      <c r="U29" s="686"/>
      <c r="V29" s="679"/>
      <c r="W29" s="679"/>
      <c r="X29" s="684"/>
      <c r="Y29" s="617"/>
      <c r="Z29" s="680"/>
    </row>
    <row r="30" spans="1:26" s="616" customFormat="1" ht="13.5" x14ac:dyDescent="0.2">
      <c r="A30" s="703"/>
      <c r="B30" s="689" t="s">
        <v>297</v>
      </c>
      <c r="C30" s="893"/>
      <c r="D30" s="889"/>
      <c r="E30" s="889"/>
      <c r="F30" s="889"/>
      <c r="G30" s="889"/>
      <c r="H30" s="889"/>
      <c r="I30" s="889"/>
      <c r="J30" s="889"/>
      <c r="K30" s="889"/>
      <c r="L30" s="889"/>
      <c r="M30" s="889"/>
      <c r="N30" s="892"/>
      <c r="O30" s="889"/>
      <c r="P30" s="889"/>
      <c r="Q30" s="889"/>
      <c r="R30" s="889"/>
      <c r="S30" s="889"/>
      <c r="T30" s="889"/>
      <c r="U30" s="893"/>
      <c r="V30" s="889"/>
      <c r="W30" s="889"/>
      <c r="X30" s="891"/>
      <c r="Y30" s="895"/>
      <c r="Z30" s="890"/>
    </row>
    <row r="31" spans="1:26" s="616" customFormat="1" ht="13.5" x14ac:dyDescent="0.2">
      <c r="A31" s="703"/>
      <c r="B31" s="689" t="s">
        <v>298</v>
      </c>
      <c r="C31" s="893"/>
      <c r="D31" s="889"/>
      <c r="E31" s="889"/>
      <c r="F31" s="889"/>
      <c r="G31" s="889"/>
      <c r="H31" s="889"/>
      <c r="I31" s="889"/>
      <c r="J31" s="889"/>
      <c r="K31" s="889"/>
      <c r="L31" s="889"/>
      <c r="M31" s="889"/>
      <c r="N31" s="892"/>
      <c r="O31" s="889"/>
      <c r="P31" s="889"/>
      <c r="Q31" s="889"/>
      <c r="R31" s="889"/>
      <c r="S31" s="889"/>
      <c r="T31" s="889"/>
      <c r="U31" s="893"/>
      <c r="V31" s="889"/>
      <c r="W31" s="889"/>
      <c r="X31" s="891"/>
      <c r="Y31" s="895"/>
      <c r="Z31" s="890"/>
    </row>
    <row r="32" spans="1:26" s="616" customFormat="1" ht="13.5" x14ac:dyDescent="0.2">
      <c r="A32" s="703"/>
      <c r="B32" s="689" t="s">
        <v>299</v>
      </c>
      <c r="C32" s="686"/>
      <c r="D32" s="679"/>
      <c r="E32" s="679"/>
      <c r="F32" s="679"/>
      <c r="G32" s="679"/>
      <c r="H32" s="679"/>
      <c r="I32" s="679"/>
      <c r="J32" s="679"/>
      <c r="K32" s="679"/>
      <c r="L32" s="679"/>
      <c r="M32" s="679"/>
      <c r="N32" s="685"/>
      <c r="O32" s="679"/>
      <c r="P32" s="679"/>
      <c r="Q32" s="679"/>
      <c r="R32" s="679"/>
      <c r="S32" s="679"/>
      <c r="T32" s="679"/>
      <c r="U32" s="686"/>
      <c r="V32" s="679"/>
      <c r="W32" s="679"/>
      <c r="X32" s="684"/>
      <c r="Y32" s="617"/>
      <c r="Z32" s="680"/>
    </row>
    <row r="33" spans="1:26" s="616" customFormat="1" ht="13.5" x14ac:dyDescent="0.2">
      <c r="A33" s="703"/>
      <c r="B33" s="689" t="s">
        <v>300</v>
      </c>
      <c r="C33" s="686"/>
      <c r="D33" s="679"/>
      <c r="E33" s="679"/>
      <c r="F33" s="679"/>
      <c r="G33" s="679"/>
      <c r="H33" s="679"/>
      <c r="I33" s="679"/>
      <c r="J33" s="679"/>
      <c r="K33" s="679"/>
      <c r="L33" s="679"/>
      <c r="M33" s="679"/>
      <c r="N33" s="685"/>
      <c r="O33" s="679"/>
      <c r="P33" s="679"/>
      <c r="Q33" s="679"/>
      <c r="R33" s="679"/>
      <c r="S33" s="679"/>
      <c r="T33" s="679"/>
      <c r="U33" s="686"/>
      <c r="V33" s="679"/>
      <c r="W33" s="679"/>
      <c r="X33" s="684"/>
      <c r="Y33" s="617"/>
      <c r="Z33" s="680"/>
    </row>
    <row r="34" spans="1:26" s="616" customFormat="1" ht="13.5" x14ac:dyDescent="0.2">
      <c r="A34" s="703"/>
      <c r="B34" s="689" t="s">
        <v>301</v>
      </c>
      <c r="C34" s="686"/>
      <c r="D34" s="679"/>
      <c r="E34" s="679"/>
      <c r="F34" s="679"/>
      <c r="G34" s="679"/>
      <c r="H34" s="679"/>
      <c r="I34" s="679"/>
      <c r="J34" s="679"/>
      <c r="K34" s="679"/>
      <c r="L34" s="679"/>
      <c r="M34" s="679"/>
      <c r="N34" s="685"/>
      <c r="O34" s="679"/>
      <c r="P34" s="679"/>
      <c r="Q34" s="679"/>
      <c r="R34" s="679"/>
      <c r="S34" s="679"/>
      <c r="T34" s="679"/>
      <c r="U34" s="686"/>
      <c r="V34" s="679"/>
      <c r="W34" s="679"/>
      <c r="X34" s="684"/>
      <c r="Y34" s="617"/>
      <c r="Z34" s="680"/>
    </row>
    <row r="35" spans="1:26" s="616" customFormat="1" ht="13.5" x14ac:dyDescent="0.2">
      <c r="A35" s="703"/>
      <c r="B35" s="689" t="s">
        <v>302</v>
      </c>
      <c r="C35" s="686"/>
      <c r="D35" s="679"/>
      <c r="E35" s="679"/>
      <c r="F35" s="679"/>
      <c r="G35" s="679"/>
      <c r="H35" s="679"/>
      <c r="I35" s="679"/>
      <c r="J35" s="679"/>
      <c r="K35" s="679"/>
      <c r="L35" s="679"/>
      <c r="M35" s="679"/>
      <c r="N35" s="685"/>
      <c r="O35" s="679"/>
      <c r="P35" s="679"/>
      <c r="Q35" s="679"/>
      <c r="R35" s="679"/>
      <c r="S35" s="679"/>
      <c r="T35" s="679"/>
      <c r="U35" s="686"/>
      <c r="V35" s="679"/>
      <c r="W35" s="679"/>
      <c r="X35" s="684"/>
      <c r="Y35" s="617"/>
      <c r="Z35" s="680"/>
    </row>
    <row r="36" spans="1:26" s="616" customFormat="1" ht="13.5" x14ac:dyDescent="0.2">
      <c r="A36" s="703"/>
      <c r="B36" s="689" t="s">
        <v>303</v>
      </c>
      <c r="C36" s="686"/>
      <c r="D36" s="679"/>
      <c r="E36" s="679"/>
      <c r="F36" s="679"/>
      <c r="G36" s="679"/>
      <c r="H36" s="679"/>
      <c r="I36" s="679"/>
      <c r="J36" s="679"/>
      <c r="K36" s="679"/>
      <c r="L36" s="679"/>
      <c r="M36" s="679"/>
      <c r="N36" s="685"/>
      <c r="O36" s="679"/>
      <c r="P36" s="679"/>
      <c r="Q36" s="679"/>
      <c r="R36" s="679"/>
      <c r="S36" s="679"/>
      <c r="T36" s="679"/>
      <c r="U36" s="686"/>
      <c r="V36" s="679"/>
      <c r="W36" s="679"/>
      <c r="X36" s="684"/>
      <c r="Y36" s="617"/>
      <c r="Z36" s="680"/>
    </row>
    <row r="37" spans="1:26" s="616" customFormat="1" ht="13.5" x14ac:dyDescent="0.2">
      <c r="A37" s="702">
        <v>12</v>
      </c>
      <c r="B37" s="690" t="s">
        <v>304</v>
      </c>
      <c r="C37" s="691">
        <v>240</v>
      </c>
      <c r="D37" s="679">
        <v>1396</v>
      </c>
      <c r="E37" s="679">
        <v>2534</v>
      </c>
      <c r="F37" s="679">
        <v>2280</v>
      </c>
      <c r="G37" s="679">
        <v>4517</v>
      </c>
      <c r="H37" s="679">
        <v>675</v>
      </c>
      <c r="I37" s="679">
        <v>5072</v>
      </c>
      <c r="J37" s="679">
        <v>1277</v>
      </c>
      <c r="K37" s="679">
        <v>816</v>
      </c>
      <c r="L37" s="679">
        <v>1345</v>
      </c>
      <c r="M37" s="679">
        <v>437</v>
      </c>
      <c r="N37" s="692">
        <v>314</v>
      </c>
      <c r="O37" s="679">
        <v>474</v>
      </c>
      <c r="P37" s="679">
        <v>2100</v>
      </c>
      <c r="Q37" s="679">
        <v>1114</v>
      </c>
      <c r="R37" s="679">
        <v>3871</v>
      </c>
      <c r="S37" s="679">
        <v>542</v>
      </c>
      <c r="T37" s="679">
        <v>502</v>
      </c>
      <c r="U37" s="691">
        <v>276</v>
      </c>
      <c r="V37" s="679">
        <v>1602</v>
      </c>
      <c r="W37" s="679">
        <v>206</v>
      </c>
      <c r="X37" s="684">
        <v>381</v>
      </c>
      <c r="Y37" s="617">
        <f t="shared" si="0"/>
        <v>28827</v>
      </c>
      <c r="Z37" s="680">
        <v>154000</v>
      </c>
    </row>
    <row r="38" spans="1:26" s="616" customFormat="1" ht="13.5" x14ac:dyDescent="0.2">
      <c r="A38" s="702">
        <v>13</v>
      </c>
      <c r="B38" s="690" t="s">
        <v>305</v>
      </c>
      <c r="C38" s="691">
        <v>985</v>
      </c>
      <c r="D38" s="679">
        <v>2594</v>
      </c>
      <c r="E38" s="679">
        <v>4505</v>
      </c>
      <c r="F38" s="679">
        <v>3602</v>
      </c>
      <c r="G38" s="679">
        <v>17211</v>
      </c>
      <c r="H38" s="679">
        <v>1775</v>
      </c>
      <c r="I38" s="679">
        <v>20946</v>
      </c>
      <c r="J38" s="679">
        <v>3801</v>
      </c>
      <c r="K38" s="679">
        <v>2737</v>
      </c>
      <c r="L38" s="679">
        <v>5202</v>
      </c>
      <c r="M38" s="679">
        <v>3160</v>
      </c>
      <c r="N38" s="692">
        <v>2129</v>
      </c>
      <c r="O38" s="679">
        <v>3455</v>
      </c>
      <c r="P38" s="679">
        <v>6536</v>
      </c>
      <c r="Q38" s="679"/>
      <c r="R38" s="679">
        <v>11426</v>
      </c>
      <c r="S38" s="679">
        <v>2297</v>
      </c>
      <c r="T38" s="679">
        <v>2408</v>
      </c>
      <c r="U38" s="691">
        <v>1497</v>
      </c>
      <c r="V38" s="679">
        <v>7222</v>
      </c>
      <c r="W38" s="679">
        <v>845</v>
      </c>
      <c r="X38" s="684">
        <v>1199</v>
      </c>
      <c r="Y38" s="614">
        <f>SUM(C38:O38,Q38:R38,U38:X38)</f>
        <v>94291</v>
      </c>
      <c r="Z38" s="680">
        <v>654450</v>
      </c>
    </row>
    <row r="39" spans="1:26" s="616" customFormat="1" ht="22.5" x14ac:dyDescent="0.2">
      <c r="A39" s="702">
        <v>14</v>
      </c>
      <c r="B39" s="687" t="s">
        <v>306</v>
      </c>
      <c r="C39" s="687"/>
      <c r="D39" s="687"/>
      <c r="E39" s="687"/>
      <c r="F39" s="687"/>
      <c r="G39" s="687"/>
      <c r="H39" s="687"/>
      <c r="I39" s="687"/>
      <c r="J39" s="687"/>
      <c r="K39" s="687"/>
      <c r="L39" s="687"/>
      <c r="M39" s="687"/>
      <c r="N39" s="687"/>
      <c r="O39" s="687"/>
      <c r="P39" s="687"/>
      <c r="Q39" s="687"/>
      <c r="R39" s="687"/>
      <c r="S39" s="687"/>
      <c r="T39" s="687"/>
      <c r="U39" s="687"/>
      <c r="V39" s="687"/>
      <c r="W39" s="687"/>
      <c r="X39" s="687"/>
      <c r="Y39" s="706"/>
      <c r="Z39" s="706"/>
    </row>
    <row r="40" spans="1:26" s="616" customFormat="1" ht="13.5" x14ac:dyDescent="0.2">
      <c r="A40" s="702"/>
      <c r="B40" s="683" t="s">
        <v>307</v>
      </c>
      <c r="C40" s="686"/>
      <c r="D40" s="679"/>
      <c r="E40" s="679"/>
      <c r="F40" s="693"/>
      <c r="G40" s="679"/>
      <c r="H40" s="679"/>
      <c r="I40" s="679"/>
      <c r="J40" s="679"/>
      <c r="K40" s="679"/>
      <c r="L40" s="679"/>
      <c r="M40" s="679"/>
      <c r="N40" s="685"/>
      <c r="O40" s="679"/>
      <c r="P40" s="679"/>
      <c r="Q40" s="679"/>
      <c r="R40" s="679"/>
      <c r="S40" s="679"/>
      <c r="T40" s="679"/>
      <c r="U40" s="686"/>
      <c r="V40" s="679"/>
      <c r="W40" s="679"/>
      <c r="X40" s="684"/>
      <c r="Y40" s="617">
        <f t="shared" si="0"/>
        <v>0</v>
      </c>
      <c r="Z40" s="680"/>
    </row>
    <row r="41" spans="1:26" s="616" customFormat="1" ht="13.5" x14ac:dyDescent="0.2">
      <c r="A41" s="702"/>
      <c r="B41" s="683" t="s">
        <v>857</v>
      </c>
      <c r="C41" s="686"/>
      <c r="D41" s="679"/>
      <c r="E41" s="679"/>
      <c r="F41" s="693"/>
      <c r="G41" s="679"/>
      <c r="H41" s="679"/>
      <c r="I41" s="679"/>
      <c r="J41" s="679"/>
      <c r="K41" s="679"/>
      <c r="L41" s="679"/>
      <c r="M41" s="679"/>
      <c r="N41" s="685"/>
      <c r="O41" s="679"/>
      <c r="P41" s="679"/>
      <c r="Q41" s="679"/>
      <c r="R41" s="679"/>
      <c r="S41" s="679"/>
      <c r="T41" s="679"/>
      <c r="U41" s="686"/>
      <c r="V41" s="679"/>
      <c r="W41" s="679"/>
      <c r="X41" s="684"/>
      <c r="Y41" s="617">
        <f t="shared" si="0"/>
        <v>0</v>
      </c>
      <c r="Z41" s="680"/>
    </row>
    <row r="42" spans="1:26" s="616" customFormat="1" ht="13.5" x14ac:dyDescent="0.2">
      <c r="A42" s="702"/>
      <c r="B42" s="683" t="s">
        <v>858</v>
      </c>
      <c r="C42" s="686"/>
      <c r="D42" s="679"/>
      <c r="E42" s="679"/>
      <c r="F42" s="693"/>
      <c r="G42" s="679"/>
      <c r="H42" s="679"/>
      <c r="I42" s="679"/>
      <c r="J42" s="679"/>
      <c r="K42" s="679"/>
      <c r="L42" s="679"/>
      <c r="M42" s="679"/>
      <c r="N42" s="685"/>
      <c r="O42" s="679"/>
      <c r="P42" s="679"/>
      <c r="Q42" s="679"/>
      <c r="R42" s="679"/>
      <c r="S42" s="679"/>
      <c r="T42" s="679"/>
      <c r="U42" s="686"/>
      <c r="V42" s="679"/>
      <c r="W42" s="679"/>
      <c r="X42" s="684"/>
      <c r="Y42" s="617">
        <f t="shared" si="0"/>
        <v>0</v>
      </c>
      <c r="Z42" s="680"/>
    </row>
    <row r="43" spans="1:26" s="616" customFormat="1" ht="13.5" x14ac:dyDescent="0.2">
      <c r="A43" s="702"/>
      <c r="B43" s="683" t="s">
        <v>859</v>
      </c>
      <c r="C43" s="686"/>
      <c r="D43" s="679"/>
      <c r="E43" s="679"/>
      <c r="F43" s="693"/>
      <c r="G43" s="679"/>
      <c r="H43" s="679"/>
      <c r="I43" s="679"/>
      <c r="J43" s="679"/>
      <c r="K43" s="679"/>
      <c r="L43" s="679"/>
      <c r="M43" s="679"/>
      <c r="N43" s="685"/>
      <c r="O43" s="679"/>
      <c r="P43" s="679"/>
      <c r="Q43" s="679"/>
      <c r="R43" s="679"/>
      <c r="S43" s="679"/>
      <c r="T43" s="679"/>
      <c r="U43" s="686"/>
      <c r="V43" s="679"/>
      <c r="W43" s="679"/>
      <c r="X43" s="684"/>
      <c r="Y43" s="617">
        <f t="shared" si="0"/>
        <v>0</v>
      </c>
      <c r="Z43" s="680"/>
    </row>
    <row r="44" spans="1:26" s="616" customFormat="1" ht="13.5" x14ac:dyDescent="0.2">
      <c r="A44" s="702"/>
      <c r="B44" s="683" t="s">
        <v>308</v>
      </c>
      <c r="C44" s="686"/>
      <c r="D44" s="679"/>
      <c r="E44" s="679"/>
      <c r="F44" s="693"/>
      <c r="G44" s="679"/>
      <c r="H44" s="679"/>
      <c r="I44" s="679"/>
      <c r="J44" s="679"/>
      <c r="K44" s="679"/>
      <c r="L44" s="679"/>
      <c r="M44" s="679"/>
      <c r="N44" s="685"/>
      <c r="O44" s="679"/>
      <c r="P44" s="679"/>
      <c r="Q44" s="679"/>
      <c r="R44" s="679"/>
      <c r="S44" s="679"/>
      <c r="T44" s="679"/>
      <c r="U44" s="686"/>
      <c r="V44" s="679"/>
      <c r="W44" s="679"/>
      <c r="X44" s="684"/>
      <c r="Y44" s="617">
        <f t="shared" si="0"/>
        <v>0</v>
      </c>
      <c r="Z44" s="680"/>
    </row>
    <row r="45" spans="1:26" s="616" customFormat="1" ht="13.5" x14ac:dyDescent="0.2">
      <c r="A45" s="702">
        <v>15</v>
      </c>
      <c r="B45" s="690" t="s">
        <v>309</v>
      </c>
      <c r="C45" s="893"/>
      <c r="D45" s="889"/>
      <c r="E45" s="889"/>
      <c r="F45" s="889"/>
      <c r="G45" s="889"/>
      <c r="H45" s="889"/>
      <c r="I45" s="889"/>
      <c r="J45" s="889"/>
      <c r="K45" s="889"/>
      <c r="L45" s="889"/>
      <c r="M45" s="889"/>
      <c r="N45" s="892"/>
      <c r="O45" s="889"/>
      <c r="P45" s="889"/>
      <c r="Q45" s="889"/>
      <c r="R45" s="889"/>
      <c r="S45" s="889"/>
      <c r="T45" s="889"/>
      <c r="U45" s="893"/>
      <c r="V45" s="889"/>
      <c r="W45" s="889"/>
      <c r="X45" s="891"/>
      <c r="Y45" s="895"/>
      <c r="Z45" s="890"/>
    </row>
    <row r="46" spans="1:26" s="616" customFormat="1" ht="13.5" x14ac:dyDescent="0.2">
      <c r="A46" s="702">
        <v>16</v>
      </c>
      <c r="B46" s="690" t="s">
        <v>310</v>
      </c>
      <c r="C46" s="893"/>
      <c r="D46" s="889"/>
      <c r="E46" s="889"/>
      <c r="F46" s="889"/>
      <c r="G46" s="889"/>
      <c r="H46" s="889"/>
      <c r="I46" s="889"/>
      <c r="J46" s="889"/>
      <c r="K46" s="889"/>
      <c r="L46" s="889"/>
      <c r="M46" s="889"/>
      <c r="N46" s="892"/>
      <c r="O46" s="889"/>
      <c r="P46" s="889"/>
      <c r="Q46" s="889"/>
      <c r="R46" s="889"/>
      <c r="S46" s="889"/>
      <c r="T46" s="889"/>
      <c r="U46" s="893"/>
      <c r="V46" s="889"/>
      <c r="W46" s="889"/>
      <c r="X46" s="891"/>
      <c r="Y46" s="895"/>
      <c r="Z46" s="890"/>
    </row>
    <row r="47" spans="1:26" s="616" customFormat="1" ht="13.5" x14ac:dyDescent="0.2">
      <c r="A47" s="702">
        <v>17</v>
      </c>
      <c r="B47" s="690" t="s">
        <v>311</v>
      </c>
      <c r="C47" s="691">
        <v>774</v>
      </c>
      <c r="D47" s="679">
        <v>1796</v>
      </c>
      <c r="E47" s="679">
        <v>2417</v>
      </c>
      <c r="F47" s="679">
        <v>4325</v>
      </c>
      <c r="G47" s="679">
        <v>8020</v>
      </c>
      <c r="H47" s="679">
        <v>1155</v>
      </c>
      <c r="I47" s="679">
        <v>10030</v>
      </c>
      <c r="J47" s="679">
        <v>2589</v>
      </c>
      <c r="K47" s="679">
        <v>1487</v>
      </c>
      <c r="L47" s="679">
        <v>3504</v>
      </c>
      <c r="M47" s="679">
        <v>1328</v>
      </c>
      <c r="N47" s="692">
        <v>1499</v>
      </c>
      <c r="O47" s="679">
        <v>1549</v>
      </c>
      <c r="P47" s="679">
        <v>4037</v>
      </c>
      <c r="Q47" s="679">
        <v>1952</v>
      </c>
      <c r="R47" s="679">
        <v>4583</v>
      </c>
      <c r="S47" s="679">
        <v>1618</v>
      </c>
      <c r="T47" s="679">
        <v>1843</v>
      </c>
      <c r="U47" s="691">
        <v>838</v>
      </c>
      <c r="V47" s="679">
        <v>4979</v>
      </c>
      <c r="W47" s="679">
        <v>951</v>
      </c>
      <c r="X47" s="684">
        <v>541</v>
      </c>
      <c r="Y47" s="617">
        <f t="shared" si="0"/>
        <v>54317</v>
      </c>
      <c r="Z47" s="680">
        <v>397600</v>
      </c>
    </row>
    <row r="48" spans="1:26" s="616" customFormat="1" ht="13.5" x14ac:dyDescent="0.2">
      <c r="A48" s="702">
        <v>18</v>
      </c>
      <c r="B48" s="690" t="s">
        <v>312</v>
      </c>
      <c r="C48" s="691">
        <v>340</v>
      </c>
      <c r="D48" s="679">
        <v>848</v>
      </c>
      <c r="E48" s="679">
        <v>887</v>
      </c>
      <c r="F48" s="679">
        <v>1364</v>
      </c>
      <c r="G48" s="679">
        <v>2755</v>
      </c>
      <c r="H48" s="679">
        <v>505</v>
      </c>
      <c r="I48" s="679">
        <v>4023</v>
      </c>
      <c r="J48" s="679">
        <v>869</v>
      </c>
      <c r="K48" s="679">
        <v>532</v>
      </c>
      <c r="L48" s="679">
        <v>1582</v>
      </c>
      <c r="M48" s="679">
        <v>977</v>
      </c>
      <c r="N48" s="692">
        <v>557</v>
      </c>
      <c r="O48" s="679">
        <v>908</v>
      </c>
      <c r="P48" s="679">
        <v>1620</v>
      </c>
      <c r="Q48" s="679">
        <v>1555</v>
      </c>
      <c r="R48" s="679">
        <v>2616</v>
      </c>
      <c r="S48" s="679">
        <v>519</v>
      </c>
      <c r="T48" s="679">
        <v>684</v>
      </c>
      <c r="U48" s="691">
        <v>392</v>
      </c>
      <c r="V48" s="679">
        <v>1672</v>
      </c>
      <c r="W48" s="679">
        <v>386</v>
      </c>
      <c r="X48" s="684">
        <v>262</v>
      </c>
      <c r="Y48" s="617">
        <f t="shared" si="0"/>
        <v>23030</v>
      </c>
      <c r="Z48" s="680">
        <v>142490</v>
      </c>
    </row>
    <row r="49" spans="1:26" s="616" customFormat="1" ht="13.5" x14ac:dyDescent="0.2">
      <c r="A49" s="702" t="s">
        <v>313</v>
      </c>
      <c r="B49" s="690" t="s">
        <v>314</v>
      </c>
      <c r="C49" s="691">
        <v>140</v>
      </c>
      <c r="D49" s="679">
        <v>427</v>
      </c>
      <c r="E49" s="679">
        <v>328</v>
      </c>
      <c r="F49" s="679">
        <v>635</v>
      </c>
      <c r="G49" s="679">
        <v>1527</v>
      </c>
      <c r="H49" s="679">
        <v>254</v>
      </c>
      <c r="I49" s="679">
        <v>1568</v>
      </c>
      <c r="J49" s="679">
        <v>431</v>
      </c>
      <c r="K49" s="679">
        <v>73</v>
      </c>
      <c r="L49" s="679">
        <v>617</v>
      </c>
      <c r="M49" s="679">
        <v>259</v>
      </c>
      <c r="N49" s="692">
        <v>229</v>
      </c>
      <c r="O49" s="679">
        <v>397</v>
      </c>
      <c r="P49" s="679">
        <v>575</v>
      </c>
      <c r="Q49" s="679">
        <v>463</v>
      </c>
      <c r="R49" s="679">
        <v>1123</v>
      </c>
      <c r="S49" s="679">
        <v>307</v>
      </c>
      <c r="T49" s="679">
        <v>275</v>
      </c>
      <c r="U49" s="691">
        <v>158</v>
      </c>
      <c r="V49" s="679">
        <v>695</v>
      </c>
      <c r="W49" s="679">
        <v>104</v>
      </c>
      <c r="X49" s="684">
        <v>122</v>
      </c>
      <c r="Y49" s="617">
        <f t="shared" si="0"/>
        <v>9550</v>
      </c>
      <c r="Z49" s="680">
        <v>65190</v>
      </c>
    </row>
    <row r="50" spans="1:26" s="616" customFormat="1" ht="13.5" x14ac:dyDescent="0.2">
      <c r="A50" s="702" t="s">
        <v>315</v>
      </c>
      <c r="B50" s="690" t="s">
        <v>316</v>
      </c>
      <c r="C50" s="691">
        <v>72</v>
      </c>
      <c r="D50" s="679">
        <v>327</v>
      </c>
      <c r="E50" s="679">
        <v>126</v>
      </c>
      <c r="F50" s="695">
        <v>354</v>
      </c>
      <c r="G50" s="679">
        <v>1054</v>
      </c>
      <c r="H50" s="679">
        <v>63</v>
      </c>
      <c r="I50" s="679">
        <v>963</v>
      </c>
      <c r="J50" s="679">
        <v>236</v>
      </c>
      <c r="K50" s="679">
        <v>64</v>
      </c>
      <c r="L50" s="679">
        <v>524</v>
      </c>
      <c r="M50" s="679">
        <v>178</v>
      </c>
      <c r="N50" s="692">
        <v>192</v>
      </c>
      <c r="O50" s="679">
        <v>295</v>
      </c>
      <c r="P50" s="679">
        <v>554</v>
      </c>
      <c r="Q50" s="679">
        <v>382</v>
      </c>
      <c r="R50" s="679">
        <v>806</v>
      </c>
      <c r="S50" s="679">
        <v>237</v>
      </c>
      <c r="T50" s="679">
        <v>139</v>
      </c>
      <c r="U50" s="691">
        <v>103</v>
      </c>
      <c r="V50" s="679">
        <v>322</v>
      </c>
      <c r="W50" s="679">
        <v>83</v>
      </c>
      <c r="X50" s="684">
        <v>106</v>
      </c>
      <c r="Y50" s="617">
        <f t="shared" si="0"/>
        <v>6250</v>
      </c>
      <c r="Z50" s="680">
        <v>45170</v>
      </c>
    </row>
    <row r="51" spans="1:26" s="616" customFormat="1" ht="13.5" x14ac:dyDescent="0.2">
      <c r="A51" s="702" t="s">
        <v>317</v>
      </c>
      <c r="B51" s="690" t="s">
        <v>318</v>
      </c>
      <c r="C51" s="691">
        <v>108</v>
      </c>
      <c r="D51" s="679">
        <v>288</v>
      </c>
      <c r="E51" s="679">
        <v>242</v>
      </c>
      <c r="F51" s="679">
        <v>613</v>
      </c>
      <c r="G51" s="679">
        <v>1111</v>
      </c>
      <c r="H51" s="679">
        <v>164</v>
      </c>
      <c r="I51" s="679">
        <v>1191</v>
      </c>
      <c r="J51" s="679">
        <v>358</v>
      </c>
      <c r="K51" s="679">
        <v>33</v>
      </c>
      <c r="L51" s="679">
        <v>504</v>
      </c>
      <c r="M51" s="679">
        <v>234</v>
      </c>
      <c r="N51" s="692">
        <v>154</v>
      </c>
      <c r="O51" s="679">
        <v>255</v>
      </c>
      <c r="P51" s="679">
        <v>412</v>
      </c>
      <c r="Q51" s="679">
        <v>236</v>
      </c>
      <c r="R51" s="679">
        <v>925</v>
      </c>
      <c r="S51" s="679">
        <v>214</v>
      </c>
      <c r="T51" s="679">
        <v>166</v>
      </c>
      <c r="U51" s="691">
        <v>107</v>
      </c>
      <c r="V51" s="679">
        <v>489</v>
      </c>
      <c r="W51" s="679">
        <v>89</v>
      </c>
      <c r="X51" s="684">
        <v>95</v>
      </c>
      <c r="Y51" s="617">
        <f t="shared" si="0"/>
        <v>7196</v>
      </c>
      <c r="Z51" s="680">
        <v>48300</v>
      </c>
    </row>
    <row r="52" spans="1:26" s="616" customFormat="1" ht="13.5" x14ac:dyDescent="0.2">
      <c r="A52" s="702" t="s">
        <v>319</v>
      </c>
      <c r="B52" s="690" t="s">
        <v>320</v>
      </c>
      <c r="C52" s="691">
        <v>84</v>
      </c>
      <c r="D52" s="679">
        <v>219</v>
      </c>
      <c r="E52" s="679">
        <v>160</v>
      </c>
      <c r="F52" s="679">
        <v>459</v>
      </c>
      <c r="G52" s="679">
        <v>748</v>
      </c>
      <c r="H52" s="679">
        <v>101</v>
      </c>
      <c r="I52" s="679">
        <v>850</v>
      </c>
      <c r="J52" s="679">
        <v>233</v>
      </c>
      <c r="K52" s="679">
        <v>29</v>
      </c>
      <c r="L52" s="679">
        <v>358</v>
      </c>
      <c r="M52" s="679">
        <v>154</v>
      </c>
      <c r="N52" s="692">
        <v>119</v>
      </c>
      <c r="O52" s="679">
        <v>154</v>
      </c>
      <c r="P52" s="679">
        <v>290</v>
      </c>
      <c r="Q52" s="679" t="s">
        <v>809</v>
      </c>
      <c r="R52" s="679">
        <v>666</v>
      </c>
      <c r="S52" s="679">
        <v>124</v>
      </c>
      <c r="T52" s="679">
        <v>97</v>
      </c>
      <c r="U52" s="691">
        <v>73</v>
      </c>
      <c r="V52" s="679">
        <v>325</v>
      </c>
      <c r="W52" s="679">
        <v>67</v>
      </c>
      <c r="X52" s="684">
        <v>66</v>
      </c>
      <c r="Y52" s="617">
        <f t="shared" si="0"/>
        <v>4865</v>
      </c>
      <c r="Z52" s="680">
        <v>33100</v>
      </c>
    </row>
    <row r="53" spans="1:26" s="616" customFormat="1" ht="13.5" x14ac:dyDescent="0.2">
      <c r="A53" s="702" t="s">
        <v>321</v>
      </c>
      <c r="B53" s="690" t="s">
        <v>322</v>
      </c>
      <c r="C53" s="691">
        <v>84</v>
      </c>
      <c r="D53" s="679">
        <v>218</v>
      </c>
      <c r="E53" s="679">
        <v>127</v>
      </c>
      <c r="F53" s="695">
        <v>457</v>
      </c>
      <c r="G53" s="679">
        <v>646</v>
      </c>
      <c r="H53" s="679">
        <v>98</v>
      </c>
      <c r="I53" s="679">
        <v>814</v>
      </c>
      <c r="J53" s="679">
        <v>227</v>
      </c>
      <c r="K53" s="679">
        <v>29</v>
      </c>
      <c r="L53" s="679">
        <v>347</v>
      </c>
      <c r="M53" s="679">
        <v>154</v>
      </c>
      <c r="N53" s="692">
        <v>116</v>
      </c>
      <c r="O53" s="679">
        <v>134</v>
      </c>
      <c r="P53" s="679">
        <v>290</v>
      </c>
      <c r="Q53" s="679" t="s">
        <v>809</v>
      </c>
      <c r="R53" s="679">
        <v>626</v>
      </c>
      <c r="S53" s="679">
        <v>122</v>
      </c>
      <c r="T53" s="679">
        <v>90</v>
      </c>
      <c r="U53" s="691">
        <v>68</v>
      </c>
      <c r="V53" s="679">
        <v>322</v>
      </c>
      <c r="W53" s="679">
        <v>62</v>
      </c>
      <c r="X53" s="684">
        <v>65</v>
      </c>
      <c r="Y53" s="617">
        <f t="shared" si="0"/>
        <v>4594</v>
      </c>
      <c r="Z53" s="680">
        <v>31300</v>
      </c>
    </row>
    <row r="54" spans="1:26" s="616" customFormat="1" ht="13.5" x14ac:dyDescent="0.2">
      <c r="A54" s="677"/>
      <c r="B54" s="696" t="s">
        <v>661</v>
      </c>
      <c r="C54" s="887"/>
      <c r="D54" s="882"/>
      <c r="E54" s="882"/>
      <c r="F54" s="882"/>
      <c r="G54" s="882"/>
      <c r="H54" s="882"/>
      <c r="I54" s="882"/>
      <c r="J54" s="882"/>
      <c r="K54" s="882"/>
      <c r="L54" s="882"/>
      <c r="M54" s="882"/>
      <c r="N54" s="886"/>
      <c r="O54" s="882"/>
      <c r="P54" s="882"/>
      <c r="Q54" s="882"/>
      <c r="R54" s="882"/>
      <c r="S54" s="882"/>
      <c r="T54" s="882"/>
      <c r="U54" s="887"/>
      <c r="V54" s="882"/>
      <c r="W54" s="882"/>
      <c r="X54" s="885"/>
      <c r="Y54" s="896"/>
      <c r="Z54" s="883"/>
    </row>
    <row r="55" spans="1:26" s="616" customFormat="1" ht="13.5" x14ac:dyDescent="0.2">
      <c r="A55" s="702" t="s">
        <v>323</v>
      </c>
      <c r="B55" s="690" t="s">
        <v>324</v>
      </c>
      <c r="C55" s="691">
        <v>129</v>
      </c>
      <c r="D55" s="679">
        <v>344</v>
      </c>
      <c r="E55" s="679">
        <v>240</v>
      </c>
      <c r="F55" s="679">
        <v>508</v>
      </c>
      <c r="G55" s="679">
        <v>1137</v>
      </c>
      <c r="H55" s="679">
        <v>142</v>
      </c>
      <c r="I55" s="679">
        <v>1264</v>
      </c>
      <c r="J55" s="679">
        <v>231</v>
      </c>
      <c r="K55" s="679">
        <v>67</v>
      </c>
      <c r="L55" s="679">
        <v>503</v>
      </c>
      <c r="M55" s="679">
        <v>191</v>
      </c>
      <c r="N55" s="692">
        <v>201</v>
      </c>
      <c r="O55" s="679">
        <v>259</v>
      </c>
      <c r="P55" s="679">
        <v>388</v>
      </c>
      <c r="Q55" s="679">
        <v>369</v>
      </c>
      <c r="R55" s="679">
        <v>931</v>
      </c>
      <c r="S55" s="679">
        <v>221</v>
      </c>
      <c r="T55" s="679">
        <v>212</v>
      </c>
      <c r="U55" s="691">
        <v>105</v>
      </c>
      <c r="V55" s="679">
        <v>582</v>
      </c>
      <c r="W55" s="679">
        <v>66</v>
      </c>
      <c r="X55" s="684">
        <v>80</v>
      </c>
      <c r="Y55" s="617">
        <f t="shared" si="0"/>
        <v>7349</v>
      </c>
      <c r="Z55" s="680">
        <v>54380</v>
      </c>
    </row>
    <row r="56" spans="1:26" s="616" customFormat="1" ht="13.5" x14ac:dyDescent="0.2">
      <c r="A56" s="702" t="s">
        <v>325</v>
      </c>
      <c r="B56" s="690" t="s">
        <v>326</v>
      </c>
      <c r="C56" s="691">
        <v>11</v>
      </c>
      <c r="D56" s="679">
        <v>18</v>
      </c>
      <c r="E56" s="679">
        <v>22</v>
      </c>
      <c r="F56" s="679">
        <v>51</v>
      </c>
      <c r="G56" s="679">
        <v>36</v>
      </c>
      <c r="H56" s="679" t="s">
        <v>73</v>
      </c>
      <c r="I56" s="679">
        <v>62</v>
      </c>
      <c r="J56" s="679">
        <v>20</v>
      </c>
      <c r="K56" s="679">
        <v>0</v>
      </c>
      <c r="L56" s="679">
        <v>47</v>
      </c>
      <c r="M56" s="679">
        <v>21</v>
      </c>
      <c r="N56" s="692">
        <v>17</v>
      </c>
      <c r="O56" s="679">
        <v>14</v>
      </c>
      <c r="P56" s="679">
        <v>7</v>
      </c>
      <c r="Q56" s="679">
        <v>6</v>
      </c>
      <c r="R56" s="679">
        <v>63</v>
      </c>
      <c r="S56" s="679">
        <v>12</v>
      </c>
      <c r="T56" s="679">
        <v>13</v>
      </c>
      <c r="U56" s="691" t="s">
        <v>73</v>
      </c>
      <c r="V56" s="679" t="s">
        <v>73</v>
      </c>
      <c r="W56" s="679" t="s">
        <v>73</v>
      </c>
      <c r="X56" s="684" t="s">
        <v>73</v>
      </c>
      <c r="Y56" s="617">
        <f t="shared" si="0"/>
        <v>388</v>
      </c>
      <c r="Z56" s="680">
        <v>2450</v>
      </c>
    </row>
    <row r="57" spans="1:26" s="616" customFormat="1" ht="13.5" x14ac:dyDescent="0.2">
      <c r="A57" s="702" t="s">
        <v>327</v>
      </c>
      <c r="B57" s="690" t="s">
        <v>328</v>
      </c>
      <c r="C57" s="691">
        <v>125</v>
      </c>
      <c r="D57" s="679">
        <v>353</v>
      </c>
      <c r="E57" s="679">
        <v>292</v>
      </c>
      <c r="F57" s="679">
        <v>576</v>
      </c>
      <c r="G57" s="679">
        <v>1340</v>
      </c>
      <c r="H57" s="679">
        <v>205</v>
      </c>
      <c r="I57" s="679">
        <v>1474</v>
      </c>
      <c r="J57" s="679">
        <v>388</v>
      </c>
      <c r="K57" s="679">
        <v>60</v>
      </c>
      <c r="L57" s="679">
        <v>579</v>
      </c>
      <c r="M57" s="679">
        <v>242</v>
      </c>
      <c r="N57" s="692">
        <v>199</v>
      </c>
      <c r="O57" s="679">
        <v>367</v>
      </c>
      <c r="P57" s="679">
        <v>490</v>
      </c>
      <c r="Q57" s="679">
        <v>373</v>
      </c>
      <c r="R57" s="679">
        <v>967</v>
      </c>
      <c r="S57" s="679">
        <v>290</v>
      </c>
      <c r="T57" s="679">
        <v>201</v>
      </c>
      <c r="U57" s="691">
        <v>139</v>
      </c>
      <c r="V57" s="679">
        <v>701</v>
      </c>
      <c r="W57" s="679">
        <v>87</v>
      </c>
      <c r="X57" s="684">
        <v>109</v>
      </c>
      <c r="Y57" s="617">
        <f t="shared" si="0"/>
        <v>8576</v>
      </c>
      <c r="Z57" s="680">
        <v>59780</v>
      </c>
    </row>
    <row r="58" spans="1:26" s="616" customFormat="1" ht="13.5" x14ac:dyDescent="0.2">
      <c r="A58" s="702" t="s">
        <v>329</v>
      </c>
      <c r="B58" s="690" t="s">
        <v>330</v>
      </c>
      <c r="C58" s="691">
        <v>16</v>
      </c>
      <c r="D58" s="679">
        <v>97</v>
      </c>
      <c r="E58" s="679">
        <v>65</v>
      </c>
      <c r="F58" s="679">
        <v>113</v>
      </c>
      <c r="G58" s="679">
        <v>233</v>
      </c>
      <c r="H58" s="679">
        <v>30</v>
      </c>
      <c r="I58" s="679">
        <v>267</v>
      </c>
      <c r="J58" s="679">
        <v>58</v>
      </c>
      <c r="K58" s="679" t="s">
        <v>73</v>
      </c>
      <c r="L58" s="679">
        <v>125</v>
      </c>
      <c r="M58" s="679">
        <v>26</v>
      </c>
      <c r="N58" s="692">
        <v>42</v>
      </c>
      <c r="O58" s="679">
        <v>71</v>
      </c>
      <c r="P58" s="679">
        <v>63</v>
      </c>
      <c r="Q58" s="679">
        <v>58</v>
      </c>
      <c r="R58" s="679">
        <v>195</v>
      </c>
      <c r="S58" s="679">
        <v>36</v>
      </c>
      <c r="T58" s="679">
        <v>26</v>
      </c>
      <c r="U58" s="691">
        <v>22</v>
      </c>
      <c r="V58" s="679">
        <v>127</v>
      </c>
      <c r="W58" s="679">
        <v>36</v>
      </c>
      <c r="X58" s="684">
        <v>23</v>
      </c>
      <c r="Y58" s="617">
        <f t="shared" si="0"/>
        <v>1604</v>
      </c>
      <c r="Z58" s="680">
        <v>9450</v>
      </c>
    </row>
    <row r="59" spans="1:26" s="616" customFormat="1" ht="13.5" x14ac:dyDescent="0.2">
      <c r="A59" s="702" t="s">
        <v>331</v>
      </c>
      <c r="B59" s="690" t="s">
        <v>332</v>
      </c>
      <c r="C59" s="893"/>
      <c r="D59" s="889"/>
      <c r="E59" s="889"/>
      <c r="F59" s="889"/>
      <c r="G59" s="889"/>
      <c r="H59" s="889"/>
      <c r="I59" s="889"/>
      <c r="J59" s="889"/>
      <c r="K59" s="889"/>
      <c r="L59" s="889"/>
      <c r="M59" s="889"/>
      <c r="N59" s="892"/>
      <c r="O59" s="889"/>
      <c r="P59" s="889"/>
      <c r="Q59" s="889"/>
      <c r="R59" s="889"/>
      <c r="S59" s="889"/>
      <c r="T59" s="889"/>
      <c r="U59" s="893"/>
      <c r="V59" s="889"/>
      <c r="W59" s="889"/>
      <c r="X59" s="891"/>
      <c r="Y59" s="895"/>
      <c r="Z59" s="890"/>
    </row>
    <row r="60" spans="1:26" s="616" customFormat="1" ht="13.5" x14ac:dyDescent="0.2">
      <c r="A60" s="702" t="s">
        <v>333</v>
      </c>
      <c r="B60" s="690" t="s">
        <v>334</v>
      </c>
      <c r="C60" s="691">
        <v>113</v>
      </c>
      <c r="D60" s="679">
        <v>462</v>
      </c>
      <c r="E60" s="679">
        <v>438</v>
      </c>
      <c r="F60" s="679">
        <v>574</v>
      </c>
      <c r="G60" s="679">
        <v>1265</v>
      </c>
      <c r="H60" s="679">
        <v>191</v>
      </c>
      <c r="I60" s="679">
        <v>1820</v>
      </c>
      <c r="J60" s="679">
        <v>379</v>
      </c>
      <c r="K60" s="679">
        <v>303</v>
      </c>
      <c r="L60" s="679">
        <v>462</v>
      </c>
      <c r="M60" s="679">
        <v>318</v>
      </c>
      <c r="N60" s="692">
        <v>207</v>
      </c>
      <c r="O60" s="679">
        <v>189</v>
      </c>
      <c r="P60" s="679">
        <v>488</v>
      </c>
      <c r="Q60" s="679">
        <v>500</v>
      </c>
      <c r="R60" s="679">
        <v>793</v>
      </c>
      <c r="S60" s="679">
        <v>253</v>
      </c>
      <c r="T60" s="679">
        <v>314</v>
      </c>
      <c r="U60" s="691">
        <v>156</v>
      </c>
      <c r="V60" s="679">
        <v>602</v>
      </c>
      <c r="W60" s="679">
        <v>106</v>
      </c>
      <c r="X60" s="684">
        <v>72</v>
      </c>
      <c r="Y60" s="617">
        <f t="shared" si="0"/>
        <v>8950</v>
      </c>
      <c r="Z60" s="680">
        <v>68810</v>
      </c>
    </row>
    <row r="61" spans="1:26" s="616" customFormat="1" ht="13.5" x14ac:dyDescent="0.2">
      <c r="A61" s="702" t="s">
        <v>335</v>
      </c>
      <c r="B61" s="690" t="s">
        <v>336</v>
      </c>
      <c r="C61" s="904">
        <f>SUM(C68:C71)</f>
        <v>90</v>
      </c>
      <c r="D61" s="904">
        <f t="shared" ref="D61:Z61" si="1">SUM(D68:D71)</f>
        <v>360</v>
      </c>
      <c r="E61" s="904">
        <f t="shared" si="1"/>
        <v>335</v>
      </c>
      <c r="F61" s="904">
        <f t="shared" si="1"/>
        <v>480</v>
      </c>
      <c r="G61" s="904">
        <f t="shared" si="1"/>
        <v>1000</v>
      </c>
      <c r="H61" s="904">
        <f t="shared" si="1"/>
        <v>140</v>
      </c>
      <c r="I61" s="904">
        <f t="shared" si="1"/>
        <v>1320</v>
      </c>
      <c r="J61" s="904">
        <f t="shared" si="1"/>
        <v>315</v>
      </c>
      <c r="K61" s="904">
        <f t="shared" si="1"/>
        <v>245</v>
      </c>
      <c r="L61" s="904">
        <f t="shared" si="1"/>
        <v>350</v>
      </c>
      <c r="M61" s="904">
        <f t="shared" si="1"/>
        <v>260</v>
      </c>
      <c r="N61" s="904">
        <f t="shared" si="1"/>
        <v>165</v>
      </c>
      <c r="O61" s="904">
        <f t="shared" si="1"/>
        <v>135</v>
      </c>
      <c r="P61" s="904">
        <f t="shared" si="1"/>
        <v>375</v>
      </c>
      <c r="Q61" s="904">
        <f t="shared" si="1"/>
        <v>445</v>
      </c>
      <c r="R61" s="904">
        <f t="shared" si="1"/>
        <v>580</v>
      </c>
      <c r="S61" s="904">
        <f t="shared" si="1"/>
        <v>185</v>
      </c>
      <c r="T61" s="904">
        <f t="shared" si="1"/>
        <v>265</v>
      </c>
      <c r="U61" s="904">
        <f t="shared" si="1"/>
        <v>125</v>
      </c>
      <c r="V61" s="904">
        <f t="shared" si="1"/>
        <v>420</v>
      </c>
      <c r="W61" s="904">
        <f t="shared" si="1"/>
        <v>65</v>
      </c>
      <c r="X61" s="904">
        <f t="shared" si="1"/>
        <v>55</v>
      </c>
      <c r="Y61" s="617">
        <f t="shared" si="1"/>
        <v>6885</v>
      </c>
      <c r="Z61" s="904">
        <f t="shared" si="1"/>
        <v>54380</v>
      </c>
    </row>
    <row r="62" spans="1:26" s="616" customFormat="1" ht="13.5" x14ac:dyDescent="0.2">
      <c r="A62" s="702" t="s">
        <v>337</v>
      </c>
      <c r="B62" s="690" t="s">
        <v>338</v>
      </c>
      <c r="C62" s="691">
        <v>30</v>
      </c>
      <c r="D62" s="679">
        <v>160</v>
      </c>
      <c r="E62" s="679">
        <v>150</v>
      </c>
      <c r="F62" s="679">
        <v>235</v>
      </c>
      <c r="G62" s="679">
        <v>350</v>
      </c>
      <c r="H62" s="679">
        <v>40</v>
      </c>
      <c r="I62" s="679">
        <v>535</v>
      </c>
      <c r="J62" s="679">
        <v>130</v>
      </c>
      <c r="K62" s="679">
        <v>90</v>
      </c>
      <c r="L62" s="679">
        <v>100</v>
      </c>
      <c r="M62" s="679">
        <v>110</v>
      </c>
      <c r="N62" s="692">
        <v>75</v>
      </c>
      <c r="O62" s="679">
        <v>50</v>
      </c>
      <c r="P62" s="679">
        <v>115</v>
      </c>
      <c r="Q62" s="679">
        <v>150</v>
      </c>
      <c r="R62" s="679">
        <v>205</v>
      </c>
      <c r="S62" s="679">
        <v>70</v>
      </c>
      <c r="T62" s="679">
        <v>80</v>
      </c>
      <c r="U62" s="691">
        <v>50</v>
      </c>
      <c r="V62" s="679">
        <v>200</v>
      </c>
      <c r="W62" s="679">
        <v>30</v>
      </c>
      <c r="X62" s="684">
        <v>25</v>
      </c>
      <c r="Y62" s="617">
        <f t="shared" si="0"/>
        <v>2715</v>
      </c>
      <c r="Z62" s="680">
        <v>22300</v>
      </c>
    </row>
    <row r="63" spans="1:26" s="616" customFormat="1" ht="13.5" x14ac:dyDescent="0.2">
      <c r="A63" s="702" t="s">
        <v>339</v>
      </c>
      <c r="B63" s="697" t="s">
        <v>340</v>
      </c>
      <c r="C63" s="686">
        <v>15</v>
      </c>
      <c r="D63" s="679">
        <v>100</v>
      </c>
      <c r="E63" s="679">
        <v>95</v>
      </c>
      <c r="F63" s="679">
        <v>135</v>
      </c>
      <c r="G63" s="679">
        <v>215</v>
      </c>
      <c r="H63" s="679">
        <v>25</v>
      </c>
      <c r="I63" s="679">
        <v>350</v>
      </c>
      <c r="J63" s="679">
        <v>85</v>
      </c>
      <c r="K63" s="679">
        <v>55</v>
      </c>
      <c r="L63" s="679">
        <v>65</v>
      </c>
      <c r="M63" s="679">
        <v>80</v>
      </c>
      <c r="N63" s="692">
        <v>50</v>
      </c>
      <c r="O63" s="679">
        <v>25</v>
      </c>
      <c r="P63" s="679">
        <v>70</v>
      </c>
      <c r="Q63" s="679">
        <v>105</v>
      </c>
      <c r="R63" s="679">
        <v>130</v>
      </c>
      <c r="S63" s="679">
        <v>50</v>
      </c>
      <c r="T63" s="679">
        <v>50</v>
      </c>
      <c r="U63" s="691">
        <v>35</v>
      </c>
      <c r="V63" s="679">
        <v>135</v>
      </c>
      <c r="W63" s="679">
        <v>10</v>
      </c>
      <c r="X63" s="684">
        <v>10</v>
      </c>
      <c r="Y63" s="617">
        <f t="shared" si="0"/>
        <v>1720</v>
      </c>
      <c r="Z63" s="680">
        <v>14840</v>
      </c>
    </row>
    <row r="64" spans="1:26" s="616" customFormat="1" ht="13.5" x14ac:dyDescent="0.2">
      <c r="A64" s="702">
        <v>24</v>
      </c>
      <c r="B64" s="697" t="s">
        <v>759</v>
      </c>
      <c r="C64" s="691" t="s">
        <v>73</v>
      </c>
      <c r="D64" s="679">
        <v>9</v>
      </c>
      <c r="E64" s="679">
        <v>17</v>
      </c>
      <c r="F64" s="679" t="s">
        <v>73</v>
      </c>
      <c r="G64" s="679">
        <v>27</v>
      </c>
      <c r="H64" s="679">
        <v>0</v>
      </c>
      <c r="I64" s="679">
        <v>214</v>
      </c>
      <c r="J64" s="679">
        <v>0</v>
      </c>
      <c r="K64" s="679">
        <v>8</v>
      </c>
      <c r="L64" s="679">
        <v>20</v>
      </c>
      <c r="M64" s="679">
        <v>9</v>
      </c>
      <c r="N64" s="692" t="s">
        <v>73</v>
      </c>
      <c r="O64" s="679">
        <v>11</v>
      </c>
      <c r="P64" s="679" t="s">
        <v>73</v>
      </c>
      <c r="Q64" s="679" t="s">
        <v>73</v>
      </c>
      <c r="R64" s="679">
        <v>73</v>
      </c>
      <c r="S64" s="679" t="s">
        <v>73</v>
      </c>
      <c r="T64" s="679">
        <v>0</v>
      </c>
      <c r="U64" s="691">
        <v>7</v>
      </c>
      <c r="V64" s="679">
        <v>34</v>
      </c>
      <c r="W64" s="679" t="s">
        <v>73</v>
      </c>
      <c r="X64" s="684">
        <v>0</v>
      </c>
      <c r="Y64" s="617">
        <v>450</v>
      </c>
      <c r="Z64" s="680">
        <v>2060</v>
      </c>
    </row>
    <row r="65" spans="1:26" s="616" customFormat="1" ht="13.5" x14ac:dyDescent="0.2">
      <c r="A65" s="701"/>
      <c r="B65" s="697" t="s">
        <v>679</v>
      </c>
      <c r="C65" s="691">
        <v>15</v>
      </c>
      <c r="D65" s="679">
        <v>70</v>
      </c>
      <c r="E65" s="679">
        <v>25</v>
      </c>
      <c r="F65" s="679">
        <v>50</v>
      </c>
      <c r="G65" s="679">
        <v>215</v>
      </c>
      <c r="H65" s="679">
        <v>25</v>
      </c>
      <c r="I65" s="679">
        <v>245</v>
      </c>
      <c r="J65" s="679">
        <v>25</v>
      </c>
      <c r="K65" s="679">
        <v>35</v>
      </c>
      <c r="L65" s="679">
        <v>55</v>
      </c>
      <c r="M65" s="679">
        <v>40</v>
      </c>
      <c r="N65" s="692">
        <v>25</v>
      </c>
      <c r="O65" s="679">
        <v>25</v>
      </c>
      <c r="P65" s="679">
        <v>60</v>
      </c>
      <c r="Q65" s="679">
        <v>70</v>
      </c>
      <c r="R65" s="679">
        <v>75</v>
      </c>
      <c r="S65" s="679">
        <v>45</v>
      </c>
      <c r="T65" s="679">
        <v>50</v>
      </c>
      <c r="U65" s="691">
        <v>10</v>
      </c>
      <c r="V65" s="679">
        <v>65</v>
      </c>
      <c r="W65" s="679">
        <v>15</v>
      </c>
      <c r="X65" s="684">
        <v>10</v>
      </c>
      <c r="Y65" s="617">
        <f t="shared" si="0"/>
        <v>1095</v>
      </c>
      <c r="Z65" s="680">
        <v>7520</v>
      </c>
    </row>
    <row r="66" spans="1:26" s="616" customFormat="1" ht="13.5" x14ac:dyDescent="0.2">
      <c r="A66" s="701"/>
      <c r="B66" s="697" t="s">
        <v>749</v>
      </c>
      <c r="C66" s="893"/>
      <c r="D66" s="889"/>
      <c r="E66" s="889"/>
      <c r="F66" s="889"/>
      <c r="G66" s="889"/>
      <c r="H66" s="889"/>
      <c r="I66" s="889"/>
      <c r="J66" s="889"/>
      <c r="K66" s="889"/>
      <c r="L66" s="889"/>
      <c r="M66" s="889"/>
      <c r="N66" s="892"/>
      <c r="O66" s="889"/>
      <c r="P66" s="889"/>
      <c r="Q66" s="889"/>
      <c r="R66" s="889"/>
      <c r="S66" s="889"/>
      <c r="T66" s="889"/>
      <c r="U66" s="893"/>
      <c r="V66" s="889"/>
      <c r="W66" s="889"/>
      <c r="X66" s="891"/>
      <c r="Y66" s="895"/>
      <c r="Z66" s="890"/>
    </row>
    <row r="67" spans="1:26" s="616" customFormat="1" ht="13.5" x14ac:dyDescent="0.2">
      <c r="A67" s="701"/>
      <c r="B67" s="697" t="s">
        <v>750</v>
      </c>
      <c r="C67" s="893"/>
      <c r="D67" s="889"/>
      <c r="E67" s="889"/>
      <c r="F67" s="889"/>
      <c r="G67" s="889"/>
      <c r="H67" s="889"/>
      <c r="I67" s="889"/>
      <c r="J67" s="889"/>
      <c r="K67" s="889"/>
      <c r="L67" s="889"/>
      <c r="M67" s="889"/>
      <c r="N67" s="892"/>
      <c r="O67" s="889"/>
      <c r="P67" s="889"/>
      <c r="Q67" s="889"/>
      <c r="R67" s="889"/>
      <c r="S67" s="889"/>
      <c r="T67" s="889"/>
      <c r="U67" s="893"/>
      <c r="V67" s="889"/>
      <c r="W67" s="889"/>
      <c r="X67" s="891"/>
      <c r="Y67" s="895"/>
      <c r="Z67" s="890"/>
    </row>
    <row r="68" spans="1:26" s="616" customFormat="1" ht="13.5" x14ac:dyDescent="0.2">
      <c r="A68" s="701"/>
      <c r="B68" s="697" t="s">
        <v>763</v>
      </c>
      <c r="C68" s="691">
        <v>10</v>
      </c>
      <c r="D68" s="679">
        <v>35</v>
      </c>
      <c r="E68" s="679">
        <v>20</v>
      </c>
      <c r="F68" s="679">
        <v>40</v>
      </c>
      <c r="G68" s="679">
        <v>60</v>
      </c>
      <c r="H68" s="679">
        <v>15</v>
      </c>
      <c r="I68" s="679">
        <v>75</v>
      </c>
      <c r="J68" s="679">
        <v>30</v>
      </c>
      <c r="K68" s="679">
        <v>20</v>
      </c>
      <c r="L68" s="679">
        <v>30</v>
      </c>
      <c r="M68" s="679">
        <v>20</v>
      </c>
      <c r="N68" s="692">
        <v>10</v>
      </c>
      <c r="O68" s="679">
        <v>10</v>
      </c>
      <c r="P68" s="679">
        <v>35</v>
      </c>
      <c r="Q68" s="679">
        <v>40</v>
      </c>
      <c r="R68" s="679">
        <v>30</v>
      </c>
      <c r="S68" s="679">
        <v>10</v>
      </c>
      <c r="T68" s="679">
        <v>15</v>
      </c>
      <c r="U68" s="691">
        <v>5</v>
      </c>
      <c r="V68" s="679">
        <v>35</v>
      </c>
      <c r="W68" s="679" t="s">
        <v>73</v>
      </c>
      <c r="X68" s="684" t="s">
        <v>73</v>
      </c>
      <c r="Y68" s="617">
        <f t="shared" ref="Y68:Y87" si="2">SUM(C68:O68,Q68:R68,U68:X68)</f>
        <v>485</v>
      </c>
      <c r="Z68" s="680">
        <v>3880</v>
      </c>
    </row>
    <row r="69" spans="1:26" s="616" customFormat="1" ht="13.5" x14ac:dyDescent="0.2">
      <c r="A69" s="701"/>
      <c r="B69" s="697" t="s">
        <v>764</v>
      </c>
      <c r="C69" s="691">
        <v>15</v>
      </c>
      <c r="D69" s="679">
        <v>65</v>
      </c>
      <c r="E69" s="679">
        <v>65</v>
      </c>
      <c r="F69" s="679">
        <v>100</v>
      </c>
      <c r="G69" s="679">
        <v>215</v>
      </c>
      <c r="H69" s="679">
        <v>25</v>
      </c>
      <c r="I69" s="679">
        <v>240</v>
      </c>
      <c r="J69" s="679">
        <v>70</v>
      </c>
      <c r="K69" s="679">
        <v>50</v>
      </c>
      <c r="L69" s="679">
        <v>75</v>
      </c>
      <c r="M69" s="679">
        <v>50</v>
      </c>
      <c r="N69" s="692">
        <v>30</v>
      </c>
      <c r="O69" s="679">
        <v>35</v>
      </c>
      <c r="P69" s="679">
        <v>75</v>
      </c>
      <c r="Q69" s="679">
        <v>135</v>
      </c>
      <c r="R69" s="679">
        <v>115</v>
      </c>
      <c r="S69" s="679">
        <v>25</v>
      </c>
      <c r="T69" s="679">
        <v>45</v>
      </c>
      <c r="U69" s="691">
        <v>20</v>
      </c>
      <c r="V69" s="679">
        <v>75</v>
      </c>
      <c r="W69" s="679" t="s">
        <v>73</v>
      </c>
      <c r="X69" s="684">
        <v>15</v>
      </c>
      <c r="Y69" s="617">
        <f t="shared" si="2"/>
        <v>1395</v>
      </c>
      <c r="Z69" s="680">
        <v>11440</v>
      </c>
    </row>
    <row r="70" spans="1:26" s="616" customFormat="1" ht="13.5" x14ac:dyDescent="0.2">
      <c r="A70" s="701"/>
      <c r="B70" s="697" t="s">
        <v>765</v>
      </c>
      <c r="C70" s="691">
        <v>20</v>
      </c>
      <c r="D70" s="679">
        <v>75</v>
      </c>
      <c r="E70" s="679">
        <v>90</v>
      </c>
      <c r="F70" s="679">
        <v>120</v>
      </c>
      <c r="G70" s="679">
        <v>245</v>
      </c>
      <c r="H70" s="679">
        <v>30</v>
      </c>
      <c r="I70" s="679">
        <v>350</v>
      </c>
      <c r="J70" s="679">
        <v>80</v>
      </c>
      <c r="K70" s="679">
        <v>65</v>
      </c>
      <c r="L70" s="679">
        <v>75</v>
      </c>
      <c r="M70" s="679">
        <v>75</v>
      </c>
      <c r="N70" s="692">
        <v>45</v>
      </c>
      <c r="O70" s="679">
        <v>30</v>
      </c>
      <c r="P70" s="679">
        <v>85</v>
      </c>
      <c r="Q70" s="679">
        <v>125</v>
      </c>
      <c r="R70" s="679">
        <v>130</v>
      </c>
      <c r="S70" s="679">
        <v>45</v>
      </c>
      <c r="T70" s="679">
        <v>80</v>
      </c>
      <c r="U70" s="691">
        <v>30</v>
      </c>
      <c r="V70" s="679">
        <v>75</v>
      </c>
      <c r="W70" s="679">
        <v>20</v>
      </c>
      <c r="X70" s="684" t="s">
        <v>73</v>
      </c>
      <c r="Y70" s="617">
        <f t="shared" si="2"/>
        <v>1680</v>
      </c>
      <c r="Z70" s="680">
        <v>13920</v>
      </c>
    </row>
    <row r="71" spans="1:26" s="616" customFormat="1" ht="13.5" x14ac:dyDescent="0.2">
      <c r="A71" s="701"/>
      <c r="B71" s="697" t="s">
        <v>766</v>
      </c>
      <c r="C71" s="691">
        <v>45</v>
      </c>
      <c r="D71" s="679">
        <v>185</v>
      </c>
      <c r="E71" s="679">
        <v>160</v>
      </c>
      <c r="F71" s="679">
        <v>220</v>
      </c>
      <c r="G71" s="679">
        <v>480</v>
      </c>
      <c r="H71" s="679">
        <v>70</v>
      </c>
      <c r="I71" s="679">
        <v>655</v>
      </c>
      <c r="J71" s="679">
        <v>135</v>
      </c>
      <c r="K71" s="679">
        <v>110</v>
      </c>
      <c r="L71" s="679">
        <v>170</v>
      </c>
      <c r="M71" s="679">
        <v>115</v>
      </c>
      <c r="N71" s="692">
        <v>80</v>
      </c>
      <c r="O71" s="679">
        <v>60</v>
      </c>
      <c r="P71" s="679">
        <v>180</v>
      </c>
      <c r="Q71" s="679">
        <v>145</v>
      </c>
      <c r="R71" s="679">
        <v>305</v>
      </c>
      <c r="S71" s="679">
        <v>105</v>
      </c>
      <c r="T71" s="679">
        <v>125</v>
      </c>
      <c r="U71" s="691">
        <v>70</v>
      </c>
      <c r="V71" s="679">
        <v>235</v>
      </c>
      <c r="W71" s="679">
        <v>45</v>
      </c>
      <c r="X71" s="684">
        <v>40</v>
      </c>
      <c r="Y71" s="617">
        <f t="shared" si="2"/>
        <v>3325</v>
      </c>
      <c r="Z71" s="680">
        <v>25140</v>
      </c>
    </row>
    <row r="72" spans="1:26" s="616" customFormat="1" ht="13.5" x14ac:dyDescent="0.2">
      <c r="A72" s="701"/>
      <c r="B72" s="697" t="s">
        <v>767</v>
      </c>
      <c r="C72" s="691">
        <v>25</v>
      </c>
      <c r="D72" s="679">
        <v>100</v>
      </c>
      <c r="E72" s="679">
        <v>105</v>
      </c>
      <c r="F72" s="679">
        <v>90</v>
      </c>
      <c r="G72" s="679">
        <v>275</v>
      </c>
      <c r="H72" s="679">
        <v>50</v>
      </c>
      <c r="I72" s="679">
        <v>515</v>
      </c>
      <c r="J72" s="679">
        <v>65</v>
      </c>
      <c r="K72" s="679">
        <v>65</v>
      </c>
      <c r="L72" s="679">
        <v>115</v>
      </c>
      <c r="M72" s="679">
        <v>60</v>
      </c>
      <c r="N72" s="692">
        <v>45</v>
      </c>
      <c r="O72" s="679">
        <v>50</v>
      </c>
      <c r="P72" s="679">
        <v>110</v>
      </c>
      <c r="Q72" s="679">
        <v>60</v>
      </c>
      <c r="R72" s="679">
        <v>210</v>
      </c>
      <c r="S72" s="679">
        <v>70</v>
      </c>
      <c r="T72" s="679">
        <v>50</v>
      </c>
      <c r="U72" s="691">
        <v>30</v>
      </c>
      <c r="V72" s="679">
        <v>185</v>
      </c>
      <c r="W72" s="679">
        <v>20</v>
      </c>
      <c r="X72" s="684">
        <v>15</v>
      </c>
      <c r="Y72" s="617">
        <f t="shared" si="2"/>
        <v>2080</v>
      </c>
      <c r="Z72" s="680">
        <v>14460</v>
      </c>
    </row>
    <row r="73" spans="1:26" s="616" customFormat="1" ht="13.5" x14ac:dyDescent="0.2">
      <c r="A73" s="677"/>
      <c r="B73" s="678" t="s">
        <v>662</v>
      </c>
      <c r="C73" s="691">
        <v>54</v>
      </c>
      <c r="D73" s="679">
        <v>186</v>
      </c>
      <c r="E73" s="679">
        <v>165</v>
      </c>
      <c r="F73" s="679">
        <v>191</v>
      </c>
      <c r="G73" s="679">
        <v>553</v>
      </c>
      <c r="H73" s="679">
        <v>103</v>
      </c>
      <c r="I73" s="679">
        <v>842</v>
      </c>
      <c r="J73" s="679">
        <v>144</v>
      </c>
      <c r="K73" s="679">
        <v>172</v>
      </c>
      <c r="L73" s="679">
        <v>299</v>
      </c>
      <c r="M73" s="679">
        <v>155</v>
      </c>
      <c r="N73" s="685">
        <v>68</v>
      </c>
      <c r="O73" s="679">
        <v>109</v>
      </c>
      <c r="P73" s="679">
        <v>267</v>
      </c>
      <c r="Q73" s="679">
        <v>195</v>
      </c>
      <c r="R73" s="679">
        <v>372</v>
      </c>
      <c r="S73" s="679">
        <v>129</v>
      </c>
      <c r="T73" s="679">
        <v>165</v>
      </c>
      <c r="U73" s="686">
        <v>79</v>
      </c>
      <c r="V73" s="679">
        <v>308</v>
      </c>
      <c r="W73" s="679">
        <v>48</v>
      </c>
      <c r="X73" s="684">
        <v>25</v>
      </c>
      <c r="Y73" s="617">
        <v>4070</v>
      </c>
      <c r="Z73" s="680">
        <v>30730</v>
      </c>
    </row>
    <row r="74" spans="1:26" s="616" customFormat="1" ht="13.5" x14ac:dyDescent="0.2">
      <c r="A74" s="677"/>
      <c r="B74" s="678" t="s">
        <v>663</v>
      </c>
      <c r="C74" s="887"/>
      <c r="D74" s="882"/>
      <c r="E74" s="882"/>
      <c r="F74" s="882"/>
      <c r="G74" s="882"/>
      <c r="H74" s="882"/>
      <c r="I74" s="882"/>
      <c r="J74" s="882"/>
      <c r="K74" s="882"/>
      <c r="L74" s="882"/>
      <c r="M74" s="882"/>
      <c r="N74" s="886"/>
      <c r="O74" s="882"/>
      <c r="P74" s="882"/>
      <c r="Q74" s="882"/>
      <c r="R74" s="882"/>
      <c r="S74" s="882"/>
      <c r="T74" s="882"/>
      <c r="U74" s="887"/>
      <c r="V74" s="882"/>
      <c r="W74" s="882"/>
      <c r="X74" s="885"/>
      <c r="Y74" s="896"/>
      <c r="Z74" s="883"/>
    </row>
    <row r="75" spans="1:26" s="616" customFormat="1" ht="13.5" x14ac:dyDescent="0.2">
      <c r="A75" s="677"/>
      <c r="B75" s="678" t="s">
        <v>664</v>
      </c>
      <c r="C75" s="887"/>
      <c r="D75" s="882"/>
      <c r="E75" s="882"/>
      <c r="F75" s="882"/>
      <c r="G75" s="882"/>
      <c r="H75" s="882"/>
      <c r="I75" s="882"/>
      <c r="J75" s="882"/>
      <c r="K75" s="882"/>
      <c r="L75" s="882"/>
      <c r="M75" s="882"/>
      <c r="N75" s="886"/>
      <c r="O75" s="882"/>
      <c r="P75" s="882"/>
      <c r="Q75" s="882"/>
      <c r="R75" s="882"/>
      <c r="S75" s="882"/>
      <c r="T75" s="882"/>
      <c r="U75" s="887"/>
      <c r="V75" s="882"/>
      <c r="W75" s="882"/>
      <c r="X75" s="885"/>
      <c r="Y75" s="896"/>
      <c r="Z75" s="883"/>
    </row>
    <row r="76" spans="1:26" s="616" customFormat="1" ht="13.5" x14ac:dyDescent="0.2">
      <c r="A76" s="702">
        <v>25</v>
      </c>
      <c r="B76" s="697" t="s">
        <v>789</v>
      </c>
      <c r="C76" s="698" t="s">
        <v>73</v>
      </c>
      <c r="D76" s="679">
        <v>25</v>
      </c>
      <c r="E76" s="679">
        <v>15</v>
      </c>
      <c r="F76" s="679">
        <v>30</v>
      </c>
      <c r="G76" s="679">
        <v>60</v>
      </c>
      <c r="H76" s="679" t="s">
        <v>73</v>
      </c>
      <c r="I76" s="679">
        <v>115</v>
      </c>
      <c r="J76" s="679">
        <v>40</v>
      </c>
      <c r="K76" s="679">
        <v>10</v>
      </c>
      <c r="L76" s="679">
        <v>20</v>
      </c>
      <c r="M76" s="679">
        <v>20</v>
      </c>
      <c r="N76" s="692">
        <v>15</v>
      </c>
      <c r="O76" s="679">
        <v>15</v>
      </c>
      <c r="P76" s="679">
        <v>35</v>
      </c>
      <c r="Q76" s="679">
        <v>40</v>
      </c>
      <c r="R76" s="679">
        <v>45</v>
      </c>
      <c r="S76" s="679">
        <v>5</v>
      </c>
      <c r="T76" s="679">
        <v>10</v>
      </c>
      <c r="U76" s="691" t="s">
        <v>73</v>
      </c>
      <c r="V76" s="679">
        <v>25</v>
      </c>
      <c r="W76" s="679">
        <v>10</v>
      </c>
      <c r="X76" s="684" t="s">
        <v>73</v>
      </c>
      <c r="Y76" s="617">
        <v>500</v>
      </c>
      <c r="Z76" s="680">
        <v>3580</v>
      </c>
    </row>
    <row r="77" spans="1:26" s="616" customFormat="1" ht="13.5" x14ac:dyDescent="0.2">
      <c r="A77" s="702" t="s">
        <v>341</v>
      </c>
      <c r="B77" s="697" t="s">
        <v>342</v>
      </c>
      <c r="C77" s="686">
        <v>48</v>
      </c>
      <c r="D77" s="679">
        <v>180</v>
      </c>
      <c r="E77" s="679">
        <v>132</v>
      </c>
      <c r="F77" s="679">
        <v>216</v>
      </c>
      <c r="G77" s="679">
        <v>428</v>
      </c>
      <c r="H77" s="679">
        <v>93</v>
      </c>
      <c r="I77" s="679">
        <v>874</v>
      </c>
      <c r="J77" s="679">
        <v>180</v>
      </c>
      <c r="K77" s="679">
        <v>155</v>
      </c>
      <c r="L77" s="679">
        <v>261</v>
      </c>
      <c r="M77" s="679">
        <v>148</v>
      </c>
      <c r="N77" s="692">
        <v>95</v>
      </c>
      <c r="O77" s="679">
        <v>105</v>
      </c>
      <c r="P77" s="679">
        <v>301</v>
      </c>
      <c r="Q77" s="679">
        <v>184</v>
      </c>
      <c r="R77" s="679">
        <v>418</v>
      </c>
      <c r="S77" s="679">
        <v>134</v>
      </c>
      <c r="T77" s="679">
        <v>156</v>
      </c>
      <c r="U77" s="691">
        <v>68</v>
      </c>
      <c r="V77" s="679">
        <v>380</v>
      </c>
      <c r="W77" s="679">
        <v>47</v>
      </c>
      <c r="X77" s="684">
        <v>37</v>
      </c>
      <c r="Y77" s="617">
        <f t="shared" si="2"/>
        <v>4049</v>
      </c>
      <c r="Z77" s="680">
        <v>30600</v>
      </c>
    </row>
    <row r="78" spans="1:26" s="616" customFormat="1" ht="13.5" x14ac:dyDescent="0.2">
      <c r="A78" s="702" t="s">
        <v>343</v>
      </c>
      <c r="B78" s="697" t="s">
        <v>344</v>
      </c>
      <c r="C78" s="698">
        <v>10</v>
      </c>
      <c r="D78" s="679">
        <v>38</v>
      </c>
      <c r="E78" s="679">
        <v>30</v>
      </c>
      <c r="F78" s="679">
        <v>58</v>
      </c>
      <c r="G78" s="679">
        <v>56</v>
      </c>
      <c r="H78" s="679">
        <v>7</v>
      </c>
      <c r="I78" s="679">
        <v>145</v>
      </c>
      <c r="J78" s="679">
        <v>43</v>
      </c>
      <c r="K78" s="679">
        <v>27</v>
      </c>
      <c r="L78" s="679">
        <v>44</v>
      </c>
      <c r="M78" s="679">
        <v>26</v>
      </c>
      <c r="N78" s="699">
        <v>26</v>
      </c>
      <c r="O78" s="679">
        <v>17</v>
      </c>
      <c r="P78" s="679">
        <v>48</v>
      </c>
      <c r="Q78" s="679">
        <v>30</v>
      </c>
      <c r="R78" s="679">
        <v>59</v>
      </c>
      <c r="S78" s="679">
        <v>16</v>
      </c>
      <c r="T78" s="679">
        <v>26</v>
      </c>
      <c r="U78" s="698">
        <v>6</v>
      </c>
      <c r="V78" s="679">
        <v>51</v>
      </c>
      <c r="W78" s="679">
        <v>12</v>
      </c>
      <c r="X78" s="684" t="s">
        <v>73</v>
      </c>
      <c r="Y78" s="617">
        <v>690</v>
      </c>
      <c r="Z78" s="680">
        <v>5050</v>
      </c>
    </row>
    <row r="79" spans="1:26" s="616" customFormat="1" ht="13.5" x14ac:dyDescent="0.2">
      <c r="A79" s="702" t="s">
        <v>345</v>
      </c>
      <c r="B79" s="697" t="s">
        <v>346</v>
      </c>
      <c r="C79" s="889"/>
      <c r="D79" s="889"/>
      <c r="E79" s="889"/>
      <c r="F79" s="889"/>
      <c r="G79" s="889"/>
      <c r="H79" s="889"/>
      <c r="I79" s="889"/>
      <c r="J79" s="889"/>
      <c r="K79" s="889"/>
      <c r="L79" s="889"/>
      <c r="M79" s="889"/>
      <c r="N79" s="889"/>
      <c r="O79" s="889"/>
      <c r="P79" s="889"/>
      <c r="Q79" s="889"/>
      <c r="R79" s="889"/>
      <c r="S79" s="889"/>
      <c r="T79" s="889"/>
      <c r="U79" s="889"/>
      <c r="V79" s="889"/>
      <c r="W79" s="889"/>
      <c r="X79" s="891"/>
      <c r="Y79" s="895"/>
      <c r="Z79" s="890"/>
    </row>
    <row r="80" spans="1:26" s="616" customFormat="1" ht="13.5" x14ac:dyDescent="0.2">
      <c r="A80" s="702" t="s">
        <v>347</v>
      </c>
      <c r="B80" s="697" t="s">
        <v>348</v>
      </c>
      <c r="C80" s="889"/>
      <c r="D80" s="889"/>
      <c r="E80" s="889"/>
      <c r="F80" s="889"/>
      <c r="G80" s="889"/>
      <c r="H80" s="889"/>
      <c r="I80" s="889"/>
      <c r="J80" s="889"/>
      <c r="K80" s="889"/>
      <c r="L80" s="889"/>
      <c r="M80" s="889"/>
      <c r="N80" s="889"/>
      <c r="O80" s="889"/>
      <c r="P80" s="889"/>
      <c r="Q80" s="889"/>
      <c r="R80" s="889"/>
      <c r="S80" s="889"/>
      <c r="T80" s="889"/>
      <c r="U80" s="889"/>
      <c r="V80" s="889"/>
      <c r="W80" s="889"/>
      <c r="X80" s="891"/>
      <c r="Y80" s="895"/>
      <c r="Z80" s="890"/>
    </row>
    <row r="81" spans="1:26" s="616" customFormat="1" ht="13.5" x14ac:dyDescent="0.2">
      <c r="A81" s="677"/>
      <c r="B81" s="683" t="s">
        <v>665</v>
      </c>
      <c r="C81" s="882"/>
      <c r="D81" s="882"/>
      <c r="E81" s="882"/>
      <c r="F81" s="882"/>
      <c r="G81" s="882"/>
      <c r="H81" s="882"/>
      <c r="I81" s="882"/>
      <c r="J81" s="882"/>
      <c r="K81" s="882"/>
      <c r="L81" s="882"/>
      <c r="M81" s="882"/>
      <c r="N81" s="882"/>
      <c r="O81" s="882"/>
      <c r="P81" s="882"/>
      <c r="Q81" s="882"/>
      <c r="R81" s="882"/>
      <c r="S81" s="882"/>
      <c r="T81" s="882"/>
      <c r="U81" s="882"/>
      <c r="V81" s="882"/>
      <c r="W81" s="882"/>
      <c r="X81" s="885"/>
      <c r="Y81" s="896"/>
      <c r="Z81" s="888"/>
    </row>
    <row r="82" spans="1:26" s="616" customFormat="1" ht="13.5" x14ac:dyDescent="0.2">
      <c r="A82" s="677"/>
      <c r="B82" s="683" t="s">
        <v>666</v>
      </c>
      <c r="C82" s="882"/>
      <c r="D82" s="882"/>
      <c r="E82" s="882"/>
      <c r="F82" s="882"/>
      <c r="G82" s="882"/>
      <c r="H82" s="882"/>
      <c r="I82" s="882"/>
      <c r="J82" s="882"/>
      <c r="K82" s="882"/>
      <c r="L82" s="882"/>
      <c r="M82" s="882"/>
      <c r="N82" s="882"/>
      <c r="O82" s="882"/>
      <c r="P82" s="882"/>
      <c r="Q82" s="882"/>
      <c r="R82" s="882"/>
      <c r="S82" s="882"/>
      <c r="T82" s="882"/>
      <c r="U82" s="882"/>
      <c r="V82" s="882"/>
      <c r="W82" s="882"/>
      <c r="X82" s="885"/>
      <c r="Y82" s="896"/>
      <c r="Z82" s="888"/>
    </row>
    <row r="83" spans="1:26" s="616" customFormat="1" ht="13.5" x14ac:dyDescent="0.2">
      <c r="A83" s="677"/>
      <c r="B83" s="683" t="s">
        <v>667</v>
      </c>
      <c r="C83" s="882"/>
      <c r="D83" s="882"/>
      <c r="E83" s="882"/>
      <c r="F83" s="882"/>
      <c r="G83" s="882"/>
      <c r="H83" s="882"/>
      <c r="I83" s="882"/>
      <c r="J83" s="882"/>
      <c r="K83" s="882"/>
      <c r="L83" s="882"/>
      <c r="M83" s="882"/>
      <c r="N83" s="882"/>
      <c r="O83" s="882"/>
      <c r="P83" s="882"/>
      <c r="Q83" s="882"/>
      <c r="R83" s="882"/>
      <c r="S83" s="882"/>
      <c r="T83" s="882"/>
      <c r="U83" s="882"/>
      <c r="V83" s="882"/>
      <c r="W83" s="882"/>
      <c r="X83" s="885"/>
      <c r="Y83" s="896"/>
      <c r="Z83" s="888"/>
    </row>
    <row r="84" spans="1:26" s="616" customFormat="1" ht="13.5" x14ac:dyDescent="0.2">
      <c r="A84" s="677"/>
      <c r="B84" s="683" t="s">
        <v>668</v>
      </c>
      <c r="C84" s="882"/>
      <c r="D84" s="882"/>
      <c r="E84" s="882"/>
      <c r="F84" s="882"/>
      <c r="G84" s="882"/>
      <c r="H84" s="882"/>
      <c r="I84" s="882"/>
      <c r="J84" s="882"/>
      <c r="K84" s="882"/>
      <c r="L84" s="882"/>
      <c r="M84" s="882"/>
      <c r="N84" s="882"/>
      <c r="O84" s="882"/>
      <c r="P84" s="882"/>
      <c r="Q84" s="882"/>
      <c r="R84" s="882"/>
      <c r="S84" s="882"/>
      <c r="T84" s="882"/>
      <c r="U84" s="882"/>
      <c r="V84" s="882"/>
      <c r="W84" s="882"/>
      <c r="X84" s="885"/>
      <c r="Y84" s="896"/>
      <c r="Z84" s="888"/>
    </row>
    <row r="85" spans="1:26" s="616" customFormat="1" ht="13.5" x14ac:dyDescent="0.2">
      <c r="A85" s="677"/>
      <c r="B85" s="683" t="s">
        <v>669</v>
      </c>
      <c r="C85" s="882"/>
      <c r="D85" s="882"/>
      <c r="E85" s="882"/>
      <c r="F85" s="882"/>
      <c r="G85" s="882"/>
      <c r="H85" s="882"/>
      <c r="I85" s="882"/>
      <c r="J85" s="882"/>
      <c r="K85" s="882"/>
      <c r="L85" s="882"/>
      <c r="M85" s="882"/>
      <c r="N85" s="882"/>
      <c r="O85" s="882"/>
      <c r="P85" s="882"/>
      <c r="Q85" s="882"/>
      <c r="R85" s="882"/>
      <c r="S85" s="882"/>
      <c r="T85" s="882"/>
      <c r="U85" s="882"/>
      <c r="V85" s="882"/>
      <c r="W85" s="882"/>
      <c r="X85" s="885"/>
      <c r="Y85" s="896"/>
      <c r="Z85" s="888"/>
    </row>
    <row r="86" spans="1:26" s="616" customFormat="1" ht="13.5" x14ac:dyDescent="0.2">
      <c r="A86" s="701"/>
      <c r="B86" s="697" t="s">
        <v>794</v>
      </c>
      <c r="C86" s="679" t="s">
        <v>73</v>
      </c>
      <c r="D86" s="679" t="s">
        <v>73</v>
      </c>
      <c r="E86" s="679" t="s">
        <v>73</v>
      </c>
      <c r="F86" s="679" t="s">
        <v>73</v>
      </c>
      <c r="G86" s="679">
        <v>25</v>
      </c>
      <c r="H86" s="679">
        <v>10</v>
      </c>
      <c r="I86" s="679">
        <v>50</v>
      </c>
      <c r="J86" s="679" t="s">
        <v>73</v>
      </c>
      <c r="K86" s="679">
        <v>10</v>
      </c>
      <c r="L86" s="679">
        <v>10</v>
      </c>
      <c r="M86" s="679">
        <v>5</v>
      </c>
      <c r="N86" s="679" t="s">
        <v>73</v>
      </c>
      <c r="O86" s="679">
        <v>5</v>
      </c>
      <c r="P86" s="679">
        <v>15</v>
      </c>
      <c r="Q86" s="679">
        <v>25</v>
      </c>
      <c r="R86" s="679">
        <v>30</v>
      </c>
      <c r="S86" s="679">
        <v>5</v>
      </c>
      <c r="T86" s="679">
        <v>10</v>
      </c>
      <c r="U86" s="679">
        <v>0</v>
      </c>
      <c r="V86" s="679">
        <v>15</v>
      </c>
      <c r="W86" s="679">
        <v>10</v>
      </c>
      <c r="X86" s="684" t="s">
        <v>73</v>
      </c>
      <c r="Y86" s="617">
        <v>230</v>
      </c>
      <c r="Z86" s="682">
        <v>1690</v>
      </c>
    </row>
    <row r="87" spans="1:26" s="616" customFormat="1" ht="13.5" x14ac:dyDescent="0.2">
      <c r="A87" s="701"/>
      <c r="B87" s="697" t="s">
        <v>795</v>
      </c>
      <c r="C87" s="679" t="s">
        <v>805</v>
      </c>
      <c r="D87" s="679">
        <v>15</v>
      </c>
      <c r="E87" s="679">
        <v>15</v>
      </c>
      <c r="F87" s="679">
        <v>35</v>
      </c>
      <c r="G87" s="679">
        <v>40</v>
      </c>
      <c r="H87" s="679">
        <v>15</v>
      </c>
      <c r="I87" s="679">
        <v>60</v>
      </c>
      <c r="J87" s="679">
        <v>15</v>
      </c>
      <c r="K87" s="679">
        <v>20</v>
      </c>
      <c r="L87" s="679">
        <v>35</v>
      </c>
      <c r="M87" s="679">
        <v>25</v>
      </c>
      <c r="N87" s="679">
        <v>15</v>
      </c>
      <c r="O87" s="679">
        <v>15</v>
      </c>
      <c r="P87" s="679">
        <v>10</v>
      </c>
      <c r="Q87" s="679">
        <v>20</v>
      </c>
      <c r="R87" s="679">
        <v>65</v>
      </c>
      <c r="S87" s="679">
        <v>5</v>
      </c>
      <c r="T87" s="679">
        <v>15</v>
      </c>
      <c r="U87" s="679">
        <v>10</v>
      </c>
      <c r="V87" s="679">
        <v>35</v>
      </c>
      <c r="W87" s="679" t="s">
        <v>805</v>
      </c>
      <c r="X87" s="684">
        <v>10</v>
      </c>
      <c r="Y87" s="617">
        <f t="shared" si="2"/>
        <v>445</v>
      </c>
      <c r="Z87" s="682">
        <v>3360</v>
      </c>
    </row>
    <row r="88" spans="1:26" s="616" customFormat="1" ht="13.5" x14ac:dyDescent="0.2">
      <c r="A88" s="702" t="s">
        <v>349</v>
      </c>
      <c r="B88" s="697" t="s">
        <v>350</v>
      </c>
      <c r="C88" s="889"/>
      <c r="D88" s="889"/>
      <c r="E88" s="889"/>
      <c r="F88" s="889"/>
      <c r="G88" s="889"/>
      <c r="H88" s="889"/>
      <c r="I88" s="889"/>
      <c r="J88" s="889"/>
      <c r="K88" s="889"/>
      <c r="L88" s="889"/>
      <c r="M88" s="889"/>
      <c r="N88" s="889"/>
      <c r="O88" s="889"/>
      <c r="P88" s="889"/>
      <c r="Q88" s="889"/>
      <c r="R88" s="889"/>
      <c r="S88" s="889"/>
      <c r="T88" s="889"/>
      <c r="U88" s="889"/>
      <c r="V88" s="889"/>
      <c r="W88" s="889"/>
      <c r="X88" s="891"/>
      <c r="Y88" s="895"/>
      <c r="Z88" s="894"/>
    </row>
    <row r="89" spans="1:26" s="616" customFormat="1" ht="13.5" x14ac:dyDescent="0.2">
      <c r="A89" s="702" t="s">
        <v>351</v>
      </c>
      <c r="B89" s="697" t="s">
        <v>352</v>
      </c>
      <c r="C89" s="754"/>
      <c r="D89" s="754"/>
      <c r="E89" s="754"/>
      <c r="F89" s="754"/>
      <c r="G89" s="754"/>
      <c r="H89" s="754"/>
      <c r="I89" s="754"/>
      <c r="J89" s="754"/>
      <c r="K89" s="754"/>
      <c r="L89" s="754"/>
      <c r="M89" s="754"/>
      <c r="N89" s="754"/>
      <c r="O89" s="754"/>
      <c r="P89" s="754"/>
      <c r="Q89" s="754"/>
      <c r="R89" s="754"/>
      <c r="S89" s="754"/>
      <c r="T89" s="754"/>
      <c r="U89" s="754"/>
      <c r="V89" s="754"/>
      <c r="W89" s="754"/>
      <c r="X89" s="755"/>
      <c r="Y89" s="756"/>
      <c r="Z89" s="757"/>
    </row>
    <row r="90" spans="1:26" s="616" customFormat="1" ht="13.5" x14ac:dyDescent="0.2">
      <c r="A90" s="702" t="s">
        <v>353</v>
      </c>
      <c r="B90" s="697" t="s">
        <v>354</v>
      </c>
      <c r="C90" s="889"/>
      <c r="D90" s="889"/>
      <c r="E90" s="889"/>
      <c r="F90" s="889"/>
      <c r="G90" s="889"/>
      <c r="H90" s="889"/>
      <c r="I90" s="889"/>
      <c r="J90" s="889"/>
      <c r="K90" s="889"/>
      <c r="L90" s="889"/>
      <c r="M90" s="889"/>
      <c r="N90" s="889"/>
      <c r="O90" s="889"/>
      <c r="P90" s="889"/>
      <c r="Q90" s="889"/>
      <c r="R90" s="889"/>
      <c r="S90" s="889"/>
      <c r="T90" s="889"/>
      <c r="U90" s="889"/>
      <c r="V90" s="889"/>
      <c r="W90" s="889"/>
      <c r="X90" s="891"/>
      <c r="Y90" s="895"/>
      <c r="Z90" s="894"/>
    </row>
    <row r="91" spans="1:26" s="616" customFormat="1" ht="13.5" x14ac:dyDescent="0.2">
      <c r="A91" s="702" t="s">
        <v>355</v>
      </c>
      <c r="B91" s="697" t="s">
        <v>356</v>
      </c>
      <c r="C91" s="754"/>
      <c r="D91" s="754"/>
      <c r="E91" s="754"/>
      <c r="F91" s="754"/>
      <c r="G91" s="754"/>
      <c r="H91" s="754"/>
      <c r="I91" s="754"/>
      <c r="J91" s="754"/>
      <c r="K91" s="754"/>
      <c r="L91" s="754"/>
      <c r="M91" s="754"/>
      <c r="N91" s="754"/>
      <c r="O91" s="754"/>
      <c r="P91" s="754"/>
      <c r="Q91" s="754"/>
      <c r="R91" s="754"/>
      <c r="S91" s="754"/>
      <c r="T91" s="754"/>
      <c r="U91" s="754"/>
      <c r="V91" s="754"/>
      <c r="W91" s="754"/>
      <c r="X91" s="755"/>
      <c r="Y91" s="756"/>
      <c r="Z91" s="757"/>
    </row>
    <row r="92" spans="1:26" s="616" customFormat="1" ht="13.5" x14ac:dyDescent="0.2">
      <c r="A92" s="677"/>
      <c r="B92" s="683" t="s">
        <v>670</v>
      </c>
      <c r="C92" s="882"/>
      <c r="D92" s="882"/>
      <c r="E92" s="882"/>
      <c r="F92" s="882"/>
      <c r="G92" s="882"/>
      <c r="H92" s="882"/>
      <c r="I92" s="882"/>
      <c r="J92" s="882"/>
      <c r="K92" s="882"/>
      <c r="L92" s="882"/>
      <c r="M92" s="882"/>
      <c r="N92" s="882"/>
      <c r="O92" s="882"/>
      <c r="P92" s="882"/>
      <c r="Q92" s="882"/>
      <c r="R92" s="882"/>
      <c r="S92" s="882"/>
      <c r="T92" s="882"/>
      <c r="U92" s="882"/>
      <c r="V92" s="882"/>
      <c r="W92" s="882"/>
      <c r="X92" s="885"/>
      <c r="Y92" s="896"/>
      <c r="Z92" s="888"/>
    </row>
    <row r="93" spans="1:26" s="616" customFormat="1" ht="13.5" x14ac:dyDescent="0.2">
      <c r="A93" s="677"/>
      <c r="B93" s="683" t="s">
        <v>671</v>
      </c>
      <c r="C93" s="882"/>
      <c r="D93" s="882"/>
      <c r="E93" s="882"/>
      <c r="F93" s="882"/>
      <c r="G93" s="882"/>
      <c r="H93" s="882"/>
      <c r="I93" s="882"/>
      <c r="J93" s="882"/>
      <c r="K93" s="882"/>
      <c r="L93" s="882"/>
      <c r="M93" s="882"/>
      <c r="N93" s="882"/>
      <c r="O93" s="882"/>
      <c r="P93" s="882"/>
      <c r="Q93" s="882"/>
      <c r="R93" s="882"/>
      <c r="S93" s="882"/>
      <c r="T93" s="882"/>
      <c r="U93" s="882"/>
      <c r="V93" s="882"/>
      <c r="W93" s="882"/>
      <c r="X93" s="885"/>
      <c r="Y93" s="896"/>
      <c r="Z93" s="888"/>
    </row>
    <row r="94" spans="1:26" s="616" customFormat="1" ht="13.5" x14ac:dyDescent="0.2">
      <c r="A94" s="677"/>
      <c r="B94" s="683" t="s">
        <v>672</v>
      </c>
      <c r="C94" s="882"/>
      <c r="D94" s="882"/>
      <c r="E94" s="882"/>
      <c r="F94" s="882"/>
      <c r="G94" s="882"/>
      <c r="H94" s="882"/>
      <c r="I94" s="882"/>
      <c r="J94" s="882"/>
      <c r="K94" s="882"/>
      <c r="L94" s="882"/>
      <c r="M94" s="882"/>
      <c r="N94" s="882"/>
      <c r="O94" s="882"/>
      <c r="P94" s="882"/>
      <c r="Q94" s="882"/>
      <c r="R94" s="882"/>
      <c r="S94" s="882"/>
      <c r="T94" s="882"/>
      <c r="U94" s="882"/>
      <c r="V94" s="882"/>
      <c r="W94" s="882"/>
      <c r="X94" s="885"/>
      <c r="Y94" s="896"/>
      <c r="Z94" s="888"/>
    </row>
    <row r="95" spans="1:26" s="616" customFormat="1" ht="13.5" x14ac:dyDescent="0.2">
      <c r="A95" s="677"/>
      <c r="B95" s="683" t="s">
        <v>680</v>
      </c>
      <c r="C95" s="882"/>
      <c r="D95" s="882"/>
      <c r="E95" s="882"/>
      <c r="F95" s="882"/>
      <c r="G95" s="882"/>
      <c r="H95" s="882"/>
      <c r="I95" s="882"/>
      <c r="J95" s="882"/>
      <c r="K95" s="882"/>
      <c r="L95" s="882"/>
      <c r="M95" s="882"/>
      <c r="N95" s="882"/>
      <c r="O95" s="882"/>
      <c r="P95" s="882"/>
      <c r="Q95" s="882"/>
      <c r="R95" s="897"/>
      <c r="S95" s="882"/>
      <c r="T95" s="882"/>
      <c r="U95" s="882"/>
      <c r="V95" s="882"/>
      <c r="W95" s="882"/>
      <c r="X95" s="885"/>
      <c r="Y95" s="896"/>
      <c r="Z95" s="888"/>
    </row>
    <row r="96" spans="1:26" s="616" customFormat="1" ht="13.5" x14ac:dyDescent="0.2">
      <c r="A96" s="677"/>
      <c r="B96" s="683" t="s">
        <v>673</v>
      </c>
      <c r="C96" s="882"/>
      <c r="D96" s="882"/>
      <c r="E96" s="882"/>
      <c r="F96" s="882"/>
      <c r="G96" s="882"/>
      <c r="H96" s="882"/>
      <c r="I96" s="882"/>
      <c r="J96" s="882"/>
      <c r="K96" s="882"/>
      <c r="L96" s="882"/>
      <c r="M96" s="882"/>
      <c r="N96" s="882"/>
      <c r="O96" s="882"/>
      <c r="P96" s="882"/>
      <c r="Q96" s="882"/>
      <c r="R96" s="882"/>
      <c r="S96" s="882"/>
      <c r="T96" s="882"/>
      <c r="U96" s="882"/>
      <c r="V96" s="882"/>
      <c r="W96" s="882"/>
      <c r="X96" s="885"/>
      <c r="Y96" s="896"/>
      <c r="Z96" s="888"/>
    </row>
    <row r="97" spans="1:26" s="616" customFormat="1" ht="13.5" x14ac:dyDescent="0.2">
      <c r="A97" s="677"/>
      <c r="B97" s="683" t="s">
        <v>674</v>
      </c>
      <c r="C97" s="882"/>
      <c r="D97" s="882"/>
      <c r="E97" s="882"/>
      <c r="F97" s="882"/>
      <c r="G97" s="882"/>
      <c r="H97" s="882"/>
      <c r="I97" s="882"/>
      <c r="J97" s="882"/>
      <c r="K97" s="882"/>
      <c r="L97" s="882"/>
      <c r="M97" s="882"/>
      <c r="N97" s="882"/>
      <c r="O97" s="882"/>
      <c r="P97" s="882"/>
      <c r="Q97" s="882"/>
      <c r="R97" s="882"/>
      <c r="S97" s="882"/>
      <c r="T97" s="882"/>
      <c r="U97" s="882"/>
      <c r="V97" s="882"/>
      <c r="W97" s="882"/>
      <c r="X97" s="885"/>
      <c r="Y97" s="896"/>
      <c r="Z97" s="888"/>
    </row>
    <row r="98" spans="1:26" s="616" customFormat="1" ht="13.5" x14ac:dyDescent="0.2">
      <c r="A98" s="677"/>
      <c r="B98" s="683" t="s">
        <v>675</v>
      </c>
      <c r="C98" s="882"/>
      <c r="D98" s="882"/>
      <c r="E98" s="882"/>
      <c r="F98" s="882"/>
      <c r="G98" s="882"/>
      <c r="H98" s="882"/>
      <c r="I98" s="882"/>
      <c r="J98" s="882"/>
      <c r="K98" s="882"/>
      <c r="L98" s="882"/>
      <c r="M98" s="882"/>
      <c r="N98" s="882"/>
      <c r="O98" s="882"/>
      <c r="P98" s="882"/>
      <c r="Q98" s="882"/>
      <c r="R98" s="882"/>
      <c r="S98" s="882"/>
      <c r="T98" s="882"/>
      <c r="U98" s="882"/>
      <c r="V98" s="882"/>
      <c r="W98" s="882"/>
      <c r="X98" s="885"/>
      <c r="Y98" s="896"/>
      <c r="Z98" s="888"/>
    </row>
    <row r="99" spans="1:26" s="616" customFormat="1" ht="13.5" x14ac:dyDescent="0.2">
      <c r="A99" s="677"/>
      <c r="B99" s="683" t="s">
        <v>676</v>
      </c>
      <c r="C99" s="882"/>
      <c r="D99" s="882"/>
      <c r="E99" s="882"/>
      <c r="F99" s="882"/>
      <c r="G99" s="882"/>
      <c r="H99" s="882"/>
      <c r="I99" s="882"/>
      <c r="J99" s="882"/>
      <c r="K99" s="882"/>
      <c r="L99" s="882"/>
      <c r="M99" s="882"/>
      <c r="N99" s="882"/>
      <c r="O99" s="882"/>
      <c r="P99" s="882"/>
      <c r="Q99" s="882"/>
      <c r="R99" s="882"/>
      <c r="S99" s="882"/>
      <c r="T99" s="882"/>
      <c r="U99" s="882"/>
      <c r="V99" s="882"/>
      <c r="W99" s="882"/>
      <c r="X99" s="885"/>
      <c r="Y99" s="896"/>
      <c r="Z99" s="888"/>
    </row>
    <row r="100" spans="1:26" s="616" customFormat="1" ht="13.5" x14ac:dyDescent="0.2">
      <c r="A100" s="677"/>
      <c r="B100" s="683" t="s">
        <v>677</v>
      </c>
      <c r="C100" s="882"/>
      <c r="D100" s="882"/>
      <c r="E100" s="882"/>
      <c r="F100" s="882"/>
      <c r="G100" s="882"/>
      <c r="H100" s="882"/>
      <c r="I100" s="882"/>
      <c r="J100" s="882"/>
      <c r="K100" s="882"/>
      <c r="L100" s="882"/>
      <c r="M100" s="882"/>
      <c r="N100" s="882"/>
      <c r="O100" s="882"/>
      <c r="P100" s="882"/>
      <c r="Q100" s="882"/>
      <c r="R100" s="882"/>
      <c r="S100" s="882"/>
      <c r="T100" s="882"/>
      <c r="U100" s="882"/>
      <c r="V100" s="882"/>
      <c r="W100" s="882"/>
      <c r="X100" s="885"/>
      <c r="Y100" s="896"/>
      <c r="Z100" s="888"/>
    </row>
    <row r="101" spans="1:26" s="616" customFormat="1" ht="13.5" x14ac:dyDescent="0.2">
      <c r="A101" s="677"/>
      <c r="B101" s="683" t="s">
        <v>678</v>
      </c>
      <c r="C101" s="882"/>
      <c r="D101" s="882"/>
      <c r="E101" s="882"/>
      <c r="F101" s="882"/>
      <c r="G101" s="882"/>
      <c r="H101" s="882"/>
      <c r="I101" s="882"/>
      <c r="J101" s="882"/>
      <c r="K101" s="882"/>
      <c r="L101" s="882"/>
      <c r="M101" s="882"/>
      <c r="N101" s="882"/>
      <c r="O101" s="882"/>
      <c r="P101" s="882"/>
      <c r="Q101" s="882"/>
      <c r="R101" s="882"/>
      <c r="S101" s="882"/>
      <c r="T101" s="882"/>
      <c r="U101" s="882"/>
      <c r="V101" s="882"/>
      <c r="W101" s="882"/>
      <c r="X101" s="885"/>
      <c r="Y101" s="896"/>
      <c r="Z101" s="888"/>
    </row>
    <row r="102" spans="1:26" s="515" customFormat="1" x14ac:dyDescent="0.2">
      <c r="A102" s="682"/>
      <c r="B102" s="700" t="s">
        <v>357</v>
      </c>
      <c r="C102" s="680">
        <f t="shared" ref="C102:X102" si="3">SUM(C40:C43)</f>
        <v>0</v>
      </c>
      <c r="D102" s="680">
        <f t="shared" si="3"/>
        <v>0</v>
      </c>
      <c r="E102" s="680">
        <f t="shared" si="3"/>
        <v>0</v>
      </c>
      <c r="F102" s="680">
        <f t="shared" si="3"/>
        <v>0</v>
      </c>
      <c r="G102" s="680">
        <f t="shared" si="3"/>
        <v>0</v>
      </c>
      <c r="H102" s="680">
        <f t="shared" si="3"/>
        <v>0</v>
      </c>
      <c r="I102" s="680">
        <f t="shared" si="3"/>
        <v>0</v>
      </c>
      <c r="J102" s="680">
        <f t="shared" si="3"/>
        <v>0</v>
      </c>
      <c r="K102" s="680">
        <f t="shared" si="3"/>
        <v>0</v>
      </c>
      <c r="L102" s="680">
        <f t="shared" si="3"/>
        <v>0</v>
      </c>
      <c r="M102" s="680">
        <f t="shared" si="3"/>
        <v>0</v>
      </c>
      <c r="N102" s="680">
        <f t="shared" si="3"/>
        <v>0</v>
      </c>
      <c r="O102" s="680">
        <f t="shared" si="3"/>
        <v>0</v>
      </c>
      <c r="P102" s="680">
        <f t="shared" si="3"/>
        <v>0</v>
      </c>
      <c r="Q102" s="680">
        <f t="shared" si="3"/>
        <v>0</v>
      </c>
      <c r="R102" s="680">
        <f t="shared" si="3"/>
        <v>0</v>
      </c>
      <c r="S102" s="680">
        <f t="shared" si="3"/>
        <v>0</v>
      </c>
      <c r="T102" s="680">
        <f t="shared" si="3"/>
        <v>0</v>
      </c>
      <c r="U102" s="680">
        <f t="shared" si="3"/>
        <v>0</v>
      </c>
      <c r="V102" s="680">
        <f t="shared" si="3"/>
        <v>0</v>
      </c>
      <c r="W102" s="680">
        <f t="shared" si="3"/>
        <v>0</v>
      </c>
      <c r="X102" s="681">
        <f t="shared" si="3"/>
        <v>0</v>
      </c>
      <c r="Y102" s="681">
        <f t="shared" ref="Y102:Z102" si="4">SUM(Y40:Y43)</f>
        <v>0</v>
      </c>
      <c r="Z102" s="680">
        <f t="shared" si="4"/>
        <v>0</v>
      </c>
    </row>
    <row r="103" spans="1:26" s="515" customFormat="1" x14ac:dyDescent="0.2">
      <c r="A103" s="682"/>
      <c r="B103" s="700" t="s">
        <v>358</v>
      </c>
      <c r="C103" s="680">
        <f t="shared" ref="C103:X103" si="5">SUM(C40:C44)</f>
        <v>0</v>
      </c>
      <c r="D103" s="680">
        <f t="shared" si="5"/>
        <v>0</v>
      </c>
      <c r="E103" s="680">
        <f t="shared" si="5"/>
        <v>0</v>
      </c>
      <c r="F103" s="680">
        <f t="shared" si="5"/>
        <v>0</v>
      </c>
      <c r="G103" s="680">
        <f t="shared" si="5"/>
        <v>0</v>
      </c>
      <c r="H103" s="680">
        <f t="shared" si="5"/>
        <v>0</v>
      </c>
      <c r="I103" s="680">
        <f t="shared" si="5"/>
        <v>0</v>
      </c>
      <c r="J103" s="680">
        <f t="shared" si="5"/>
        <v>0</v>
      </c>
      <c r="K103" s="680">
        <f t="shared" si="5"/>
        <v>0</v>
      </c>
      <c r="L103" s="680">
        <f t="shared" si="5"/>
        <v>0</v>
      </c>
      <c r="M103" s="680">
        <f t="shared" si="5"/>
        <v>0</v>
      </c>
      <c r="N103" s="680">
        <f t="shared" si="5"/>
        <v>0</v>
      </c>
      <c r="O103" s="680">
        <f t="shared" si="5"/>
        <v>0</v>
      </c>
      <c r="P103" s="680">
        <f t="shared" si="5"/>
        <v>0</v>
      </c>
      <c r="Q103" s="680">
        <f t="shared" si="5"/>
        <v>0</v>
      </c>
      <c r="R103" s="680">
        <f t="shared" si="5"/>
        <v>0</v>
      </c>
      <c r="S103" s="680">
        <f t="shared" si="5"/>
        <v>0</v>
      </c>
      <c r="T103" s="680">
        <f t="shared" si="5"/>
        <v>0</v>
      </c>
      <c r="U103" s="680">
        <f t="shared" si="5"/>
        <v>0</v>
      </c>
      <c r="V103" s="680">
        <f t="shared" si="5"/>
        <v>0</v>
      </c>
      <c r="W103" s="680">
        <f t="shared" si="5"/>
        <v>0</v>
      </c>
      <c r="X103" s="680">
        <f t="shared" si="5"/>
        <v>0</v>
      </c>
      <c r="Y103" s="680">
        <f t="shared" ref="Y103:Z103" si="6">SUM(Y40:Y44)</f>
        <v>0</v>
      </c>
      <c r="Z103" s="680">
        <f t="shared" si="6"/>
        <v>0</v>
      </c>
    </row>
  </sheetData>
  <conditionalFormatting sqref="C1:X1">
    <cfRule type="expression" dxfId="311" priority="1">
      <formula>$C1=#REF!</formula>
    </cfRule>
  </conditionalFormatting>
  <conditionalFormatting sqref="D1:X1">
    <cfRule type="expression" dxfId="310" priority="2">
      <formula>SUM(D$3:D$82)=0</formula>
    </cfRule>
    <cfRule type="containsErrors" dxfId="309" priority="3">
      <formula>ISERROR(D1)</formula>
    </cfRule>
  </conditionalFormatting>
  <conditionalFormatting sqref="C1">
    <cfRule type="expression" dxfId="308" priority="4">
      <formula>SUM(C$3:C$79)=0</formula>
    </cfRule>
    <cfRule type="containsErrors" dxfId="307" priority="5">
      <formula>ISERROR(C1)</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dimension ref="A1:AX273"/>
  <sheetViews>
    <sheetView showRowColHeaders="0" zoomScaleNormal="100" workbookViewId="0"/>
  </sheetViews>
  <sheetFormatPr defaultColWidth="9.140625" defaultRowHeight="11.25" customHeight="1" x14ac:dyDescent="0.2"/>
  <cols>
    <col min="1" max="1" width="2.140625" style="80" customWidth="1"/>
    <col min="2" max="2" width="17.140625" style="80" customWidth="1"/>
    <col min="3" max="3" width="1.42578125" style="80" customWidth="1"/>
    <col min="4" max="8" width="7.42578125" style="80" customWidth="1"/>
    <col min="9" max="9" width="7.7109375" style="80" customWidth="1"/>
    <col min="10" max="10" width="1.42578125" style="106" customWidth="1"/>
    <col min="11" max="15" width="7.42578125" style="80" customWidth="1"/>
    <col min="16" max="16" width="7.140625" style="80" customWidth="1"/>
    <col min="17" max="17" width="1.42578125" style="80" customWidth="1"/>
    <col min="18" max="18" width="7.140625" style="80" customWidth="1"/>
    <col min="19" max="19" width="8.140625" style="80" bestFit="1" customWidth="1"/>
    <col min="20" max="20" width="7.5703125" style="80" customWidth="1"/>
    <col min="21" max="21" width="2.140625" style="80" customWidth="1"/>
    <col min="22" max="22" width="6.42578125" style="87" customWidth="1"/>
    <col min="23" max="23" width="4.85546875" style="87" customWidth="1"/>
    <col min="24" max="24" width="17.85546875" style="88" hidden="1" customWidth="1"/>
    <col min="25" max="25" width="19.42578125" style="88" hidden="1" customWidth="1"/>
    <col min="26" max="26" width="19.85546875" style="88" hidden="1" customWidth="1"/>
    <col min="27" max="28" width="16.7109375" style="88" hidden="1" customWidth="1"/>
    <col min="29" max="30" width="8.5703125" style="88" hidden="1" customWidth="1"/>
    <col min="31" max="31" width="3.5703125" style="88" hidden="1" customWidth="1"/>
    <col min="32" max="32" width="17" style="88" hidden="1" customWidth="1"/>
    <col min="33" max="33" width="5.7109375" style="88" hidden="1" customWidth="1"/>
    <col min="34" max="34" width="4.85546875" style="88" hidden="1" customWidth="1"/>
    <col min="35" max="35" width="5.7109375" style="80" hidden="1" customWidth="1"/>
    <col min="36" max="36" width="31.5703125" style="80" customWidth="1"/>
    <col min="37" max="37" width="17" style="80" hidden="1" customWidth="1"/>
    <col min="38" max="42" width="13.7109375" style="80" hidden="1" customWidth="1"/>
    <col min="43" max="50" width="9.140625" style="80" hidden="1" customWidth="1"/>
    <col min="51" max="52" width="9.140625" style="80" customWidth="1"/>
    <col min="53" max="16384" width="9.140625" style="80"/>
  </cols>
  <sheetData>
    <row r="1" spans="1:44" ht="18.75" customHeight="1" x14ac:dyDescent="0.2">
      <c r="A1" s="129"/>
      <c r="B1" s="130"/>
      <c r="C1" s="130"/>
      <c r="D1" s="130"/>
      <c r="E1" s="130"/>
      <c r="F1" s="130"/>
      <c r="G1" s="130"/>
      <c r="H1" s="130"/>
      <c r="I1" s="130"/>
      <c r="J1" s="131"/>
      <c r="K1" s="130"/>
      <c r="L1" s="130"/>
      <c r="M1" s="130"/>
      <c r="N1" s="130"/>
      <c r="O1" s="130"/>
      <c r="P1" s="130"/>
      <c r="Q1" s="130"/>
      <c r="R1" s="130"/>
      <c r="S1" s="130"/>
      <c r="T1" s="130"/>
      <c r="U1" s="132"/>
      <c r="V1" s="306"/>
      <c r="W1" s="173"/>
      <c r="X1" s="206"/>
      <c r="Y1" s="206"/>
      <c r="Z1" s="206"/>
      <c r="AA1" s="206"/>
      <c r="AB1" s="206"/>
      <c r="AC1" s="206"/>
      <c r="AD1" s="206"/>
      <c r="AE1" s="206"/>
      <c r="AF1" s="206"/>
      <c r="AG1" s="206"/>
      <c r="AH1" s="206"/>
      <c r="AI1" s="207"/>
      <c r="AJ1" s="174"/>
    </row>
    <row r="2" spans="1:44" ht="18.75" customHeight="1" x14ac:dyDescent="0.2">
      <c r="A2" s="135"/>
      <c r="B2" s="145" t="s">
        <v>165</v>
      </c>
      <c r="C2" s="9"/>
      <c r="D2" s="9"/>
      <c r="E2" s="9"/>
      <c r="F2" s="9"/>
      <c r="G2" s="9"/>
      <c r="H2" s="9"/>
      <c r="I2" s="9"/>
      <c r="J2" s="13"/>
      <c r="K2" s="9"/>
      <c r="L2" s="9"/>
      <c r="M2" s="9"/>
      <c r="N2" s="9"/>
      <c r="O2" s="9"/>
      <c r="P2" s="9"/>
      <c r="Q2" s="9"/>
      <c r="R2" s="9"/>
      <c r="S2" s="9"/>
      <c r="T2" s="9"/>
      <c r="U2" s="134"/>
      <c r="V2" s="179"/>
      <c r="W2" s="168"/>
      <c r="AI2" s="210"/>
      <c r="AJ2" s="175"/>
    </row>
    <row r="3" spans="1:44" ht="18.75" customHeight="1" x14ac:dyDescent="0.2">
      <c r="A3" s="141"/>
      <c r="B3" s="142"/>
      <c r="C3" s="142"/>
      <c r="D3" s="142"/>
      <c r="E3" s="142"/>
      <c r="F3" s="142"/>
      <c r="G3" s="142"/>
      <c r="H3" s="142"/>
      <c r="I3" s="298"/>
      <c r="J3" s="143"/>
      <c r="K3" s="142"/>
      <c r="L3" s="142"/>
      <c r="M3" s="142"/>
      <c r="N3" s="142"/>
      <c r="O3" s="142"/>
      <c r="P3" s="142"/>
      <c r="Q3" s="142"/>
      <c r="R3" s="142"/>
      <c r="S3" s="298"/>
      <c r="T3" s="142"/>
      <c r="U3" s="144"/>
      <c r="V3" s="179"/>
      <c r="W3" s="168"/>
      <c r="AI3" s="210"/>
      <c r="AJ3" s="175"/>
    </row>
    <row r="4" spans="1:44" ht="11.25" customHeight="1" x14ac:dyDescent="0.2">
      <c r="A4" s="129"/>
      <c r="B4" s="130"/>
      <c r="C4" s="130"/>
      <c r="D4" s="130"/>
      <c r="E4" s="130"/>
      <c r="F4" s="130"/>
      <c r="G4" s="130"/>
      <c r="H4" s="130"/>
      <c r="I4" s="130"/>
      <c r="J4" s="131"/>
      <c r="K4" s="130"/>
      <c r="L4" s="130"/>
      <c r="M4" s="130"/>
      <c r="N4" s="130"/>
      <c r="O4" s="130"/>
      <c r="P4" s="130"/>
      <c r="Q4" s="130"/>
      <c r="R4" s="130"/>
      <c r="S4" s="130"/>
      <c r="T4" s="130"/>
      <c r="U4" s="132"/>
      <c r="V4" s="152"/>
      <c r="W4" s="168"/>
      <c r="X4" s="212" t="e">
        <f>VLOOKUP(Y4,$X$9:$Y$30,2,FALSE)</f>
        <v>#N/A</v>
      </c>
      <c r="Y4" s="212" t="str">
        <f>Home!$D$10</f>
        <v>(none)</v>
      </c>
      <c r="Z4" s="43" t="str">
        <f>"Selected LA- "&amp;Y4</f>
        <v>Selected LA- (none)</v>
      </c>
      <c r="AI4" s="210"/>
      <c r="AJ4" s="175"/>
    </row>
    <row r="5" spans="1:44" s="82" customFormat="1" ht="15" customHeight="1" x14ac:dyDescent="0.2">
      <c r="A5" s="136"/>
      <c r="B5" s="1013" t="s">
        <v>164</v>
      </c>
      <c r="C5" s="930"/>
      <c r="D5" s="930"/>
      <c r="E5" s="930"/>
      <c r="F5" s="930"/>
      <c r="G5" s="930"/>
      <c r="H5" s="930"/>
      <c r="I5" s="930"/>
      <c r="J5" s="930"/>
      <c r="K5" s="930"/>
      <c r="L5" s="930"/>
      <c r="M5" s="930"/>
      <c r="N5" s="930"/>
      <c r="O5" s="70"/>
      <c r="P5" s="70"/>
      <c r="Q5" s="70"/>
      <c r="R5" s="70"/>
      <c r="S5" s="70"/>
      <c r="T5" s="70"/>
      <c r="U5" s="137"/>
      <c r="V5" s="153"/>
      <c r="W5" s="169"/>
      <c r="X5" s="215"/>
      <c r="Y5" s="215"/>
      <c r="Z5" s="215"/>
      <c r="AA5" s="215"/>
      <c r="AB5" s="215"/>
      <c r="AC5" s="215"/>
      <c r="AD5" s="215"/>
      <c r="AE5" s="215"/>
      <c r="AF5" s="215"/>
      <c r="AG5" s="215"/>
      <c r="AH5" s="215"/>
      <c r="AI5" s="215"/>
      <c r="AJ5" s="176"/>
    </row>
    <row r="6" spans="1:44" ht="13.5" customHeight="1" x14ac:dyDescent="0.2">
      <c r="A6" s="135"/>
      <c r="B6" s="930"/>
      <c r="C6" s="930"/>
      <c r="D6" s="930"/>
      <c r="E6" s="930"/>
      <c r="F6" s="930"/>
      <c r="G6" s="930"/>
      <c r="H6" s="930"/>
      <c r="I6" s="930"/>
      <c r="J6" s="930"/>
      <c r="K6" s="930"/>
      <c r="L6" s="930"/>
      <c r="M6" s="930"/>
      <c r="N6" s="930"/>
      <c r="O6" s="70"/>
      <c r="P6" s="70"/>
      <c r="Q6" s="70"/>
      <c r="R6" s="70"/>
      <c r="S6" s="70"/>
      <c r="T6" s="70"/>
      <c r="U6" s="134"/>
      <c r="V6" s="152"/>
      <c r="W6" s="168"/>
      <c r="Y6" s="217"/>
      <c r="AI6" s="210"/>
      <c r="AJ6" s="175"/>
    </row>
    <row r="7" spans="1:44" s="101" customFormat="1" ht="21" customHeight="1" x14ac:dyDescent="0.2">
      <c r="A7" s="138"/>
      <c r="B7" s="1050" t="s">
        <v>215</v>
      </c>
      <c r="C7" s="97"/>
      <c r="D7" s="982" t="s">
        <v>88</v>
      </c>
      <c r="E7" s="1042"/>
      <c r="F7" s="1042"/>
      <c r="G7" s="1042"/>
      <c r="H7" s="1043"/>
      <c r="I7" s="1044" t="str">
        <f>"% Change "&amp;E8&amp;"-"&amp;RIGHT(H8,2)</f>
        <v>% Change 2015-18</v>
      </c>
      <c r="J7" s="115"/>
      <c r="K7" s="1046" t="s">
        <v>89</v>
      </c>
      <c r="L7" s="1047"/>
      <c r="M7" s="1047"/>
      <c r="N7" s="1047"/>
      <c r="O7" s="1047"/>
      <c r="P7" s="1048" t="str">
        <f>"SE Rank "&amp;O8</f>
        <v>SE Rank 2018</v>
      </c>
      <c r="Q7" s="70"/>
      <c r="R7" s="1096" t="str">
        <f>"Distance from Expected "&amp;H8</f>
        <v>Distance from Expected 2018</v>
      </c>
      <c r="S7" s="1097"/>
      <c r="T7" s="1098"/>
      <c r="U7" s="139"/>
      <c r="V7" s="154"/>
      <c r="W7" s="170"/>
      <c r="X7" s="232"/>
      <c r="Y7" s="232"/>
      <c r="Z7" s="233" t="s">
        <v>79</v>
      </c>
      <c r="AA7" s="217"/>
      <c r="AB7" s="217"/>
      <c r="AC7" s="226"/>
      <c r="AD7" s="226"/>
      <c r="AE7" s="217"/>
      <c r="AF7" s="234" t="s">
        <v>92</v>
      </c>
      <c r="AG7" s="217"/>
      <c r="AH7" s="217"/>
      <c r="AI7" s="232"/>
      <c r="AJ7" s="178"/>
    </row>
    <row r="8" spans="1:44" s="101" customFormat="1" ht="13.5" customHeight="1" x14ac:dyDescent="0.2">
      <c r="A8" s="138"/>
      <c r="B8" s="1051"/>
      <c r="C8" s="97"/>
      <c r="D8" s="393">
        <v>2014</v>
      </c>
      <c r="E8" s="393">
        <v>2015</v>
      </c>
      <c r="F8" s="393">
        <v>2016</v>
      </c>
      <c r="G8" s="393">
        <v>2017</v>
      </c>
      <c r="H8" s="394">
        <v>2018</v>
      </c>
      <c r="I8" s="1045"/>
      <c r="J8" s="115"/>
      <c r="K8" s="395">
        <f>D8</f>
        <v>2014</v>
      </c>
      <c r="L8" s="395">
        <f t="shared" ref="L8:O8" si="0">E8</f>
        <v>2015</v>
      </c>
      <c r="M8" s="395">
        <f t="shared" si="0"/>
        <v>2016</v>
      </c>
      <c r="N8" s="395">
        <f t="shared" si="0"/>
        <v>2017</v>
      </c>
      <c r="O8" s="396">
        <f t="shared" si="0"/>
        <v>2018</v>
      </c>
      <c r="P8" s="1049"/>
      <c r="Q8" s="70"/>
      <c r="R8" s="328" t="s">
        <v>78</v>
      </c>
      <c r="S8" s="375" t="s">
        <v>131</v>
      </c>
      <c r="T8" s="376" t="s">
        <v>132</v>
      </c>
      <c r="U8" s="139"/>
      <c r="V8" s="154"/>
      <c r="W8" s="170"/>
      <c r="X8" s="232"/>
      <c r="Y8" s="232"/>
      <c r="Z8" s="44">
        <f>K8</f>
        <v>2014</v>
      </c>
      <c r="AA8" s="44">
        <f>L8</f>
        <v>2015</v>
      </c>
      <c r="AB8" s="44">
        <f>M8</f>
        <v>2016</v>
      </c>
      <c r="AC8" s="44">
        <f>N8</f>
        <v>2017</v>
      </c>
      <c r="AD8" s="44">
        <f>O8</f>
        <v>2018</v>
      </c>
      <c r="AE8" s="217"/>
      <c r="AF8" s="217"/>
      <c r="AG8" s="217"/>
      <c r="AH8" s="217"/>
      <c r="AI8" s="232"/>
      <c r="AJ8" s="178"/>
    </row>
    <row r="9" spans="1:44" s="101" customFormat="1" ht="13.5" customHeight="1" x14ac:dyDescent="0.2">
      <c r="A9" s="533">
        <f>VLOOKUP(B9,Sheet1!$B$4:$C$25,2,FALSE)</f>
        <v>0</v>
      </c>
      <c r="B9" s="112" t="s">
        <v>0</v>
      </c>
      <c r="C9" s="97"/>
      <c r="D9" s="113">
        <v>22</v>
      </c>
      <c r="E9" s="113">
        <v>16</v>
      </c>
      <c r="F9" s="113">
        <v>35</v>
      </c>
      <c r="G9" s="113">
        <v>35</v>
      </c>
      <c r="H9" s="114">
        <v>55</v>
      </c>
      <c r="I9" s="392">
        <f>IF(ISNUMBER(H9),(H9-E9)/E9,"")</f>
        <v>2.4375</v>
      </c>
      <c r="J9" s="115"/>
      <c r="K9" s="116">
        <f>IF(ISNUMBER(D9),D9/Population!C8*10000,NA())</f>
        <v>8.1180811808118083</v>
      </c>
      <c r="L9" s="116">
        <f>IF(ISNUMBER(E9),E9/Population!D8*10000,NA())</f>
        <v>5.7553956834532372</v>
      </c>
      <c r="M9" s="116">
        <f>IF(ISNUMBER(F9),F9/Population!E8*10000,NA())</f>
        <v>12.411347517730498</v>
      </c>
      <c r="N9" s="116">
        <f>IF(ISNUMBER(G9),G9/Population!F8*10000,NA())</f>
        <v>12.422801164193938</v>
      </c>
      <c r="O9" s="117">
        <f>IF(ISNUMBER(H9),H9/Population!G8*10000,NA())</f>
        <v>19.59317445050052</v>
      </c>
      <c r="P9" s="397">
        <f>IF(ISNA(VLOOKUP(B9,$AF$9:$AH$27,3,FALSE)),"--",IF(ISNUMBER(H9),VLOOKUP(B9,$AF$9:$AH$27,3,FALSE),NA()))</f>
        <v>19</v>
      </c>
      <c r="Q9" s="70"/>
      <c r="R9" s="387">
        <f>IDACI!C9</f>
        <v>11</v>
      </c>
      <c r="S9" s="388">
        <f>(R9*$Y$68)+$Z$68</f>
        <v>8.9746206593783597</v>
      </c>
      <c r="T9" s="389">
        <f>O9-S9</f>
        <v>10.61855379112216</v>
      </c>
      <c r="U9" s="139"/>
      <c r="V9" s="154"/>
      <c r="W9" s="170"/>
      <c r="X9" s="72" t="str">
        <f>B9</f>
        <v>Bracknell Forest</v>
      </c>
      <c r="Y9" s="235">
        <v>1</v>
      </c>
      <c r="Z9" s="236">
        <f>IF(D9&gt;0,Population!C8,"")</f>
        <v>27100</v>
      </c>
      <c r="AA9" s="236">
        <f>IF(E9&gt;0,Population!D8,"")</f>
        <v>27800</v>
      </c>
      <c r="AB9" s="236">
        <f>IF(F9&gt;0,Population!E8,"")</f>
        <v>28200</v>
      </c>
      <c r="AC9" s="236">
        <f>IF(G9&gt;0,Population!F8,"")</f>
        <v>28174</v>
      </c>
      <c r="AD9" s="236">
        <f>IF(H9&gt;0,Population!G8,"")</f>
        <v>28071</v>
      </c>
      <c r="AE9" s="217"/>
      <c r="AF9" s="112" t="str">
        <f>B9</f>
        <v>Bracknell Forest</v>
      </c>
      <c r="AG9" s="262">
        <f>IFERROR(VLOOKUP(AF9,$B$9:$O$30,14,FALSE),"")</f>
        <v>19.59317445050052</v>
      </c>
      <c r="AH9" s="237">
        <f>RANK(AG9,$AG$9:$AG$27,1)</f>
        <v>19</v>
      </c>
      <c r="AI9" s="232"/>
      <c r="AJ9" s="178"/>
    </row>
    <row r="10" spans="1:44" s="101" customFormat="1" ht="13.5" customHeight="1" x14ac:dyDescent="0.2">
      <c r="A10" s="533">
        <f>VLOOKUP(B10,Sheet1!$B$4:$C$25,2,FALSE)</f>
        <v>0</v>
      </c>
      <c r="B10" s="112" t="s">
        <v>32</v>
      </c>
      <c r="C10" s="97"/>
      <c r="D10" s="113">
        <v>69</v>
      </c>
      <c r="E10" s="113">
        <v>80</v>
      </c>
      <c r="F10" s="113">
        <v>99</v>
      </c>
      <c r="G10" s="113">
        <v>104</v>
      </c>
      <c r="H10" s="114">
        <v>77</v>
      </c>
      <c r="I10" s="392">
        <f>IF(ISNUMBER(H10),(H10-E10)/E10,"")</f>
        <v>-3.7499999999999999E-2</v>
      </c>
      <c r="J10" s="115"/>
      <c r="K10" s="116">
        <f>IF(ISNUMBER(D10),D10/Population!C9*10000,NA())</f>
        <v>13.663366336633663</v>
      </c>
      <c r="L10" s="116">
        <f>IF(ISNUMBER(E10),E10/Population!D9*10000,NA())</f>
        <v>15.686274509803921</v>
      </c>
      <c r="M10" s="116">
        <f>IF(ISNUMBER(F10),F10/Population!E9*10000,NA())</f>
        <v>19.3359375</v>
      </c>
      <c r="N10" s="116">
        <f>IF(ISNUMBER(G10),G10/Population!F9*10000,NA())</f>
        <v>20.280415748522845</v>
      </c>
      <c r="O10" s="117">
        <f>IF(ISNUMBER(H10),H10/Population!G9*10000,NA())</f>
        <v>15.103666071673761</v>
      </c>
      <c r="P10" s="397">
        <f t="shared" ref="P10:P32" si="1">IF(ISNA(VLOOKUP(B10,$AF$9:$AH$27,3,FALSE)),"--",IF(ISNUMBER(H10),VLOOKUP(B10,$AF$9:$AH$27,3,FALSE),NA()))</f>
        <v>14</v>
      </c>
      <c r="Q10" s="70"/>
      <c r="R10" s="387">
        <f>IDACI!C10</f>
        <v>18.3</v>
      </c>
      <c r="S10" s="388">
        <f t="shared" ref="S10:S32" si="2">(R10*$Y$68)+$Z$68</f>
        <v>12.091721628183993</v>
      </c>
      <c r="T10" s="389">
        <f t="shared" ref="T10:T32" si="3">O10-S10</f>
        <v>3.0119444434897673</v>
      </c>
      <c r="U10" s="139"/>
      <c r="V10" s="154"/>
      <c r="W10" s="170"/>
      <c r="X10" s="72" t="str">
        <f t="shared" ref="X10:X32" si="4">B10</f>
        <v>Brighton &amp; Hove</v>
      </c>
      <c r="Y10" s="235">
        <v>2</v>
      </c>
      <c r="Z10" s="236">
        <f>IF(D10&gt;0,Population!C9,"")</f>
        <v>50500</v>
      </c>
      <c r="AA10" s="236">
        <f>IF(E10&gt;0,Population!D9,"")</f>
        <v>51000</v>
      </c>
      <c r="AB10" s="236">
        <f>IF(F10&gt;0,Population!E9,"")</f>
        <v>51200</v>
      </c>
      <c r="AC10" s="236">
        <f>IF(G10&gt;0,Population!F9,"")</f>
        <v>51281</v>
      </c>
      <c r="AD10" s="236">
        <f>IF(H10&gt;0,Population!G9,"")</f>
        <v>50981</v>
      </c>
      <c r="AE10" s="217"/>
      <c r="AF10" s="112" t="s">
        <v>32</v>
      </c>
      <c r="AG10" s="262">
        <f t="shared" ref="AG10:AG27" si="5">IFERROR(VLOOKUP(AF10,$B$9:$O$30,14,FALSE),"")</f>
        <v>15.103666071673761</v>
      </c>
      <c r="AH10" s="237">
        <f t="shared" ref="AH10:AH27" si="6">RANK(AG10,$AG$9:$AG$27,1)</f>
        <v>14</v>
      </c>
      <c r="AI10" s="232"/>
      <c r="AJ10" s="178"/>
    </row>
    <row r="11" spans="1:44" s="101" customFormat="1" ht="13.5" customHeight="1" x14ac:dyDescent="0.2">
      <c r="A11" s="533">
        <f>VLOOKUP(B11,Sheet1!$B$4:$C$25,2,FALSE)</f>
        <v>0</v>
      </c>
      <c r="B11" s="112" t="s">
        <v>9</v>
      </c>
      <c r="C11" s="97"/>
      <c r="D11" s="113">
        <v>61</v>
      </c>
      <c r="E11" s="113">
        <v>55</v>
      </c>
      <c r="F11" s="113">
        <v>120</v>
      </c>
      <c r="G11" s="113">
        <v>102</v>
      </c>
      <c r="H11" s="114">
        <v>87</v>
      </c>
      <c r="I11" s="392">
        <f t="shared" ref="I11:I32" si="7">IF(ISNUMBER(H11),(H11-E11)/E11,"")</f>
        <v>0.58181818181818179</v>
      </c>
      <c r="J11" s="115"/>
      <c r="K11" s="116">
        <f>IF(ISNUMBER(D11),D11/Population!C10*10000,NA())</f>
        <v>5.1870748299319729</v>
      </c>
      <c r="L11" s="116">
        <f>IF(ISNUMBER(E11),E11/Population!D10*10000,NA())</f>
        <v>4.6257359125315389</v>
      </c>
      <c r="M11" s="116">
        <f>IF(ISNUMBER(F11),F11/Population!E10*10000,NA())</f>
        <v>9.9502487562189046</v>
      </c>
      <c r="N11" s="116">
        <f>IF(ISNUMBER(G11),G11/Population!F10*10000,NA())</f>
        <v>8.346630661593224</v>
      </c>
      <c r="O11" s="117">
        <f>IF(ISNUMBER(H11),H11/Population!G10*10000,NA())</f>
        <v>7.0688604509445465</v>
      </c>
      <c r="P11" s="397">
        <f t="shared" si="1"/>
        <v>3</v>
      </c>
      <c r="Q11" s="70"/>
      <c r="R11" s="387">
        <f>IDACI!C11</f>
        <v>9.8000000000000007</v>
      </c>
      <c r="S11" s="388">
        <f t="shared" si="2"/>
        <v>8.4622205001226405</v>
      </c>
      <c r="T11" s="389">
        <f t="shared" si="3"/>
        <v>-1.393360049178094</v>
      </c>
      <c r="U11" s="139"/>
      <c r="V11" s="154"/>
      <c r="W11" s="170"/>
      <c r="X11" s="72" t="str">
        <f t="shared" si="4"/>
        <v>Buckinghamshire</v>
      </c>
      <c r="Y11" s="235">
        <v>3</v>
      </c>
      <c r="Z11" s="236">
        <f>IF(D11&gt;0,Population!C10,"")</f>
        <v>117600</v>
      </c>
      <c r="AA11" s="236">
        <f>IF(E11&gt;0,Population!D10,"")</f>
        <v>118900</v>
      </c>
      <c r="AB11" s="236">
        <f>IF(F11&gt;0,Population!E10,"")</f>
        <v>120600</v>
      </c>
      <c r="AC11" s="236">
        <f>IF(G11&gt;0,Population!F10,"")</f>
        <v>122205</v>
      </c>
      <c r="AD11" s="236">
        <f>IF(H11&gt;0,Population!G10,"")</f>
        <v>123075</v>
      </c>
      <c r="AE11" s="217"/>
      <c r="AF11" s="112" t="s">
        <v>9</v>
      </c>
      <c r="AG11" s="262">
        <f t="shared" si="5"/>
        <v>7.0688604509445465</v>
      </c>
      <c r="AH11" s="237">
        <f t="shared" si="6"/>
        <v>3</v>
      </c>
      <c r="AI11" s="232"/>
      <c r="AJ11" s="178"/>
    </row>
    <row r="12" spans="1:44" s="101" customFormat="1" ht="13.5" customHeight="1" x14ac:dyDescent="0.2">
      <c r="A12" s="533">
        <f>VLOOKUP(B12,Sheet1!$B$4:$C$25,2,FALSE)</f>
        <v>0</v>
      </c>
      <c r="B12" s="112" t="s">
        <v>4</v>
      </c>
      <c r="C12" s="97"/>
      <c r="D12" s="113">
        <v>77</v>
      </c>
      <c r="E12" s="118">
        <v>64</v>
      </c>
      <c r="F12" s="113">
        <v>82</v>
      </c>
      <c r="G12" s="113">
        <v>99</v>
      </c>
      <c r="H12" s="114">
        <v>90</v>
      </c>
      <c r="I12" s="392">
        <f t="shared" si="7"/>
        <v>0.40625</v>
      </c>
      <c r="J12" s="115"/>
      <c r="K12" s="116">
        <f>IF(ISNUMBER(D12),D12/Population!C11*10000,NA())</f>
        <v>7.3473282442748094</v>
      </c>
      <c r="L12" s="116">
        <f>IF(ISNUMBER(E12),E12/Population!D11*10000,NA())</f>
        <v>6.0721062618595827</v>
      </c>
      <c r="M12" s="116">
        <f>IF(ISNUMBER(F12),F12/Population!E11*10000,NA())</f>
        <v>7.7431539187913128</v>
      </c>
      <c r="N12" s="116">
        <f>IF(ISNUMBER(G12),G12/Population!F11*10000,NA())</f>
        <v>9.3464120162759734</v>
      </c>
      <c r="O12" s="117">
        <f>IF(ISNUMBER(H12),H12/Population!G11*10000,NA())</f>
        <v>8.486963081710595</v>
      </c>
      <c r="P12" s="397">
        <f t="shared" si="1"/>
        <v>5</v>
      </c>
      <c r="Q12" s="70"/>
      <c r="R12" s="387">
        <f>IDACI!C12</f>
        <v>17.399999999999999</v>
      </c>
      <c r="S12" s="388">
        <f t="shared" si="2"/>
        <v>11.707421508742202</v>
      </c>
      <c r="T12" s="389">
        <f t="shared" si="3"/>
        <v>-3.2204584270316072</v>
      </c>
      <c r="U12" s="139"/>
      <c r="V12" s="154"/>
      <c r="W12" s="170"/>
      <c r="X12" s="72" t="str">
        <f t="shared" si="4"/>
        <v>East Sussex</v>
      </c>
      <c r="Y12" s="235">
        <v>4</v>
      </c>
      <c r="Z12" s="236">
        <f>IF(D12&gt;0,Population!C11,"")</f>
        <v>104800</v>
      </c>
      <c r="AA12" s="236">
        <f>IF(E12&gt;0,Population!D11,"")</f>
        <v>105400</v>
      </c>
      <c r="AB12" s="236">
        <f>IF(F12&gt;0,Population!E11,"")</f>
        <v>105900</v>
      </c>
      <c r="AC12" s="236">
        <f>IF(G12&gt;0,Population!F11,"")</f>
        <v>105923</v>
      </c>
      <c r="AD12" s="236">
        <f>IF(H12&gt;0,Population!G11,"")</f>
        <v>106045</v>
      </c>
      <c r="AE12" s="217"/>
      <c r="AF12" s="112" t="s">
        <v>4</v>
      </c>
      <c r="AG12" s="262">
        <f t="shared" si="5"/>
        <v>8.486963081710595</v>
      </c>
      <c r="AH12" s="237">
        <f t="shared" si="6"/>
        <v>5</v>
      </c>
      <c r="AI12" s="232"/>
      <c r="AJ12" s="178"/>
    </row>
    <row r="13" spans="1:44" s="101" customFormat="1" ht="13.5" customHeight="1" x14ac:dyDescent="0.2">
      <c r="A13" s="533">
        <f>VLOOKUP(B13,Sheet1!$B$4:$C$25,2,FALSE)</f>
        <v>0</v>
      </c>
      <c r="B13" s="112" t="s">
        <v>6</v>
      </c>
      <c r="C13" s="97"/>
      <c r="D13" s="113">
        <v>167</v>
      </c>
      <c r="E13" s="113">
        <v>173</v>
      </c>
      <c r="F13" s="119">
        <v>194</v>
      </c>
      <c r="G13" s="119">
        <v>227</v>
      </c>
      <c r="H13" s="114">
        <v>259</v>
      </c>
      <c r="I13" s="392">
        <f t="shared" si="7"/>
        <v>0.49710982658959535</v>
      </c>
      <c r="J13" s="115"/>
      <c r="K13" s="116">
        <f>IF(ISNUMBER(D13),D13/Population!C12*10000,NA())</f>
        <v>5.9240865555161406</v>
      </c>
      <c r="L13" s="116">
        <f>IF(ISNUMBER(E13),E13/Population!D12*10000,NA())</f>
        <v>6.1456483126110122</v>
      </c>
      <c r="M13" s="116">
        <f>IF(ISNUMBER(F13),F13/Population!E12*10000,NA())</f>
        <v>6.8818730046115641</v>
      </c>
      <c r="N13" s="116">
        <f>IF(ISNUMBER(G13),G13/Population!F12*10000,NA())</f>
        <v>8.0271295762594992</v>
      </c>
      <c r="O13" s="117">
        <f>IF(ISNUMBER(H13),H13/Population!G12*10000,NA())</f>
        <v>9.1418002640180163</v>
      </c>
      <c r="P13" s="397">
        <f t="shared" si="1"/>
        <v>8</v>
      </c>
      <c r="Q13" s="70"/>
      <c r="R13" s="387">
        <f>IDACI!C13</f>
        <v>11.799999999999999</v>
      </c>
      <c r="S13" s="388">
        <f t="shared" si="2"/>
        <v>9.3162207655488416</v>
      </c>
      <c r="T13" s="389">
        <f t="shared" si="3"/>
        <v>-0.17442050153082533</v>
      </c>
      <c r="U13" s="139"/>
      <c r="V13" s="154"/>
      <c r="W13" s="170"/>
      <c r="X13" s="72" t="str">
        <f t="shared" si="4"/>
        <v>Hampshire</v>
      </c>
      <c r="Y13" s="235">
        <v>5</v>
      </c>
      <c r="Z13" s="236">
        <f>IF(D13&gt;0,Population!C12,"")</f>
        <v>281900</v>
      </c>
      <c r="AA13" s="236">
        <f>IF(E13&gt;0,Population!D12,"")</f>
        <v>281500</v>
      </c>
      <c r="AB13" s="236">
        <f>IF(F13&gt;0,Population!E12,"")</f>
        <v>281900</v>
      </c>
      <c r="AC13" s="236">
        <f>IF(G13&gt;0,Population!F12,"")</f>
        <v>282791</v>
      </c>
      <c r="AD13" s="236">
        <f>IF(H13&gt;0,Population!G12,"")</f>
        <v>283314</v>
      </c>
      <c r="AE13" s="217"/>
      <c r="AF13" s="112" t="s">
        <v>6</v>
      </c>
      <c r="AG13" s="262">
        <f t="shared" si="5"/>
        <v>9.1418002640180163</v>
      </c>
      <c r="AH13" s="237">
        <f t="shared" si="6"/>
        <v>8</v>
      </c>
      <c r="AI13" s="232"/>
      <c r="AJ13" s="178"/>
    </row>
    <row r="14" spans="1:44" s="101" customFormat="1" ht="13.5" customHeight="1" x14ac:dyDescent="0.2">
      <c r="A14" s="533">
        <f>VLOOKUP(B14,Sheet1!$B$4:$C$25,2,FALSE)</f>
        <v>0</v>
      </c>
      <c r="B14" s="112" t="s">
        <v>1</v>
      </c>
      <c r="C14" s="97"/>
      <c r="D14" s="113">
        <v>39</v>
      </c>
      <c r="E14" s="113">
        <v>38</v>
      </c>
      <c r="F14" s="113">
        <v>32</v>
      </c>
      <c r="G14" s="113">
        <v>43</v>
      </c>
      <c r="H14" s="114">
        <v>41</v>
      </c>
      <c r="I14" s="392">
        <f t="shared" si="7"/>
        <v>7.8947368421052627E-2</v>
      </c>
      <c r="J14" s="115"/>
      <c r="K14" s="116">
        <f>IF(ISNUMBER(D14),D14/Population!C13*10000,NA())</f>
        <v>15.116279069767442</v>
      </c>
      <c r="L14" s="116">
        <f>IF(ISNUMBER(E14),E14/Population!D13*10000,NA())</f>
        <v>14.901960784313726</v>
      </c>
      <c r="M14" s="116">
        <f>IF(ISNUMBER(F14),F14/Population!E13*10000,NA())</f>
        <v>12.648221343873518</v>
      </c>
      <c r="N14" s="116">
        <f>IF(ISNUMBER(G14),G14/Population!F13*10000,NA())</f>
        <v>17.063492063492063</v>
      </c>
      <c r="O14" s="117">
        <f>IF(ISNUMBER(H14),H14/Population!G13*10000,NA())</f>
        <v>16.363999201756137</v>
      </c>
      <c r="P14" s="397">
        <f t="shared" si="1"/>
        <v>15</v>
      </c>
      <c r="Q14" s="70"/>
      <c r="R14" s="387">
        <f>IDACI!C14</f>
        <v>20.399999999999999</v>
      </c>
      <c r="S14" s="388">
        <f t="shared" si="2"/>
        <v>12.988421906881504</v>
      </c>
      <c r="T14" s="389">
        <f t="shared" si="3"/>
        <v>3.375577294874633</v>
      </c>
      <c r="U14" s="139"/>
      <c r="V14" s="154"/>
      <c r="W14" s="170"/>
      <c r="X14" s="72" t="str">
        <f t="shared" si="4"/>
        <v>Isle of Wight</v>
      </c>
      <c r="Y14" s="235">
        <v>6</v>
      </c>
      <c r="Z14" s="236">
        <f>IF(D14&gt;0,Population!C13,"")</f>
        <v>25800</v>
      </c>
      <c r="AA14" s="236">
        <f>IF(E14&gt;0,Population!D13,"")</f>
        <v>25500</v>
      </c>
      <c r="AB14" s="236">
        <f>IF(F14&gt;0,Population!E13,"")</f>
        <v>25300</v>
      </c>
      <c r="AC14" s="236">
        <f>IF(G14&gt;0,Population!F13,"")</f>
        <v>25200</v>
      </c>
      <c r="AD14" s="236">
        <f>IF(H14&gt;0,Population!G13,"")</f>
        <v>25055</v>
      </c>
      <c r="AE14" s="217"/>
      <c r="AF14" s="112" t="s">
        <v>1</v>
      </c>
      <c r="AG14" s="262">
        <f t="shared" si="5"/>
        <v>16.363999201756137</v>
      </c>
      <c r="AH14" s="237">
        <f t="shared" si="6"/>
        <v>15</v>
      </c>
      <c r="AI14" s="232"/>
      <c r="AJ14" s="178"/>
      <c r="AR14" s="101" t="s">
        <v>104</v>
      </c>
    </row>
    <row r="15" spans="1:44" s="101" customFormat="1" ht="13.5" customHeight="1" x14ac:dyDescent="0.2">
      <c r="A15" s="533">
        <f>VLOOKUP(B15,Sheet1!$B$4:$C$25,2,FALSE)</f>
        <v>0</v>
      </c>
      <c r="B15" s="112" t="s">
        <v>10</v>
      </c>
      <c r="C15" s="97"/>
      <c r="D15" s="113">
        <v>272</v>
      </c>
      <c r="E15" s="113">
        <v>245</v>
      </c>
      <c r="F15" s="113">
        <v>260</v>
      </c>
      <c r="G15" s="113">
        <v>305</v>
      </c>
      <c r="H15" s="114">
        <v>296</v>
      </c>
      <c r="I15" s="392">
        <f t="shared" si="7"/>
        <v>0.20816326530612245</v>
      </c>
      <c r="J15" s="115"/>
      <c r="K15" s="116">
        <f>IF(ISNUMBER(D15),D15/Population!C14*10000,NA())</f>
        <v>8.3538083538083541</v>
      </c>
      <c r="L15" s="116">
        <f>IF(ISNUMBER(E15),E15/Population!D14*10000,NA())</f>
        <v>7.4626865671641793</v>
      </c>
      <c r="M15" s="116">
        <f>IF(ISNUMBER(F15),F15/Population!E14*10000,NA())</f>
        <v>7.8692493946731235</v>
      </c>
      <c r="N15" s="116">
        <f>IF(ISNUMBER(G15),G15/Population!F14*10000,NA())</f>
        <v>9.1579216021858905</v>
      </c>
      <c r="O15" s="117">
        <f>IF(ISNUMBER(H15),H15/Population!G14*10000,NA())</f>
        <v>8.8071647475378629</v>
      </c>
      <c r="P15" s="397">
        <f t="shared" si="1"/>
        <v>7</v>
      </c>
      <c r="Q15" s="70"/>
      <c r="R15" s="387">
        <f>IDACI!C15</f>
        <v>17.8</v>
      </c>
      <c r="S15" s="388">
        <f t="shared" si="2"/>
        <v>11.878221561827443</v>
      </c>
      <c r="T15" s="389">
        <f t="shared" si="3"/>
        <v>-3.0710568142895802</v>
      </c>
      <c r="U15" s="139"/>
      <c r="V15" s="154"/>
      <c r="W15" s="170"/>
      <c r="X15" s="72" t="str">
        <f t="shared" si="4"/>
        <v>Kent</v>
      </c>
      <c r="Y15" s="235">
        <v>7</v>
      </c>
      <c r="Z15" s="236">
        <f>IF(D15&gt;0,Population!C14,"")</f>
        <v>325600</v>
      </c>
      <c r="AA15" s="236">
        <f>IF(E15&gt;0,Population!D14,"")</f>
        <v>328300</v>
      </c>
      <c r="AB15" s="236">
        <f>IF(F15&gt;0,Population!E14,"")</f>
        <v>330400</v>
      </c>
      <c r="AC15" s="236">
        <f>IF(G15&gt;0,Population!F14,"")</f>
        <v>333045</v>
      </c>
      <c r="AD15" s="236">
        <f>IF(H15&gt;0,Population!G14,"")</f>
        <v>336090</v>
      </c>
      <c r="AE15" s="217"/>
      <c r="AF15" s="112" t="s">
        <v>10</v>
      </c>
      <c r="AG15" s="262">
        <f t="shared" si="5"/>
        <v>8.8071647475378629</v>
      </c>
      <c r="AH15" s="237">
        <f t="shared" si="6"/>
        <v>7</v>
      </c>
      <c r="AI15" s="232"/>
      <c r="AJ15" s="178"/>
    </row>
    <row r="16" spans="1:44" s="101" customFormat="1" ht="13.5" customHeight="1" x14ac:dyDescent="0.2">
      <c r="A16" s="533">
        <f>VLOOKUP(B16,Sheet1!$B$4:$C$25,2,FALSE)</f>
        <v>0</v>
      </c>
      <c r="B16" s="112" t="s">
        <v>2</v>
      </c>
      <c r="C16" s="97"/>
      <c r="D16" s="113">
        <v>49</v>
      </c>
      <c r="E16" s="329">
        <v>90</v>
      </c>
      <c r="F16" s="329">
        <v>142</v>
      </c>
      <c r="G16" s="329">
        <v>59</v>
      </c>
      <c r="H16" s="114">
        <v>84</v>
      </c>
      <c r="I16" s="392">
        <f t="shared" si="7"/>
        <v>-6.6666666666666666E-2</v>
      </c>
      <c r="J16" s="115"/>
      <c r="K16" s="116">
        <f>IF(ISNUMBER(D16),D16/Population!C15*10000,NA())</f>
        <v>7.954545454545455</v>
      </c>
      <c r="L16" s="116">
        <f>IF(ISNUMBER(E16),E16/Population!D15*10000,NA())</f>
        <v>14.4</v>
      </c>
      <c r="M16" s="116">
        <f>IF(ISNUMBER(F16),F16/Population!E15*10000,NA())</f>
        <v>22.468354430379748</v>
      </c>
      <c r="N16" s="116">
        <f>IF(ISNUMBER(G16),G16/Population!F15*10000,NA())</f>
        <v>9.2626026343469867</v>
      </c>
      <c r="O16" s="117">
        <f>IF(ISNUMBER(H16),H16/Population!G15*10000,NA())</f>
        <v>13.136699873324678</v>
      </c>
      <c r="P16" s="397">
        <f t="shared" si="1"/>
        <v>12</v>
      </c>
      <c r="Q16" s="70"/>
      <c r="R16" s="387">
        <f>IDACI!C16</f>
        <v>22</v>
      </c>
      <c r="S16" s="388">
        <f t="shared" si="2"/>
        <v>13.671622119222464</v>
      </c>
      <c r="T16" s="389">
        <f t="shared" si="3"/>
        <v>-0.53492224589778559</v>
      </c>
      <c r="U16" s="139"/>
      <c r="V16" s="154"/>
      <c r="W16" s="170"/>
      <c r="X16" s="72" t="str">
        <f t="shared" si="4"/>
        <v>Medway</v>
      </c>
      <c r="Y16" s="235">
        <v>8</v>
      </c>
      <c r="Z16" s="236">
        <f>IF(D16&gt;0,Population!C15,"")</f>
        <v>61600</v>
      </c>
      <c r="AA16" s="236">
        <f>IF(E16&gt;0,Population!D15,"")</f>
        <v>62500</v>
      </c>
      <c r="AB16" s="236">
        <f>IF(F16&gt;0,Population!E15,"")</f>
        <v>63200</v>
      </c>
      <c r="AC16" s="236">
        <f>IF(G16&gt;0,Population!F15,"")</f>
        <v>63697</v>
      </c>
      <c r="AD16" s="236">
        <f>IF(H16&gt;0,Population!G15,"")</f>
        <v>63943</v>
      </c>
      <c r="AE16" s="217"/>
      <c r="AF16" s="112" t="s">
        <v>2</v>
      </c>
      <c r="AG16" s="262">
        <f t="shared" si="5"/>
        <v>13.136699873324678</v>
      </c>
      <c r="AH16" s="237">
        <f t="shared" si="6"/>
        <v>12</v>
      </c>
      <c r="AI16" s="232"/>
      <c r="AJ16" s="178"/>
    </row>
    <row r="17" spans="1:36" s="101" customFormat="1" ht="13.5" customHeight="1" x14ac:dyDescent="0.2">
      <c r="A17" s="533">
        <f>VLOOKUP(B17,Sheet1!$B$4:$C$25,2,FALSE)</f>
        <v>0</v>
      </c>
      <c r="B17" s="112" t="s">
        <v>11</v>
      </c>
      <c r="C17" s="97"/>
      <c r="D17" s="113">
        <v>49</v>
      </c>
      <c r="E17" s="113">
        <v>39</v>
      </c>
      <c r="F17" s="113">
        <v>61</v>
      </c>
      <c r="G17" s="113">
        <v>82</v>
      </c>
      <c r="H17" s="114">
        <v>59</v>
      </c>
      <c r="I17" s="392">
        <f t="shared" si="7"/>
        <v>0.51282051282051277</v>
      </c>
      <c r="J17" s="115"/>
      <c r="K17" s="116">
        <f>IF(ISNUMBER(D17),D17/Population!C16*10000,NA())</f>
        <v>7.65625</v>
      </c>
      <c r="L17" s="116">
        <f>IF(ISNUMBER(E17),E17/Population!D16*10000,NA())</f>
        <v>5.9815950920245395</v>
      </c>
      <c r="M17" s="116">
        <f>IF(ISNUMBER(F17),F17/Population!E16*10000,NA())</f>
        <v>9.2284417549167923</v>
      </c>
      <c r="N17" s="116">
        <f>IF(ISNUMBER(G17),G17/Population!F16*10000,NA())</f>
        <v>12.212194322818931</v>
      </c>
      <c r="O17" s="117">
        <f>IF(ISNUMBER(H17),H17/Population!G16*10000,NA())</f>
        <v>8.7217467145623608</v>
      </c>
      <c r="P17" s="397">
        <f t="shared" si="1"/>
        <v>6</v>
      </c>
      <c r="Q17" s="70"/>
      <c r="R17" s="387">
        <f>IDACI!C17</f>
        <v>19.7</v>
      </c>
      <c r="S17" s="388">
        <f t="shared" si="2"/>
        <v>12.689521813982333</v>
      </c>
      <c r="T17" s="389">
        <f t="shared" si="3"/>
        <v>-3.9677750994199723</v>
      </c>
      <c r="U17" s="139"/>
      <c r="V17" s="154"/>
      <c r="W17" s="170"/>
      <c r="X17" s="72" t="str">
        <f t="shared" si="4"/>
        <v>Milton Keynes</v>
      </c>
      <c r="Y17" s="235">
        <v>9</v>
      </c>
      <c r="Z17" s="236">
        <f>IF(D17&gt;0,Population!C16,"")</f>
        <v>64000</v>
      </c>
      <c r="AA17" s="236">
        <f>IF(E17&gt;0,Population!D16,"")</f>
        <v>65200</v>
      </c>
      <c r="AB17" s="236">
        <f>IF(F17&gt;0,Population!E16,"")</f>
        <v>66100</v>
      </c>
      <c r="AC17" s="236">
        <f>IF(G17&gt;0,Population!F16,"")</f>
        <v>67146</v>
      </c>
      <c r="AD17" s="236">
        <f>IF(H17&gt;0,Population!G16,"")</f>
        <v>67647</v>
      </c>
      <c r="AE17" s="217"/>
      <c r="AF17" s="112" t="s">
        <v>11</v>
      </c>
      <c r="AG17" s="262">
        <f t="shared" si="5"/>
        <v>8.7217467145623608</v>
      </c>
      <c r="AH17" s="237">
        <f t="shared" si="6"/>
        <v>6</v>
      </c>
      <c r="AI17" s="232"/>
      <c r="AJ17" s="178"/>
    </row>
    <row r="18" spans="1:36" s="101" customFormat="1" ht="13.5" customHeight="1" x14ac:dyDescent="0.2">
      <c r="A18" s="533">
        <f>VLOOKUP(B18,Sheet1!$B$4:$C$25,2,FALSE)</f>
        <v>0</v>
      </c>
      <c r="B18" s="112" t="s">
        <v>12</v>
      </c>
      <c r="C18" s="97"/>
      <c r="D18" s="113">
        <v>88</v>
      </c>
      <c r="E18" s="113">
        <v>112</v>
      </c>
      <c r="F18" s="113">
        <v>154</v>
      </c>
      <c r="G18" s="113">
        <v>159</v>
      </c>
      <c r="H18" s="114">
        <v>135</v>
      </c>
      <c r="I18" s="392">
        <f t="shared" si="7"/>
        <v>0.20535714285714285</v>
      </c>
      <c r="J18" s="115"/>
      <c r="K18" s="116">
        <f>IF(ISNUMBER(D18),D18/Population!C17*10000,NA())</f>
        <v>6.2722736992159653</v>
      </c>
      <c r="L18" s="116">
        <f>IF(ISNUMBER(E18),E18/Population!D17*10000,NA())</f>
        <v>7.9320113314447589</v>
      </c>
      <c r="M18" s="116">
        <f>IF(ISNUMBER(F18),F18/Population!E17*10000,NA())</f>
        <v>10.860366713681241</v>
      </c>
      <c r="N18" s="116">
        <f>IF(ISNUMBER(G18),G18/Population!F17*10000,NA())</f>
        <v>11.12689559612868</v>
      </c>
      <c r="O18" s="117">
        <f>IF(ISNUMBER(H18),H18/Population!G17*10000,NA())</f>
        <v>9.4113382225816355</v>
      </c>
      <c r="P18" s="397">
        <f t="shared" si="1"/>
        <v>9</v>
      </c>
      <c r="Q18" s="70"/>
      <c r="R18" s="387">
        <f>IDACI!C18</f>
        <v>11.799999999999999</v>
      </c>
      <c r="S18" s="388">
        <f t="shared" si="2"/>
        <v>9.3162207655488416</v>
      </c>
      <c r="T18" s="389">
        <f t="shared" si="3"/>
        <v>9.5117457032793951E-2</v>
      </c>
      <c r="U18" s="139"/>
      <c r="V18" s="154"/>
      <c r="W18" s="170"/>
      <c r="X18" s="72" t="str">
        <f t="shared" si="4"/>
        <v>Oxfordshire</v>
      </c>
      <c r="Y18" s="235">
        <v>10</v>
      </c>
      <c r="Z18" s="236">
        <f>IF(D18&gt;0,Population!C17,"")</f>
        <v>140300</v>
      </c>
      <c r="AA18" s="236">
        <f>IF(E18&gt;0,Population!D17,"")</f>
        <v>141200</v>
      </c>
      <c r="AB18" s="236">
        <f>IF(F18&gt;0,Population!E17,"")</f>
        <v>141800</v>
      </c>
      <c r="AC18" s="236">
        <f>IF(G18&gt;0,Population!F17,"")</f>
        <v>142897</v>
      </c>
      <c r="AD18" s="236">
        <f>IF(H18&gt;0,Population!G17,"")</f>
        <v>143444</v>
      </c>
      <c r="AE18" s="217"/>
      <c r="AF18" s="112" t="s">
        <v>12</v>
      </c>
      <c r="AG18" s="262">
        <f t="shared" si="5"/>
        <v>9.4113382225816355</v>
      </c>
      <c r="AH18" s="237">
        <f t="shared" si="6"/>
        <v>9</v>
      </c>
      <c r="AI18" s="232"/>
      <c r="AJ18" s="178"/>
    </row>
    <row r="19" spans="1:36" s="101" customFormat="1" ht="13.5" customHeight="1" x14ac:dyDescent="0.2">
      <c r="A19" s="533">
        <f>VLOOKUP(B19,Sheet1!$B$4:$C$25,2,FALSE)</f>
        <v>0</v>
      </c>
      <c r="B19" s="112" t="s">
        <v>13</v>
      </c>
      <c r="C19" s="97"/>
      <c r="D19" s="113">
        <v>47</v>
      </c>
      <c r="E19" s="113">
        <v>59</v>
      </c>
      <c r="F19" s="113">
        <v>45</v>
      </c>
      <c r="G19" s="113">
        <v>48</v>
      </c>
      <c r="H19" s="114">
        <v>73</v>
      </c>
      <c r="I19" s="392">
        <f t="shared" si="7"/>
        <v>0.23728813559322035</v>
      </c>
      <c r="J19" s="115"/>
      <c r="K19" s="116">
        <f>IF(ISNUMBER(D19),D19/Population!C18*10000,NA())</f>
        <v>11.03286384976526</v>
      </c>
      <c r="L19" s="116">
        <f>IF(ISNUMBER(E19),E19/Population!D18*10000,NA())</f>
        <v>13.59447004608295</v>
      </c>
      <c r="M19" s="116">
        <f>IF(ISNUMBER(F19),F19/Population!E18*10000,NA())</f>
        <v>10.273972602739725</v>
      </c>
      <c r="N19" s="116">
        <f>IF(ISNUMBER(G19),G19/Population!F18*10000,NA())</f>
        <v>10.90909090909091</v>
      </c>
      <c r="O19" s="117">
        <f>IF(ISNUMBER(H19),H19/Population!G18*10000,NA())</f>
        <v>16.518826937002171</v>
      </c>
      <c r="P19" s="397">
        <f t="shared" si="1"/>
        <v>16</v>
      </c>
      <c r="Q19" s="70"/>
      <c r="R19" s="387">
        <f>IDACI!C19</f>
        <v>23.799999999999997</v>
      </c>
      <c r="S19" s="388">
        <f t="shared" si="2"/>
        <v>14.440222358106045</v>
      </c>
      <c r="T19" s="389">
        <f t="shared" si="3"/>
        <v>2.078604578896126</v>
      </c>
      <c r="U19" s="139"/>
      <c r="V19" s="154"/>
      <c r="W19" s="170"/>
      <c r="X19" s="72" t="str">
        <f t="shared" si="4"/>
        <v>Portsmouth</v>
      </c>
      <c r="Y19" s="235">
        <v>11</v>
      </c>
      <c r="Z19" s="236">
        <f>IF(D19&gt;0,Population!C18,"")</f>
        <v>42600</v>
      </c>
      <c r="AA19" s="236">
        <f>IF(E19&gt;0,Population!D18,"")</f>
        <v>43400</v>
      </c>
      <c r="AB19" s="236">
        <f>IF(F19&gt;0,Population!E18,"")</f>
        <v>43800</v>
      </c>
      <c r="AC19" s="236">
        <f>IF(G19&gt;0,Population!F18,"")</f>
        <v>44000</v>
      </c>
      <c r="AD19" s="236">
        <f>IF(H19&gt;0,Population!G18,"")</f>
        <v>44192</v>
      </c>
      <c r="AE19" s="217"/>
      <c r="AF19" s="112" t="s">
        <v>13</v>
      </c>
      <c r="AG19" s="262">
        <f t="shared" si="5"/>
        <v>16.518826937002171</v>
      </c>
      <c r="AH19" s="237">
        <f t="shared" si="6"/>
        <v>16</v>
      </c>
      <c r="AI19" s="232"/>
      <c r="AJ19" s="178"/>
    </row>
    <row r="20" spans="1:36" s="101" customFormat="1" ht="13.5" customHeight="1" x14ac:dyDescent="0.2">
      <c r="A20" s="533">
        <f>VLOOKUP(B20,Sheet1!$B$4:$C$25,2,FALSE)</f>
        <v>0</v>
      </c>
      <c r="B20" s="112" t="s">
        <v>3</v>
      </c>
      <c r="C20" s="97"/>
      <c r="D20" s="113">
        <v>25</v>
      </c>
      <c r="E20" s="113">
        <v>39</v>
      </c>
      <c r="F20" s="113">
        <v>67</v>
      </c>
      <c r="G20" s="113">
        <v>78</v>
      </c>
      <c r="H20" s="114">
        <v>63</v>
      </c>
      <c r="I20" s="392">
        <f t="shared" si="7"/>
        <v>0.61538461538461542</v>
      </c>
      <c r="J20" s="115"/>
      <c r="K20" s="116">
        <f>IF(ISNUMBER(D20),D20/Population!C19*10000,NA())</f>
        <v>7.2046109510086449</v>
      </c>
      <c r="L20" s="116">
        <f>IF(ISNUMBER(E20),E20/Population!D19*10000,NA())</f>
        <v>10.863509749303622</v>
      </c>
      <c r="M20" s="116">
        <f>IF(ISNUMBER(F20),F20/Population!E19*10000,NA())</f>
        <v>18.406593406593409</v>
      </c>
      <c r="N20" s="116">
        <f>IF(ISNUMBER(G20),G20/Population!F19*10000,NA())</f>
        <v>21.287628612756201</v>
      </c>
      <c r="O20" s="117">
        <f>IF(ISNUMBER(H20),H20/Population!G19*10000,NA())</f>
        <v>16.984336667295715</v>
      </c>
      <c r="P20" s="397">
        <f t="shared" si="1"/>
        <v>17</v>
      </c>
      <c r="Q20" s="70"/>
      <c r="R20" s="387">
        <f>IDACI!C20</f>
        <v>19.8</v>
      </c>
      <c r="S20" s="388">
        <f t="shared" si="2"/>
        <v>12.732221827253644</v>
      </c>
      <c r="T20" s="389">
        <f t="shared" si="3"/>
        <v>4.2521148400420703</v>
      </c>
      <c r="U20" s="139"/>
      <c r="V20" s="154"/>
      <c r="W20" s="170"/>
      <c r="X20" s="72" t="str">
        <f t="shared" si="4"/>
        <v>Reading</v>
      </c>
      <c r="Y20" s="235">
        <v>12</v>
      </c>
      <c r="Z20" s="236">
        <f>IF(D20&gt;0,Population!C19,"")</f>
        <v>34700</v>
      </c>
      <c r="AA20" s="236">
        <f>IF(E20&gt;0,Population!D19,"")</f>
        <v>35900</v>
      </c>
      <c r="AB20" s="236">
        <f>IF(F20&gt;0,Population!E19,"")</f>
        <v>36400</v>
      </c>
      <c r="AC20" s="236">
        <f>IF(G20&gt;0,Population!F19,"")</f>
        <v>36641</v>
      </c>
      <c r="AD20" s="236">
        <f>IF(H20&gt;0,Population!G19,"")</f>
        <v>37093</v>
      </c>
      <c r="AE20" s="217"/>
      <c r="AF20" s="112" t="s">
        <v>3</v>
      </c>
      <c r="AG20" s="262">
        <f t="shared" si="5"/>
        <v>16.984336667295715</v>
      </c>
      <c r="AH20" s="237">
        <f t="shared" si="6"/>
        <v>17</v>
      </c>
      <c r="AI20" s="232"/>
      <c r="AJ20" s="178"/>
    </row>
    <row r="21" spans="1:36" s="101" customFormat="1" ht="13.5" customHeight="1" x14ac:dyDescent="0.2">
      <c r="A21" s="533">
        <f>VLOOKUP(B21,Sheet1!$B$4:$C$25,2,FALSE)</f>
        <v>0</v>
      </c>
      <c r="B21" s="112" t="s">
        <v>14</v>
      </c>
      <c r="C21" s="97"/>
      <c r="D21" s="113">
        <v>39</v>
      </c>
      <c r="E21" s="113">
        <v>37</v>
      </c>
      <c r="F21" s="113">
        <v>57</v>
      </c>
      <c r="G21" s="113">
        <v>52</v>
      </c>
      <c r="H21" s="114">
        <v>57</v>
      </c>
      <c r="I21" s="392">
        <f t="shared" si="7"/>
        <v>0.54054054054054057</v>
      </c>
      <c r="J21" s="115"/>
      <c r="K21" s="116">
        <f>IF(ISNUMBER(D21),D21/Population!C20*10000,NA())</f>
        <v>10.025706940874036</v>
      </c>
      <c r="L21" s="116">
        <f>IF(ISNUMBER(E21),E21/Population!D20*10000,NA())</f>
        <v>9.2731829573934839</v>
      </c>
      <c r="M21" s="116">
        <f>IF(ISNUMBER(F21),F21/Population!E20*10000,NA())</f>
        <v>14.039408866995075</v>
      </c>
      <c r="N21" s="116">
        <f>IF(ISNUMBER(G21),G21/Population!F20*10000,NA())</f>
        <v>12.558566391344248</v>
      </c>
      <c r="O21" s="117">
        <f>IF(ISNUMBER(H21),H21/Population!G20*10000,NA())</f>
        <v>13.513513513513514</v>
      </c>
      <c r="P21" s="397">
        <f t="shared" si="1"/>
        <v>13</v>
      </c>
      <c r="Q21" s="70"/>
      <c r="R21" s="387">
        <f>IDACI!C21</f>
        <v>19.5</v>
      </c>
      <c r="S21" s="388">
        <f t="shared" si="2"/>
        <v>12.604121787439714</v>
      </c>
      <c r="T21" s="389">
        <f t="shared" si="3"/>
        <v>0.90939172607379959</v>
      </c>
      <c r="U21" s="139"/>
      <c r="V21" s="154"/>
      <c r="W21" s="170"/>
      <c r="X21" s="72" t="str">
        <f t="shared" si="4"/>
        <v>Slough</v>
      </c>
      <c r="Y21" s="235">
        <v>13</v>
      </c>
      <c r="Z21" s="236">
        <f>IF(D21&gt;0,Population!C20,"")</f>
        <v>38900</v>
      </c>
      <c r="AA21" s="236">
        <f>IF(E21&gt;0,Population!D20,"")</f>
        <v>39900</v>
      </c>
      <c r="AB21" s="236">
        <f>IF(F21&gt;0,Population!E20,"")</f>
        <v>40600</v>
      </c>
      <c r="AC21" s="236">
        <f>IF(G21&gt;0,Population!F20,"")</f>
        <v>41406</v>
      </c>
      <c r="AD21" s="236">
        <f>IF(H21&gt;0,Population!G20,"")</f>
        <v>42180</v>
      </c>
      <c r="AE21" s="217"/>
      <c r="AF21" s="112" t="s">
        <v>14</v>
      </c>
      <c r="AG21" s="262">
        <f t="shared" si="5"/>
        <v>13.513513513513514</v>
      </c>
      <c r="AH21" s="237">
        <f t="shared" si="6"/>
        <v>13</v>
      </c>
      <c r="AI21" s="232"/>
      <c r="AJ21" s="178"/>
    </row>
    <row r="22" spans="1:36" s="101" customFormat="1" ht="13.5" customHeight="1" x14ac:dyDescent="0.2">
      <c r="A22" s="533">
        <f>VLOOKUP(B22,Sheet1!$B$4:$C$25,2,FALSE)</f>
        <v>0</v>
      </c>
      <c r="B22" s="112" t="s">
        <v>93</v>
      </c>
      <c r="C22" s="97"/>
      <c r="D22" s="113">
        <v>104</v>
      </c>
      <c r="E22" s="113">
        <v>131</v>
      </c>
      <c r="F22" s="113">
        <v>149</v>
      </c>
      <c r="G22" s="113">
        <v>146</v>
      </c>
      <c r="H22" s="114">
        <v>132</v>
      </c>
      <c r="I22" s="392">
        <f t="shared" si="7"/>
        <v>7.6335877862595417E-3</v>
      </c>
      <c r="J22" s="115"/>
      <c r="K22" s="116">
        <f>IF(ISNUMBER(D22),D22/Population!C21*10000,NA())</f>
        <v>9.5588235294117645</v>
      </c>
      <c r="L22" s="116">
        <f>IF(ISNUMBER(E22),E22/Population!D21*10000,NA())</f>
        <v>12.029384756657484</v>
      </c>
      <c r="M22" s="116">
        <f>IF(ISNUMBER(F22),F22/Population!E21*10000,NA())</f>
        <v>13.644688644688646</v>
      </c>
      <c r="N22" s="116">
        <f>IF(ISNUMBER(G22),G22/Population!F21*10000,NA())</f>
        <v>13.314243504746619</v>
      </c>
      <c r="O22" s="117">
        <f>IF(ISNUMBER(H22),H22/Population!G21*10000,NA())</f>
        <v>11.990843355982703</v>
      </c>
      <c r="P22" s="422" t="str">
        <f t="shared" si="1"/>
        <v>--</v>
      </c>
      <c r="Q22" s="70"/>
      <c r="R22" s="387">
        <f>IDACI!C22</f>
        <v>14.8</v>
      </c>
      <c r="S22" s="388">
        <f t="shared" si="2"/>
        <v>10.597221163688143</v>
      </c>
      <c r="T22" s="389">
        <f t="shared" si="3"/>
        <v>1.3936221922945595</v>
      </c>
      <c r="U22" s="139"/>
      <c r="V22" s="154"/>
      <c r="W22" s="170"/>
      <c r="X22" s="72" t="str">
        <f t="shared" si="4"/>
        <v>Somerset</v>
      </c>
      <c r="Y22" s="235">
        <v>14</v>
      </c>
      <c r="Z22" s="236">
        <f>IF(D22&gt;0,Population!C21,"")</f>
        <v>108800</v>
      </c>
      <c r="AA22" s="236">
        <f>IF(E22&gt;0,Population!D21,"")</f>
        <v>108900</v>
      </c>
      <c r="AB22" s="236">
        <f>IF(F22&gt;0,Population!E21,"")</f>
        <v>109200</v>
      </c>
      <c r="AC22" s="236">
        <f>IF(G22&gt;0,Population!F21,"")</f>
        <v>109657</v>
      </c>
      <c r="AD22" s="236">
        <f>IF(H22&gt;0,Population!G21,"")</f>
        <v>110084</v>
      </c>
      <c r="AE22" s="217"/>
      <c r="AF22" s="112" t="s">
        <v>15</v>
      </c>
      <c r="AG22" s="262">
        <f t="shared" si="5"/>
        <v>17.890865719113407</v>
      </c>
      <c r="AH22" s="237">
        <f t="shared" si="6"/>
        <v>18</v>
      </c>
      <c r="AI22" s="232"/>
      <c r="AJ22" s="178"/>
    </row>
    <row r="23" spans="1:36" s="101" customFormat="1" ht="13.5" customHeight="1" x14ac:dyDescent="0.2">
      <c r="A23" s="533">
        <f>VLOOKUP(B23,Sheet1!$B$4:$C$25,2,FALSE)</f>
        <v>0</v>
      </c>
      <c r="B23" s="112" t="s">
        <v>15</v>
      </c>
      <c r="C23" s="97"/>
      <c r="D23" s="113">
        <v>101</v>
      </c>
      <c r="E23" s="113">
        <v>96</v>
      </c>
      <c r="F23" s="113">
        <v>93</v>
      </c>
      <c r="G23" s="113">
        <v>87</v>
      </c>
      <c r="H23" s="114">
        <v>90</v>
      </c>
      <c r="I23" s="392">
        <f t="shared" si="7"/>
        <v>-6.25E-2</v>
      </c>
      <c r="J23" s="115"/>
      <c r="K23" s="116">
        <f>IF(ISNUMBER(D23),D23/Population!C22*10000,NA())</f>
        <v>21.308016877637129</v>
      </c>
      <c r="L23" s="116">
        <f>IF(ISNUMBER(E23),E23/Population!D22*10000,NA())</f>
        <v>19.753086419753085</v>
      </c>
      <c r="M23" s="116">
        <f>IF(ISNUMBER(F23),F23/Population!E22*10000,NA())</f>
        <v>18.902439024390244</v>
      </c>
      <c r="N23" s="116">
        <f>IF(ISNUMBER(G23),G23/Population!F22*10000,NA())</f>
        <v>17.434520350293582</v>
      </c>
      <c r="O23" s="117">
        <f>IF(ISNUMBER(H23),H23/Population!G22*10000,NA())</f>
        <v>17.890865719113407</v>
      </c>
      <c r="P23" s="397">
        <f t="shared" si="1"/>
        <v>18</v>
      </c>
      <c r="Q23" s="70"/>
      <c r="R23" s="387">
        <f>IDACI!C23</f>
        <v>25</v>
      </c>
      <c r="S23" s="388">
        <f t="shared" si="2"/>
        <v>14.952622517361766</v>
      </c>
      <c r="T23" s="389">
        <f t="shared" si="3"/>
        <v>2.9382432017516411</v>
      </c>
      <c r="U23" s="139"/>
      <c r="V23" s="154"/>
      <c r="W23" s="170"/>
      <c r="X23" s="72" t="str">
        <f t="shared" si="4"/>
        <v>Southampton</v>
      </c>
      <c r="Y23" s="235">
        <v>15</v>
      </c>
      <c r="Z23" s="236">
        <f>IF(D23&gt;0,Population!C22,"")</f>
        <v>47400</v>
      </c>
      <c r="AA23" s="236">
        <f>IF(E23&gt;0,Population!D22,"")</f>
        <v>48600</v>
      </c>
      <c r="AB23" s="236">
        <f>IF(F23&gt;0,Population!E22,"")</f>
        <v>49200</v>
      </c>
      <c r="AC23" s="236">
        <f>IF(G23&gt;0,Population!F22,"")</f>
        <v>49901</v>
      </c>
      <c r="AD23" s="236">
        <f>IF(H23&gt;0,Population!G22,"")</f>
        <v>50305</v>
      </c>
      <c r="AE23" s="217"/>
      <c r="AF23" s="112" t="s">
        <v>7</v>
      </c>
      <c r="AG23" s="262">
        <f t="shared" si="5"/>
        <v>7.8753769616411526</v>
      </c>
      <c r="AH23" s="237">
        <f t="shared" si="6"/>
        <v>4</v>
      </c>
      <c r="AI23" s="232"/>
      <c r="AJ23" s="178"/>
    </row>
    <row r="24" spans="1:36" s="101" customFormat="1" ht="13.5" customHeight="1" x14ac:dyDescent="0.2">
      <c r="A24" s="533">
        <f>VLOOKUP(B24,Sheet1!$B$4:$C$25,2,FALSE)</f>
        <v>0</v>
      </c>
      <c r="B24" s="112" t="s">
        <v>7</v>
      </c>
      <c r="C24" s="97"/>
      <c r="D24" s="113">
        <v>119</v>
      </c>
      <c r="E24" s="113">
        <v>109</v>
      </c>
      <c r="F24" s="113">
        <v>141</v>
      </c>
      <c r="G24" s="113">
        <v>180</v>
      </c>
      <c r="H24" s="114">
        <v>205</v>
      </c>
      <c r="I24" s="392">
        <f t="shared" si="7"/>
        <v>0.88073394495412849</v>
      </c>
      <c r="J24" s="115"/>
      <c r="K24" s="116">
        <f>IF(ISNUMBER(D24),D24/Population!C23*10000,NA())</f>
        <v>4.7222222222222223</v>
      </c>
      <c r="L24" s="116">
        <f>IF(ISNUMBER(E24),E24/Population!D23*10000,NA())</f>
        <v>4.2812254516889237</v>
      </c>
      <c r="M24" s="116">
        <f>IF(ISNUMBER(F24),F24/Population!E23*10000,NA())</f>
        <v>5.4992199687987515</v>
      </c>
      <c r="N24" s="116">
        <f>IF(ISNUMBER(G24),G24/Population!F23*10000,NA())</f>
        <v>6.9498337831420196</v>
      </c>
      <c r="O24" s="117">
        <f>IF(ISNUMBER(H24),H24/Population!G23*10000,NA())</f>
        <v>7.8753769616411526</v>
      </c>
      <c r="P24" s="397">
        <f t="shared" si="1"/>
        <v>4</v>
      </c>
      <c r="Q24" s="70"/>
      <c r="R24" s="387">
        <f>IDACI!C24</f>
        <v>9.7000000000000011</v>
      </c>
      <c r="S24" s="388">
        <f t="shared" si="2"/>
        <v>8.4195204868513311</v>
      </c>
      <c r="T24" s="389">
        <f t="shared" si="3"/>
        <v>-0.5441435252101785</v>
      </c>
      <c r="U24" s="139"/>
      <c r="V24" s="154"/>
      <c r="W24" s="170"/>
      <c r="X24" s="72" t="str">
        <f t="shared" si="4"/>
        <v>Surrey</v>
      </c>
      <c r="Y24" s="235">
        <v>16</v>
      </c>
      <c r="Z24" s="236">
        <f>IF(D24&gt;0,Population!C23,"")</f>
        <v>252000</v>
      </c>
      <c r="AA24" s="236">
        <f>IF(E24&gt;0,Population!D23,"")</f>
        <v>254600</v>
      </c>
      <c r="AB24" s="236">
        <f>IF(F24&gt;0,Population!E23,"")</f>
        <v>256400</v>
      </c>
      <c r="AC24" s="236">
        <f>IF(G24&gt;0,Population!F23,"")</f>
        <v>258999</v>
      </c>
      <c r="AD24" s="236">
        <f>IF(H24&gt;0,Population!G23,"")</f>
        <v>260305</v>
      </c>
      <c r="AE24" s="217"/>
      <c r="AF24" s="112" t="s">
        <v>16</v>
      </c>
      <c r="AG24" s="262">
        <f t="shared" si="5"/>
        <v>10.058675607711651</v>
      </c>
      <c r="AH24" s="237">
        <f t="shared" si="6"/>
        <v>11</v>
      </c>
      <c r="AI24" s="232"/>
      <c r="AJ24" s="178"/>
    </row>
    <row r="25" spans="1:36" s="101" customFormat="1" ht="13.5" customHeight="1" x14ac:dyDescent="0.2">
      <c r="A25" s="533">
        <f>VLOOKUP(B25,Sheet1!$B$4:$C$25,2,FALSE)</f>
        <v>0</v>
      </c>
      <c r="B25" s="112" t="s">
        <v>116</v>
      </c>
      <c r="C25" s="97"/>
      <c r="D25" s="113">
        <v>45</v>
      </c>
      <c r="E25" s="113">
        <v>47</v>
      </c>
      <c r="F25" s="113">
        <v>53</v>
      </c>
      <c r="G25" s="113">
        <v>78</v>
      </c>
      <c r="H25" s="114">
        <v>85</v>
      </c>
      <c r="I25" s="392">
        <f t="shared" si="7"/>
        <v>0.80851063829787229</v>
      </c>
      <c r="J25" s="115"/>
      <c r="K25" s="116">
        <f>IF(ISNUMBER(D25),D25/Population!C24*10000,NA())</f>
        <v>9.3945720250521916</v>
      </c>
      <c r="L25" s="116">
        <f>IF(ISNUMBER(E25),E25/Population!D24*10000,NA())</f>
        <v>9.6707818930041149</v>
      </c>
      <c r="M25" s="116">
        <f>IF(ISNUMBER(F25),F25/Population!E24*10000,NA())</f>
        <v>10.816326530612246</v>
      </c>
      <c r="N25" s="116">
        <f>IF(ISNUMBER(G25),G25/Population!F24*10000,NA())</f>
        <v>15.769681775908778</v>
      </c>
      <c r="O25" s="117">
        <f>IF(ISNUMBER(H25),H25/Population!G24*10000,NA())</f>
        <v>17.025879336591618</v>
      </c>
      <c r="P25" s="422" t="str">
        <f t="shared" si="1"/>
        <v>--</v>
      </c>
      <c r="Q25" s="70"/>
      <c r="R25" s="387">
        <f>IDACI!C25</f>
        <v>17.2</v>
      </c>
      <c r="S25" s="388">
        <f t="shared" si="2"/>
        <v>11.622021482199582</v>
      </c>
      <c r="T25" s="389">
        <f t="shared" si="3"/>
        <v>5.4038578543920366</v>
      </c>
      <c r="U25" s="139"/>
      <c r="V25" s="154"/>
      <c r="W25" s="170"/>
      <c r="X25" s="72" t="str">
        <f t="shared" si="4"/>
        <v>Swindon</v>
      </c>
      <c r="Y25" s="235">
        <v>17</v>
      </c>
      <c r="Z25" s="236">
        <f>IF(D25&gt;0,Population!C24,"")</f>
        <v>47900</v>
      </c>
      <c r="AA25" s="236">
        <f>IF(E25&gt;0,Population!D24,"")</f>
        <v>48600</v>
      </c>
      <c r="AB25" s="236">
        <f>IF(F25&gt;0,Population!E24,"")</f>
        <v>49000</v>
      </c>
      <c r="AC25" s="236">
        <f>IF(G25&gt;0,Population!F24,"")</f>
        <v>49462</v>
      </c>
      <c r="AD25" s="236">
        <f>IF(H25&gt;0,Population!G24,"")</f>
        <v>49924</v>
      </c>
      <c r="AE25" s="217"/>
      <c r="AF25" s="112" t="s">
        <v>5</v>
      </c>
      <c r="AG25" s="262">
        <f t="shared" si="5"/>
        <v>9.4643959810942917</v>
      </c>
      <c r="AH25" s="237">
        <f t="shared" si="6"/>
        <v>10</v>
      </c>
      <c r="AI25" s="232"/>
      <c r="AJ25" s="178"/>
    </row>
    <row r="26" spans="1:36" s="101" customFormat="1" ht="13.5" customHeight="1" x14ac:dyDescent="0.2">
      <c r="A26" s="533">
        <f>VLOOKUP(B26,Sheet1!$B$4:$C$25,2,FALSE)</f>
        <v>0</v>
      </c>
      <c r="B26" s="112" t="s">
        <v>117</v>
      </c>
      <c r="C26" s="97"/>
      <c r="D26" s="113">
        <v>59</v>
      </c>
      <c r="E26" s="113">
        <v>58</v>
      </c>
      <c r="F26" s="113">
        <v>55</v>
      </c>
      <c r="G26" s="113">
        <v>56</v>
      </c>
      <c r="H26" s="114">
        <v>60</v>
      </c>
      <c r="I26" s="392">
        <f t="shared" si="7"/>
        <v>3.4482758620689655E-2</v>
      </c>
      <c r="J26" s="115"/>
      <c r="K26" s="116">
        <f>IF(ISNUMBER(D26),D26/Population!C25*10000,NA())</f>
        <v>23.79032258064516</v>
      </c>
      <c r="L26" s="116">
        <f>IF(ISNUMBER(E26),E26/Population!D25*10000,NA())</f>
        <v>23.107569721115539</v>
      </c>
      <c r="M26" s="116">
        <f>IF(ISNUMBER(F26),F26/Population!E25*10000,NA())</f>
        <v>21.825396825396826</v>
      </c>
      <c r="N26" s="116">
        <f>IF(ISNUMBER(G26),G26/Population!F25*10000,NA())</f>
        <v>22.070705080203364</v>
      </c>
      <c r="O26" s="117">
        <f>IF(ISNUMBER(H26),H26/Population!G25*10000,NA())</f>
        <v>23.606247786914267</v>
      </c>
      <c r="P26" s="422" t="str">
        <f t="shared" si="1"/>
        <v>--</v>
      </c>
      <c r="Q26" s="70"/>
      <c r="R26" s="387">
        <f>IDACI!C26</f>
        <v>24.1</v>
      </c>
      <c r="S26" s="388">
        <f t="shared" si="2"/>
        <v>14.568322397919976</v>
      </c>
      <c r="T26" s="389">
        <f t="shared" si="3"/>
        <v>9.0379253889942905</v>
      </c>
      <c r="U26" s="139"/>
      <c r="V26" s="154"/>
      <c r="W26" s="170"/>
      <c r="X26" s="72" t="str">
        <f t="shared" si="4"/>
        <v>Torbay</v>
      </c>
      <c r="Y26" s="235">
        <v>18</v>
      </c>
      <c r="Z26" s="236">
        <f>IF(D26&gt;0,Population!C25,"")</f>
        <v>24800</v>
      </c>
      <c r="AA26" s="236">
        <f>IF(E26&gt;0,Population!D25,"")</f>
        <v>25100</v>
      </c>
      <c r="AB26" s="236">
        <f>IF(F26&gt;0,Population!E25,"")</f>
        <v>25200</v>
      </c>
      <c r="AC26" s="236">
        <f>IF(G26&gt;0,Population!F25,"")</f>
        <v>25373</v>
      </c>
      <c r="AD26" s="236">
        <f>IF(H26&gt;0,Population!G25,"")</f>
        <v>25417</v>
      </c>
      <c r="AE26" s="217"/>
      <c r="AF26" s="112" t="s">
        <v>31</v>
      </c>
      <c r="AG26" s="262">
        <f t="shared" si="5"/>
        <v>5.5309734513274336</v>
      </c>
      <c r="AH26" s="237">
        <f t="shared" si="6"/>
        <v>2</v>
      </c>
      <c r="AI26" s="232"/>
      <c r="AJ26" s="178"/>
    </row>
    <row r="27" spans="1:36" s="101" customFormat="1" ht="13.5" customHeight="1" x14ac:dyDescent="0.2">
      <c r="A27" s="533">
        <f>VLOOKUP(B27,Sheet1!$B$4:$C$25,2,FALSE)</f>
        <v>0</v>
      </c>
      <c r="B27" s="112" t="s">
        <v>16</v>
      </c>
      <c r="C27" s="97"/>
      <c r="D27" s="113">
        <v>21</v>
      </c>
      <c r="E27" s="118">
        <v>30</v>
      </c>
      <c r="F27" s="113">
        <v>49</v>
      </c>
      <c r="G27" s="113">
        <v>39</v>
      </c>
      <c r="H27" s="114">
        <v>36</v>
      </c>
      <c r="I27" s="392">
        <f t="shared" si="7"/>
        <v>0.2</v>
      </c>
      <c r="J27" s="115"/>
      <c r="K27" s="116">
        <f>IF(ISNUMBER(D27),D27/Population!C26*10000,NA())</f>
        <v>5.8823529411764701</v>
      </c>
      <c r="L27" s="116">
        <f>IF(ISNUMBER(E27),E27/Population!D26*10000,NA())</f>
        <v>8.4269662921348321</v>
      </c>
      <c r="M27" s="116">
        <f>IF(ISNUMBER(F27),F27/Population!E26*10000,NA())</f>
        <v>13.725490196078432</v>
      </c>
      <c r="N27" s="116">
        <f>IF(ISNUMBER(G27),G27/Population!F26*10000,NA())</f>
        <v>10.85413709610086</v>
      </c>
      <c r="O27" s="117">
        <f>IF(ISNUMBER(H27),H27/Population!G26*10000,NA())</f>
        <v>10.058675607711651</v>
      </c>
      <c r="P27" s="397">
        <f t="shared" si="1"/>
        <v>11</v>
      </c>
      <c r="Q27" s="70"/>
      <c r="R27" s="387">
        <f>IDACI!C27</f>
        <v>10.4</v>
      </c>
      <c r="S27" s="388">
        <f t="shared" si="2"/>
        <v>8.7184205797505001</v>
      </c>
      <c r="T27" s="389">
        <f t="shared" si="3"/>
        <v>1.3402550279611507</v>
      </c>
      <c r="U27" s="139"/>
      <c r="V27" s="154"/>
      <c r="W27" s="170"/>
      <c r="X27" s="72" t="str">
        <f t="shared" si="4"/>
        <v>West Berkshire</v>
      </c>
      <c r="Y27" s="235">
        <v>19</v>
      </c>
      <c r="Z27" s="236">
        <f>IF(D27&gt;0,Population!C26,"")</f>
        <v>35700</v>
      </c>
      <c r="AA27" s="236">
        <f>IF(E27&gt;0,Population!D26,"")</f>
        <v>35600</v>
      </c>
      <c r="AB27" s="236">
        <f>IF(F27&gt;0,Population!E26,"")</f>
        <v>35700</v>
      </c>
      <c r="AC27" s="236">
        <f>IF(G27&gt;0,Population!F26,"")</f>
        <v>35931</v>
      </c>
      <c r="AD27" s="236">
        <f>IF(H27&gt;0,Population!G26,"")</f>
        <v>35790</v>
      </c>
      <c r="AE27" s="232"/>
      <c r="AF27" s="112" t="s">
        <v>17</v>
      </c>
      <c r="AG27" s="262">
        <f t="shared" si="5"/>
        <v>5.426076171774068</v>
      </c>
      <c r="AH27" s="237">
        <f t="shared" si="6"/>
        <v>1</v>
      </c>
      <c r="AI27" s="232"/>
      <c r="AJ27" s="178"/>
    </row>
    <row r="28" spans="1:36" s="101" customFormat="1" ht="13.5" customHeight="1" x14ac:dyDescent="0.2">
      <c r="A28" s="533">
        <f>VLOOKUP(B28,Sheet1!$B$4:$C$25,2,FALSE)</f>
        <v>0</v>
      </c>
      <c r="B28" s="112" t="s">
        <v>5</v>
      </c>
      <c r="C28" s="97"/>
      <c r="D28" s="113">
        <v>67</v>
      </c>
      <c r="E28" s="118">
        <v>88</v>
      </c>
      <c r="F28" s="113">
        <v>138</v>
      </c>
      <c r="G28" s="113">
        <v>161</v>
      </c>
      <c r="H28" s="114">
        <v>164</v>
      </c>
      <c r="I28" s="392">
        <f t="shared" si="7"/>
        <v>0.86363636363636365</v>
      </c>
      <c r="J28" s="115"/>
      <c r="K28" s="116">
        <f>IF(ISNUMBER(D28),D28/Population!C27*10000,NA())</f>
        <v>4.0119760479041915</v>
      </c>
      <c r="L28" s="116">
        <f>IF(ISNUMBER(E28),E28/Population!D27*10000,NA())</f>
        <v>5.2132701421800949</v>
      </c>
      <c r="M28" s="116">
        <f>IF(ISNUMBER(F28),F28/Population!E27*10000,NA())</f>
        <v>8.0985915492957741</v>
      </c>
      <c r="N28" s="116">
        <f>IF(ISNUMBER(G28),G28/Population!F27*10000,NA())</f>
        <v>9.3734899074877305</v>
      </c>
      <c r="O28" s="117">
        <f>IF(ISNUMBER(H28),H28/Population!G27*10000,NA())</f>
        <v>9.4643959810942917</v>
      </c>
      <c r="P28" s="397">
        <f t="shared" si="1"/>
        <v>10</v>
      </c>
      <c r="Q28" s="70"/>
      <c r="R28" s="387">
        <f>IDACI!C28</f>
        <v>12.9</v>
      </c>
      <c r="S28" s="388">
        <f t="shared" si="2"/>
        <v>9.7859209115332515</v>
      </c>
      <c r="T28" s="389">
        <f t="shared" si="3"/>
        <v>-0.3215249304389598</v>
      </c>
      <c r="U28" s="139"/>
      <c r="V28" s="154"/>
      <c r="W28" s="170"/>
      <c r="X28" s="72" t="str">
        <f t="shared" si="4"/>
        <v>West Sussex</v>
      </c>
      <c r="Y28" s="235">
        <v>20</v>
      </c>
      <c r="Z28" s="236">
        <f>IF(D28&gt;0,Population!C27,"")</f>
        <v>167000</v>
      </c>
      <c r="AA28" s="236">
        <f>IF(E28&gt;0,Population!D27,"")</f>
        <v>168800</v>
      </c>
      <c r="AB28" s="236">
        <f>IF(F28&gt;0,Population!E27,"")</f>
        <v>170400</v>
      </c>
      <c r="AC28" s="236">
        <f>IF(G28&gt;0,Population!F27,"")</f>
        <v>171761</v>
      </c>
      <c r="AD28" s="236">
        <f>IF(H28&gt;0,Population!G27,"")</f>
        <v>173281</v>
      </c>
      <c r="AE28" s="232"/>
      <c r="AF28" s="232"/>
      <c r="AG28" s="232"/>
      <c r="AH28" s="217"/>
      <c r="AI28" s="232"/>
      <c r="AJ28" s="178"/>
    </row>
    <row r="29" spans="1:36" s="101" customFormat="1" ht="13.5" customHeight="1" x14ac:dyDescent="0.2">
      <c r="A29" s="533">
        <f>VLOOKUP(B29,Sheet1!$B$4:$C$25,2,FALSE)</f>
        <v>0</v>
      </c>
      <c r="B29" s="112" t="s">
        <v>31</v>
      </c>
      <c r="C29" s="97"/>
      <c r="D29" s="118">
        <v>18</v>
      </c>
      <c r="E29" s="113">
        <v>12</v>
      </c>
      <c r="F29" s="113">
        <v>17</v>
      </c>
      <c r="G29" s="113">
        <v>26</v>
      </c>
      <c r="H29" s="114">
        <v>19</v>
      </c>
      <c r="I29" s="392">
        <f t="shared" si="7"/>
        <v>0.58333333333333337</v>
      </c>
      <c r="J29" s="115"/>
      <c r="K29" s="116">
        <f>IF(ISNUMBER(D29),D29/Population!C28*10000,NA())</f>
        <v>5.4054054054054053</v>
      </c>
      <c r="L29" s="116">
        <f>IF(ISNUMBER(E29),E29/Population!D28*10000,NA())</f>
        <v>3.5928143712574849</v>
      </c>
      <c r="M29" s="116">
        <f>IF(ISNUMBER(F29),F29/Population!E28*10000,NA())</f>
        <v>5.0445103857566771</v>
      </c>
      <c r="N29" s="116">
        <f>IF(ISNUMBER(G29),G29/Population!F28*10000,NA())</f>
        <v>7.6076779026217229</v>
      </c>
      <c r="O29" s="117">
        <f>IF(ISNUMBER(H29),H29/Population!G28*10000,NA())</f>
        <v>5.5309734513274336</v>
      </c>
      <c r="P29" s="397">
        <f t="shared" si="1"/>
        <v>2</v>
      </c>
      <c r="Q29" s="70"/>
      <c r="R29" s="387">
        <f>IDACI!C29</f>
        <v>8.4</v>
      </c>
      <c r="S29" s="388">
        <f t="shared" si="2"/>
        <v>7.8644203143243008</v>
      </c>
      <c r="T29" s="389">
        <f t="shared" si="3"/>
        <v>-2.3334468629968672</v>
      </c>
      <c r="U29" s="139"/>
      <c r="V29" s="154"/>
      <c r="W29" s="170"/>
      <c r="X29" s="72" t="str">
        <f t="shared" si="4"/>
        <v>Windsor &amp; Maidenhead</v>
      </c>
      <c r="Y29" s="235">
        <v>21</v>
      </c>
      <c r="Z29" s="236">
        <f>IF(D29&gt;0,Population!C28,"")</f>
        <v>33300</v>
      </c>
      <c r="AA29" s="236">
        <f>IF(E29&gt;0,Population!D28,"")</f>
        <v>33400</v>
      </c>
      <c r="AB29" s="236">
        <f>IF(F29&gt;0,Population!E28,"")</f>
        <v>33700</v>
      </c>
      <c r="AC29" s="236">
        <f>IF(G29&gt;0,Population!F28,"")</f>
        <v>34176</v>
      </c>
      <c r="AD29" s="236">
        <f>IF(H29&gt;0,Population!G28,"")</f>
        <v>34352</v>
      </c>
      <c r="AE29" s="232"/>
      <c r="AF29" s="232"/>
      <c r="AG29" s="232"/>
      <c r="AH29" s="217"/>
      <c r="AI29" s="232"/>
      <c r="AJ29" s="178"/>
    </row>
    <row r="30" spans="1:36" s="101" customFormat="1" ht="13.5" customHeight="1" x14ac:dyDescent="0.2">
      <c r="A30" s="533">
        <f>VLOOKUP(B30,Sheet1!$B$4:$C$25,2,FALSE)</f>
        <v>0</v>
      </c>
      <c r="B30" s="112" t="s">
        <v>17</v>
      </c>
      <c r="C30" s="97"/>
      <c r="D30" s="118">
        <v>19</v>
      </c>
      <c r="E30" s="113">
        <v>12</v>
      </c>
      <c r="F30" s="113">
        <v>21</v>
      </c>
      <c r="G30" s="113">
        <v>18</v>
      </c>
      <c r="H30" s="114">
        <v>21</v>
      </c>
      <c r="I30" s="392">
        <f t="shared" si="7"/>
        <v>0.75</v>
      </c>
      <c r="J30" s="115"/>
      <c r="K30" s="116">
        <f>IF(ISNUMBER(D30),D30/Population!C29*10000,NA())</f>
        <v>5.2486187845303869</v>
      </c>
      <c r="L30" s="116">
        <f>IF(ISNUMBER(E30),E30/Population!D29*10000,NA())</f>
        <v>3.2520325203252032</v>
      </c>
      <c r="M30" s="116">
        <f>IF(ISNUMBER(F30),F30/Population!E29*10000,NA())</f>
        <v>5.6300268096514747</v>
      </c>
      <c r="N30" s="116">
        <f>IF(ISNUMBER(G30),G30/Population!F29*10000,NA())</f>
        <v>4.7344748678292436</v>
      </c>
      <c r="O30" s="117">
        <f>IF(ISNUMBER(H30),H30/Population!G29*10000,NA())</f>
        <v>5.426076171774068</v>
      </c>
      <c r="P30" s="397">
        <f t="shared" si="1"/>
        <v>1</v>
      </c>
      <c r="Q30" s="70"/>
      <c r="R30" s="387">
        <f>IDACI!C30</f>
        <v>6.8000000000000007</v>
      </c>
      <c r="S30" s="388">
        <f t="shared" si="2"/>
        <v>7.1812201019833397</v>
      </c>
      <c r="T30" s="389">
        <f t="shared" si="3"/>
        <v>-1.7551439302092717</v>
      </c>
      <c r="U30" s="139"/>
      <c r="V30" s="154"/>
      <c r="W30" s="170"/>
      <c r="X30" s="72" t="str">
        <f t="shared" si="4"/>
        <v>Wokingham</v>
      </c>
      <c r="Y30" s="235">
        <v>22</v>
      </c>
      <c r="Z30" s="236">
        <f>IF(D30&gt;0,Population!C29,"")</f>
        <v>36200</v>
      </c>
      <c r="AA30" s="236">
        <f>IF(E30&gt;0,Population!D29,"")</f>
        <v>36900</v>
      </c>
      <c r="AB30" s="236">
        <f>IF(F30&gt;0,Population!E29,"")</f>
        <v>37300</v>
      </c>
      <c r="AC30" s="236">
        <f>IF(G30&gt;0,Population!F29,"")</f>
        <v>38019</v>
      </c>
      <c r="AD30" s="236">
        <f>IF(H30&gt;0,Population!G29,"")</f>
        <v>38702</v>
      </c>
      <c r="AE30" s="232"/>
      <c r="AF30" s="232"/>
      <c r="AG30" s="232"/>
      <c r="AH30" s="217"/>
      <c r="AI30" s="232"/>
      <c r="AJ30" s="178"/>
    </row>
    <row r="31" spans="1:36" s="101" customFormat="1" ht="13.5" customHeight="1" x14ac:dyDescent="0.2">
      <c r="A31" s="138"/>
      <c r="B31" s="146" t="s">
        <v>74</v>
      </c>
      <c r="C31" s="97"/>
      <c r="D31" s="147">
        <f>IF(SUM(D9:D21,D23:D24,D27:D30)&gt;0,SUM(D9:D21,D23:D24,D27:D30),"")</f>
        <v>1349</v>
      </c>
      <c r="E31" s="147">
        <f>IF(SUM(E9:E21,E23:E24,E27:E30)&gt;0,SUM(E9:E21,E23:E24,E27:E30),"")</f>
        <v>1394</v>
      </c>
      <c r="F31" s="147">
        <f>SUM(F9:F21,F23:F24,F27:F30)</f>
        <v>1807</v>
      </c>
      <c r="G31" s="147">
        <f>SUM(G9:G21,G23:G24,G27:G30)</f>
        <v>1904</v>
      </c>
      <c r="H31" s="535">
        <f>SUM(H9:H21,H23:H24,H27:H30)</f>
        <v>1911</v>
      </c>
      <c r="I31" s="407">
        <f t="shared" si="7"/>
        <v>0.37087517934002867</v>
      </c>
      <c r="J31" s="115"/>
      <c r="K31" s="149">
        <f>IF(ISNUMBER(D31),D31/Z31*10000,NA())</f>
        <v>7.1496714013143947</v>
      </c>
      <c r="L31" s="149">
        <f>IF(ISNUMBER(E31),E31/AA31*10000,NA())</f>
        <v>7.3206595945804009</v>
      </c>
      <c r="M31" s="149">
        <f t="shared" ref="M31:O31" si="8">IF(ISNUMBER(F31),F31/AB31*10000,NA())</f>
        <v>9.4207809811792913</v>
      </c>
      <c r="N31" s="149">
        <f t="shared" si="8"/>
        <v>9.8489907629502067</v>
      </c>
      <c r="O31" s="150">
        <f t="shared" si="8"/>
        <v>9.8309296170258751</v>
      </c>
      <c r="P31" s="383" t="str">
        <f t="shared" si="1"/>
        <v>--</v>
      </c>
      <c r="Q31" s="70"/>
      <c r="R31" s="385">
        <f>IDACI!C31</f>
        <v>14.45223640702325</v>
      </c>
      <c r="S31" s="149">
        <f t="shared" si="2"/>
        <v>10.448726063334284</v>
      </c>
      <c r="T31" s="390">
        <f t="shared" si="3"/>
        <v>-0.61779644630840913</v>
      </c>
      <c r="U31" s="139"/>
      <c r="V31" s="154"/>
      <c r="W31" s="170"/>
      <c r="X31" s="72" t="str">
        <f t="shared" si="4"/>
        <v>South East</v>
      </c>
      <c r="Y31" s="235">
        <v>23</v>
      </c>
      <c r="Z31" s="236">
        <f>IF(D31&gt;0,Population!C30,"")</f>
        <v>1886800</v>
      </c>
      <c r="AA31" s="236">
        <f>IF(E31&gt;0,Population!D30,"")</f>
        <v>1904200</v>
      </c>
      <c r="AB31" s="236">
        <f>IF(F31&gt;0,Population!E30,"")</f>
        <v>1918100</v>
      </c>
      <c r="AC31" s="236">
        <f>IF(G31&gt;0,Population!F30,"")</f>
        <v>1933193</v>
      </c>
      <c r="AD31" s="236">
        <f>IF(H31&gt;0,Population!G30,"")</f>
        <v>1943865</v>
      </c>
      <c r="AE31" s="232"/>
      <c r="AF31" s="232"/>
      <c r="AG31" s="232"/>
      <c r="AH31" s="217"/>
      <c r="AI31" s="232"/>
      <c r="AJ31" s="178"/>
    </row>
    <row r="32" spans="1:36" s="101" customFormat="1" ht="13.5" customHeight="1" x14ac:dyDescent="0.2">
      <c r="A32" s="324"/>
      <c r="B32" s="370" t="s">
        <v>130</v>
      </c>
      <c r="C32" s="97"/>
      <c r="D32" s="371">
        <v>10584</v>
      </c>
      <c r="E32" s="371">
        <v>11160</v>
      </c>
      <c r="F32" s="371">
        <v>12792</v>
      </c>
      <c r="G32" s="371">
        <v>14599</v>
      </c>
      <c r="H32" s="536">
        <v>14218</v>
      </c>
      <c r="I32" s="408">
        <f t="shared" si="7"/>
        <v>0.27401433691756272</v>
      </c>
      <c r="J32" s="115"/>
      <c r="K32" s="373">
        <f>IF(ISNUMBER(D32),D32/Population!C31*10000,NA())</f>
        <v>9.2203956825131321</v>
      </c>
      <c r="L32" s="373">
        <f>IF(ISNUMBER(E32),E32/Population!D31*10000,NA())</f>
        <v>9.6275783534770571</v>
      </c>
      <c r="M32" s="373">
        <f>IF(ISNUMBER(F32),F32/Population!E31*10000,NA())</f>
        <v>10.954024268061895</v>
      </c>
      <c r="N32" s="373">
        <f>IF(ISNUMBER(G32),G32/Population!F31*10000,NA())</f>
        <v>12.38748991644405</v>
      </c>
      <c r="O32" s="374">
        <f>IF(ISNUMBER(H32),H32/Population!G31*10000,NA())</f>
        <v>11.981167539412167</v>
      </c>
      <c r="P32" s="384" t="str">
        <f t="shared" si="1"/>
        <v>--</v>
      </c>
      <c r="Q32" s="70"/>
      <c r="R32" s="386">
        <f>IDACI!C32</f>
        <v>19.902611588091716</v>
      </c>
      <c r="S32" s="373">
        <f t="shared" si="2"/>
        <v>12.776036988986709</v>
      </c>
      <c r="T32" s="391">
        <f t="shared" si="3"/>
        <v>-0.79486944957454142</v>
      </c>
      <c r="U32" s="139"/>
      <c r="V32" s="154"/>
      <c r="W32" s="170"/>
      <c r="X32" s="72" t="str">
        <f t="shared" si="4"/>
        <v>England</v>
      </c>
      <c r="Y32" s="235">
        <v>24</v>
      </c>
      <c r="Z32" s="236">
        <f>IF(D32&gt;0,Population!C31,"")</f>
        <v>11478900</v>
      </c>
      <c r="AA32" s="236">
        <f>IF(E32&gt;0,Population!D31,"")</f>
        <v>11591700</v>
      </c>
      <c r="AB32" s="236">
        <f>IF(F32&gt;0,Population!E31,"")</f>
        <v>11677900</v>
      </c>
      <c r="AC32" s="236">
        <f>IF(G32&gt;0,Population!F31,"")</f>
        <v>11785277</v>
      </c>
      <c r="AD32" s="236">
        <f>IF(H32&gt;0,Population!G31,"")</f>
        <v>11866957</v>
      </c>
      <c r="AE32" s="232"/>
      <c r="AF32" s="232"/>
      <c r="AG32" s="232"/>
      <c r="AH32" s="217"/>
      <c r="AI32" s="232"/>
      <c r="AJ32" s="178"/>
    </row>
    <row r="33" spans="1:49" s="88" customFormat="1" ht="13.5" customHeight="1" x14ac:dyDescent="0.2">
      <c r="A33" s="135"/>
      <c r="B33" s="140" t="s">
        <v>90</v>
      </c>
      <c r="C33" s="64"/>
      <c r="D33" s="64"/>
      <c r="E33" s="64"/>
      <c r="F33" s="64"/>
      <c r="G33" s="64"/>
      <c r="H33" s="64"/>
      <c r="I33" s="64"/>
      <c r="J33" s="64"/>
      <c r="K33" s="64"/>
      <c r="L33" s="64"/>
      <c r="M33" s="64"/>
      <c r="N33" s="64"/>
      <c r="O33" s="64"/>
      <c r="P33" s="151" t="s">
        <v>111</v>
      </c>
      <c r="R33" s="64"/>
      <c r="S33" s="64"/>
      <c r="T33" s="64"/>
      <c r="U33" s="134"/>
      <c r="V33" s="152"/>
      <c r="W33" s="168"/>
      <c r="X33" s="87"/>
      <c r="Y33" s="210"/>
      <c r="Z33" s="210"/>
      <c r="AA33" s="210"/>
      <c r="AB33" s="210"/>
      <c r="AC33" s="210"/>
      <c r="AD33" s="210"/>
      <c r="AE33" s="210"/>
      <c r="AF33" s="210"/>
      <c r="AG33" s="210"/>
      <c r="AI33" s="210"/>
      <c r="AJ33" s="179"/>
    </row>
    <row r="34" spans="1:49" s="88" customFormat="1" ht="29.25" customHeight="1" x14ac:dyDescent="0.2">
      <c r="A34" s="135"/>
      <c r="B34" s="1024"/>
      <c r="C34" s="1025"/>
      <c r="D34" s="1025"/>
      <c r="E34" s="1025"/>
      <c r="F34" s="1025"/>
      <c r="G34" s="1025"/>
      <c r="H34" s="1025"/>
      <c r="I34" s="1025"/>
      <c r="J34" s="1025"/>
      <c r="K34" s="1025"/>
      <c r="L34" s="1025"/>
      <c r="M34" s="1025"/>
      <c r="N34" s="1025"/>
      <c r="O34" s="1025"/>
      <c r="P34" s="1025"/>
      <c r="Q34" s="1025"/>
      <c r="R34" s="1025"/>
      <c r="S34" s="1025"/>
      <c r="T34" s="1026"/>
      <c r="U34" s="134"/>
      <c r="V34" s="152"/>
      <c r="W34" s="168"/>
      <c r="X34" s="87"/>
      <c r="Y34" s="210"/>
      <c r="Z34" s="210"/>
      <c r="AA34" s="210"/>
      <c r="AB34" s="210"/>
      <c r="AC34" s="210"/>
      <c r="AD34" s="210"/>
      <c r="AE34" s="210"/>
      <c r="AF34" s="210"/>
      <c r="AG34" s="210"/>
      <c r="AI34" s="210"/>
      <c r="AJ34" s="175"/>
      <c r="AK34" s="80"/>
      <c r="AL34" s="80"/>
      <c r="AM34" s="80"/>
      <c r="AN34" s="80"/>
      <c r="AO34" s="80"/>
      <c r="AP34" s="80"/>
      <c r="AQ34" s="80"/>
    </row>
    <row r="35" spans="1:49" s="88" customFormat="1" ht="7.5" customHeight="1" x14ac:dyDescent="0.2">
      <c r="A35" s="135"/>
      <c r="B35" s="18"/>
      <c r="C35" s="18"/>
      <c r="D35" s="17"/>
      <c r="E35" s="17"/>
      <c r="F35" s="17"/>
      <c r="G35" s="17"/>
      <c r="H35" s="17"/>
      <c r="I35" s="17"/>
      <c r="J35" s="13"/>
      <c r="K35" s="19"/>
      <c r="L35" s="19"/>
      <c r="M35" s="19"/>
      <c r="N35" s="19"/>
      <c r="O35" s="19"/>
      <c r="P35" s="19"/>
      <c r="Q35" s="19"/>
      <c r="R35" s="19"/>
      <c r="S35" s="19"/>
      <c r="T35" s="20"/>
      <c r="U35" s="134"/>
      <c r="V35" s="152"/>
      <c r="W35" s="168"/>
      <c r="Y35" s="217"/>
      <c r="AI35" s="210"/>
      <c r="AJ35" s="175"/>
      <c r="AK35" s="80"/>
      <c r="AL35" s="80"/>
      <c r="AM35" s="80"/>
      <c r="AN35" s="80"/>
      <c r="AO35" s="80"/>
      <c r="AP35" s="80"/>
      <c r="AQ35" s="80"/>
    </row>
    <row r="36" spans="1:49" s="88" customFormat="1" ht="15" customHeight="1" x14ac:dyDescent="0.2">
      <c r="A36" s="1010"/>
      <c r="B36" s="1018"/>
      <c r="C36" s="1018"/>
      <c r="D36" s="1018"/>
      <c r="E36" s="1018"/>
      <c r="F36" s="1018"/>
      <c r="G36" s="1018"/>
      <c r="H36" s="1018"/>
      <c r="I36" s="1018"/>
      <c r="J36" s="1018"/>
      <c r="K36" s="1018"/>
      <c r="L36" s="1018"/>
      <c r="M36" s="1018"/>
      <c r="N36" s="1018"/>
      <c r="O36" s="1018"/>
      <c r="P36" s="1018"/>
      <c r="Q36" s="1018"/>
      <c r="R36" s="1018"/>
      <c r="S36" s="1018"/>
      <c r="T36" s="1018"/>
      <c r="U36" s="1019"/>
      <c r="V36" s="152"/>
      <c r="W36" s="168"/>
      <c r="Y36" s="217"/>
      <c r="AJ36" s="179"/>
      <c r="AL36" s="88">
        <v>10</v>
      </c>
      <c r="AM36" s="88">
        <v>11</v>
      </c>
      <c r="AN36" s="88">
        <v>12</v>
      </c>
      <c r="AO36" s="88">
        <v>13</v>
      </c>
      <c r="AP36" s="88">
        <v>14</v>
      </c>
      <c r="AS36" s="25"/>
      <c r="AT36" s="25"/>
      <c r="AU36" s="25"/>
      <c r="AV36" s="24"/>
    </row>
    <row r="37" spans="1:49" s="88" customFormat="1" ht="11.25" customHeight="1" x14ac:dyDescent="0.2">
      <c r="A37" s="1020" t="str">
        <f>Home!$A$35</f>
        <v>LA's provide quarterly data on the condition that it is used by the benchmarking group for internal reporting only. Please DO NOT share other LA's data with any external partners or the public</v>
      </c>
      <c r="B37" s="1021"/>
      <c r="C37" s="1021"/>
      <c r="D37" s="1021"/>
      <c r="E37" s="1021"/>
      <c r="F37" s="1021"/>
      <c r="G37" s="1021"/>
      <c r="H37" s="1021"/>
      <c r="I37" s="1022"/>
      <c r="J37" s="1021"/>
      <c r="K37" s="1021"/>
      <c r="L37" s="1021"/>
      <c r="M37" s="1021"/>
      <c r="N37" s="1021"/>
      <c r="O37" s="1021"/>
      <c r="P37" s="1021"/>
      <c r="Q37" s="1021"/>
      <c r="R37" s="1021"/>
      <c r="S37" s="1022"/>
      <c r="T37" s="1021"/>
      <c r="U37" s="1023"/>
      <c r="V37" s="152"/>
      <c r="W37" s="168"/>
      <c r="Y37" s="217"/>
      <c r="AI37" s="210"/>
      <c r="AJ37" s="178"/>
      <c r="AK37" s="101"/>
      <c r="AL37" s="431" t="s">
        <v>89</v>
      </c>
      <c r="AM37" s="432"/>
      <c r="AN37" s="432"/>
      <c r="AO37" s="432"/>
      <c r="AP37" s="432"/>
      <c r="AQ37" s="431" t="s">
        <v>95</v>
      </c>
      <c r="AR37" s="56"/>
      <c r="AS37" s="25"/>
      <c r="AT37" s="25"/>
      <c r="AU37" s="25"/>
      <c r="AV37" s="24"/>
    </row>
    <row r="38" spans="1:49" s="88" customFormat="1" ht="11.25" customHeight="1" x14ac:dyDescent="0.2">
      <c r="A38" s="129"/>
      <c r="B38" s="130"/>
      <c r="C38" s="130"/>
      <c r="D38" s="130"/>
      <c r="E38" s="130"/>
      <c r="F38" s="130"/>
      <c r="G38" s="130"/>
      <c r="H38" s="130"/>
      <c r="I38" s="130"/>
      <c r="J38" s="131"/>
      <c r="K38" s="130"/>
      <c r="L38" s="130"/>
      <c r="M38" s="130"/>
      <c r="N38" s="130"/>
      <c r="O38" s="130"/>
      <c r="P38" s="130"/>
      <c r="Q38" s="130"/>
      <c r="R38" s="130"/>
      <c r="S38" s="130"/>
      <c r="T38" s="130"/>
      <c r="U38" s="132"/>
      <c r="V38" s="152"/>
      <c r="W38" s="167" t="s">
        <v>102</v>
      </c>
      <c r="X38" s="224"/>
      <c r="Y38" s="224"/>
      <c r="Z38" s="224"/>
      <c r="AA38" s="224"/>
      <c r="AB38" s="224"/>
      <c r="AI38" s="210"/>
      <c r="AJ38" s="178"/>
      <c r="AK38" s="101"/>
      <c r="AL38" s="431"/>
      <c r="AM38" s="431"/>
      <c r="AN38" s="431"/>
      <c r="AO38" s="431"/>
      <c r="AP38" s="431"/>
      <c r="AQ38" s="432"/>
      <c r="AR38" s="431"/>
      <c r="AS38" s="431"/>
      <c r="AT38" s="431"/>
      <c r="AU38" s="431"/>
      <c r="AV38" s="431"/>
    </row>
    <row r="39" spans="1:49" s="88" customFormat="1" ht="7.5" customHeight="1" x14ac:dyDescent="0.25">
      <c r="A39" s="133"/>
      <c r="B39" s="9"/>
      <c r="C39" s="9"/>
      <c r="D39" s="9"/>
      <c r="E39" s="9"/>
      <c r="F39" s="9"/>
      <c r="G39" s="9"/>
      <c r="H39" s="9"/>
      <c r="I39" s="9"/>
      <c r="J39" s="13"/>
      <c r="K39" s="9"/>
      <c r="L39" s="9"/>
      <c r="M39" s="9"/>
      <c r="N39" s="9"/>
      <c r="O39" s="9"/>
      <c r="P39" s="9"/>
      <c r="Q39" s="9"/>
      <c r="R39" s="9"/>
      <c r="S39" s="9"/>
      <c r="T39" s="9"/>
      <c r="U39" s="134"/>
      <c r="V39" s="152"/>
      <c r="W39" s="326"/>
      <c r="X39" s="646" t="s">
        <v>30</v>
      </c>
      <c r="Y39" s="259" t="s">
        <v>8</v>
      </c>
      <c r="Z39" s="259" t="s">
        <v>103</v>
      </c>
      <c r="AA39" s="1033" t="s">
        <v>76</v>
      </c>
      <c r="AB39" s="1033" t="s">
        <v>77</v>
      </c>
      <c r="AJ39" s="178"/>
      <c r="AK39" s="101"/>
      <c r="AL39" s="431">
        <f>D8</f>
        <v>2014</v>
      </c>
      <c r="AM39" s="431">
        <f>E8</f>
        <v>2015</v>
      </c>
      <c r="AN39" s="431">
        <f>F8</f>
        <v>2016</v>
      </c>
      <c r="AO39" s="431">
        <f>G8</f>
        <v>2017</v>
      </c>
      <c r="AP39" s="431">
        <f>H8</f>
        <v>2018</v>
      </c>
      <c r="AQ39" s="432"/>
      <c r="AR39" s="431"/>
      <c r="AS39" s="431"/>
      <c r="AT39" s="431"/>
      <c r="AU39" s="431"/>
      <c r="AV39" s="431"/>
    </row>
    <row r="40" spans="1:49" s="88" customFormat="1" ht="14.25" customHeight="1" x14ac:dyDescent="0.2">
      <c r="A40" s="135"/>
      <c r="B40" s="9"/>
      <c r="C40" s="9"/>
      <c r="D40" s="9"/>
      <c r="E40" s="9"/>
      <c r="F40" s="9"/>
      <c r="G40" s="9"/>
      <c r="H40" s="9"/>
      <c r="I40" s="9"/>
      <c r="J40" s="13"/>
      <c r="K40" s="9"/>
      <c r="L40" s="9"/>
      <c r="M40" s="9"/>
      <c r="N40" s="9"/>
      <c r="O40" s="9"/>
      <c r="P40" s="9"/>
      <c r="Q40" s="9"/>
      <c r="R40" s="9"/>
      <c r="S40" s="9"/>
      <c r="T40" s="9"/>
      <c r="U40" s="134"/>
      <c r="V40" s="152"/>
      <c r="W40" s="326"/>
      <c r="X40" s="647" t="e">
        <f ca="1">OFFSET(B8,$X$4,0)</f>
        <v>#N/A</v>
      </c>
      <c r="Y40" s="238" t="e">
        <f ca="1">OFFSET(R7,(VLOOKUP(X40,$Y$41:$Z$62,2,FALSE)),0)</f>
        <v>#N/A</v>
      </c>
      <c r="Z40" s="238" t="e">
        <f ca="1">(OFFSET(O7,(VLOOKUP(X40,$Y$41:$Z$62,2,FALSE)),0))</f>
        <v>#N/A</v>
      </c>
      <c r="AA40" s="1034"/>
      <c r="AB40" s="1034"/>
      <c r="AI40" s="642" t="b">
        <v>1</v>
      </c>
      <c r="AJ40" s="178" t="s">
        <v>0</v>
      </c>
      <c r="AK40" s="101" t="str">
        <f>IF(AI40=TRUE,B9,"")</f>
        <v>Bracknell Forest</v>
      </c>
      <c r="AL40" s="164">
        <f t="shared" ref="AL40:AP62" si="9">VLOOKUP($AK40,$B$9:$O$32,AL$36,FALSE)</f>
        <v>8.1180811808118083</v>
      </c>
      <c r="AM40" s="164">
        <f t="shared" si="9"/>
        <v>5.7553956834532372</v>
      </c>
      <c r="AN40" s="164">
        <f t="shared" si="9"/>
        <v>12.411347517730498</v>
      </c>
      <c r="AO40" s="164">
        <f t="shared" si="9"/>
        <v>12.422801164193938</v>
      </c>
      <c r="AP40" s="164">
        <f t="shared" si="9"/>
        <v>19.59317445050052</v>
      </c>
      <c r="AQ40" s="165">
        <f>VLOOKUP(AK40,$B$9:$T$32,17,FALSE)</f>
        <v>11</v>
      </c>
      <c r="AR40" s="398"/>
      <c r="AS40" s="398"/>
      <c r="AT40" s="398"/>
      <c r="AU40" s="398"/>
      <c r="AV40" s="398"/>
    </row>
    <row r="41" spans="1:49" s="88" customFormat="1" ht="14.25" customHeight="1" x14ac:dyDescent="0.2">
      <c r="A41" s="135"/>
      <c r="B41" s="9"/>
      <c r="C41" s="9"/>
      <c r="D41" s="9"/>
      <c r="E41" s="9"/>
      <c r="F41" s="9"/>
      <c r="G41" s="9"/>
      <c r="H41" s="9"/>
      <c r="I41" s="9"/>
      <c r="J41" s="13"/>
      <c r="K41" s="9"/>
      <c r="L41" s="9"/>
      <c r="M41" s="9"/>
      <c r="N41" s="9"/>
      <c r="O41" s="9"/>
      <c r="P41" s="9"/>
      <c r="Q41" s="9"/>
      <c r="R41" s="9"/>
      <c r="S41" s="9"/>
      <c r="T41" s="9"/>
      <c r="U41" s="134"/>
      <c r="V41" s="152"/>
      <c r="W41" s="326"/>
      <c r="X41" s="647">
        <v>1</v>
      </c>
      <c r="Y41" s="50" t="str">
        <f>B9</f>
        <v>Bracknell Forest</v>
      </c>
      <c r="Z41" s="45">
        <v>2</v>
      </c>
      <c r="AA41" s="46">
        <f>IF(H9&gt;0,IDACI!D9,0)</f>
        <v>23799</v>
      </c>
      <c r="AB41" s="46">
        <f>IF(H9&gt;0,IDACI!E9,0)</f>
        <v>2617.89</v>
      </c>
      <c r="AI41" s="642" t="b">
        <v>1</v>
      </c>
      <c r="AJ41" s="178" t="s">
        <v>32</v>
      </c>
      <c r="AK41" s="101" t="str">
        <f t="shared" ref="AK41:AK63" si="10">IF(AI41=TRUE,B10,"")</f>
        <v>Brighton &amp; Hove</v>
      </c>
      <c r="AL41" s="164">
        <f t="shared" si="9"/>
        <v>13.663366336633663</v>
      </c>
      <c r="AM41" s="164">
        <f t="shared" si="9"/>
        <v>15.686274509803921</v>
      </c>
      <c r="AN41" s="164">
        <f t="shared" si="9"/>
        <v>19.3359375</v>
      </c>
      <c r="AO41" s="164">
        <f t="shared" si="9"/>
        <v>20.280415748522845</v>
      </c>
      <c r="AP41" s="164">
        <f t="shared" si="9"/>
        <v>15.103666071673761</v>
      </c>
      <c r="AQ41" s="165">
        <f t="shared" ref="AQ41:AQ63" si="11">VLOOKUP(AK41,$B$9:$T$31,17,FALSE)</f>
        <v>18.3</v>
      </c>
      <c r="AR41" s="398"/>
      <c r="AS41" s="398"/>
      <c r="AT41" s="398"/>
      <c r="AU41" s="398"/>
      <c r="AV41" s="398"/>
    </row>
    <row r="42" spans="1:49" ht="14.25" customHeight="1" x14ac:dyDescent="0.2">
      <c r="A42" s="135"/>
      <c r="B42" s="9"/>
      <c r="C42" s="9"/>
      <c r="D42" s="9"/>
      <c r="E42" s="9"/>
      <c r="F42" s="9"/>
      <c r="G42" s="9"/>
      <c r="H42" s="9"/>
      <c r="I42" s="9"/>
      <c r="J42" s="13"/>
      <c r="K42" s="9"/>
      <c r="L42" s="9"/>
      <c r="M42" s="9"/>
      <c r="N42" s="9"/>
      <c r="O42" s="9"/>
      <c r="P42" s="9"/>
      <c r="Q42" s="9"/>
      <c r="R42" s="9"/>
      <c r="S42" s="9"/>
      <c r="T42" s="9"/>
      <c r="U42" s="134"/>
      <c r="V42" s="152"/>
      <c r="W42" s="326"/>
      <c r="X42" s="647">
        <v>2</v>
      </c>
      <c r="Y42" s="50" t="str">
        <f t="shared" ref="Y42:Y64" si="12">B10</f>
        <v>Brighton &amp; Hove</v>
      </c>
      <c r="Z42" s="45">
        <v>3</v>
      </c>
      <c r="AA42" s="46">
        <f>IF(H10&gt;0,IDACI!D10,0)</f>
        <v>44814</v>
      </c>
      <c r="AB42" s="46">
        <f>IF(H10&gt;0,IDACI!E10,0)</f>
        <v>8200.9619999999995</v>
      </c>
      <c r="AI42" s="642" t="b">
        <v>1</v>
      </c>
      <c r="AJ42" s="178" t="s">
        <v>9</v>
      </c>
      <c r="AK42" s="101" t="str">
        <f t="shared" si="10"/>
        <v>Buckinghamshire</v>
      </c>
      <c r="AL42" s="164">
        <f t="shared" si="9"/>
        <v>5.1870748299319729</v>
      </c>
      <c r="AM42" s="164">
        <f t="shared" si="9"/>
        <v>4.6257359125315389</v>
      </c>
      <c r="AN42" s="164">
        <f t="shared" si="9"/>
        <v>9.9502487562189046</v>
      </c>
      <c r="AO42" s="164">
        <f t="shared" si="9"/>
        <v>8.346630661593224</v>
      </c>
      <c r="AP42" s="164">
        <f t="shared" si="9"/>
        <v>7.0688604509445465</v>
      </c>
      <c r="AQ42" s="165">
        <f t="shared" si="11"/>
        <v>9.8000000000000007</v>
      </c>
      <c r="AR42" s="398"/>
      <c r="AS42" s="398"/>
      <c r="AT42" s="398"/>
      <c r="AU42" s="398"/>
      <c r="AV42" s="398"/>
      <c r="AW42" s="88"/>
    </row>
    <row r="43" spans="1:49" ht="14.25" customHeight="1" x14ac:dyDescent="0.2">
      <c r="A43" s="135"/>
      <c r="B43" s="9"/>
      <c r="C43" s="9"/>
      <c r="D43" s="9"/>
      <c r="E43" s="9"/>
      <c r="F43" s="9"/>
      <c r="G43" s="9"/>
      <c r="H43" s="9"/>
      <c r="I43" s="9"/>
      <c r="J43" s="13"/>
      <c r="K43" s="14"/>
      <c r="L43" s="14"/>
      <c r="M43" s="14"/>
      <c r="N43" s="14"/>
      <c r="O43" s="15"/>
      <c r="P43" s="15"/>
      <c r="Q43" s="15"/>
      <c r="R43" s="15"/>
      <c r="S43" s="15"/>
      <c r="T43" s="15"/>
      <c r="U43" s="134"/>
      <c r="V43" s="152"/>
      <c r="W43" s="326"/>
      <c r="X43" s="647">
        <v>3</v>
      </c>
      <c r="Y43" s="50" t="str">
        <f t="shared" si="12"/>
        <v>Buckinghamshire</v>
      </c>
      <c r="Z43" s="45">
        <v>4</v>
      </c>
      <c r="AA43" s="46">
        <f>IF(H11&gt;0,IDACI!D11,0)</f>
        <v>103548</v>
      </c>
      <c r="AB43" s="46">
        <f>IF(H11&gt;0,IDACI!E11,0)</f>
        <v>10147.704</v>
      </c>
      <c r="AI43" s="642" t="b">
        <v>1</v>
      </c>
      <c r="AJ43" s="178" t="s">
        <v>4</v>
      </c>
      <c r="AK43" s="101" t="str">
        <f t="shared" si="10"/>
        <v>East Sussex</v>
      </c>
      <c r="AL43" s="164">
        <f t="shared" si="9"/>
        <v>7.3473282442748094</v>
      </c>
      <c r="AM43" s="164">
        <f t="shared" si="9"/>
        <v>6.0721062618595827</v>
      </c>
      <c r="AN43" s="164">
        <f t="shared" si="9"/>
        <v>7.7431539187913128</v>
      </c>
      <c r="AO43" s="164">
        <f t="shared" si="9"/>
        <v>9.3464120162759734</v>
      </c>
      <c r="AP43" s="164">
        <f t="shared" si="9"/>
        <v>8.486963081710595</v>
      </c>
      <c r="AQ43" s="165">
        <f t="shared" si="11"/>
        <v>17.399999999999999</v>
      </c>
      <c r="AR43" s="398"/>
      <c r="AS43" s="398"/>
      <c r="AT43" s="398"/>
      <c r="AU43" s="398"/>
      <c r="AV43" s="398"/>
      <c r="AW43" s="88"/>
    </row>
    <row r="44" spans="1:49" s="82" customFormat="1" ht="14.25" customHeight="1" x14ac:dyDescent="0.2">
      <c r="A44" s="136"/>
      <c r="B44" s="256"/>
      <c r="C44" s="256"/>
      <c r="D44" s="257"/>
      <c r="E44" s="257"/>
      <c r="F44" s="257"/>
      <c r="G44" s="257"/>
      <c r="H44" s="257"/>
      <c r="I44" s="257"/>
      <c r="J44" s="16"/>
      <c r="K44" s="9"/>
      <c r="L44" s="9"/>
      <c r="M44" s="9"/>
      <c r="N44" s="9"/>
      <c r="O44" s="9"/>
      <c r="P44" s="9"/>
      <c r="Q44" s="9"/>
      <c r="R44" s="9"/>
      <c r="S44" s="9"/>
      <c r="T44" s="9"/>
      <c r="U44" s="137"/>
      <c r="V44" s="153"/>
      <c r="W44" s="327"/>
      <c r="X44" s="647">
        <v>4</v>
      </c>
      <c r="Y44" s="50" t="str">
        <f t="shared" si="12"/>
        <v>East Sussex</v>
      </c>
      <c r="Z44" s="45">
        <v>5</v>
      </c>
      <c r="AA44" s="46">
        <f>IF(H12&gt;0,IDACI!D12,0)</f>
        <v>91918</v>
      </c>
      <c r="AB44" s="46">
        <f>IF(H12&gt;0,IDACI!E12,0)</f>
        <v>15993.731999999998</v>
      </c>
      <c r="AC44" s="88"/>
      <c r="AD44" s="88"/>
      <c r="AE44" s="88"/>
      <c r="AF44" s="88"/>
      <c r="AG44" s="88"/>
      <c r="AH44" s="88"/>
      <c r="AI44" s="642" t="b">
        <v>1</v>
      </c>
      <c r="AJ44" s="178" t="s">
        <v>6</v>
      </c>
      <c r="AK44" s="101" t="str">
        <f t="shared" si="10"/>
        <v>Hampshire</v>
      </c>
      <c r="AL44" s="164">
        <f t="shared" si="9"/>
        <v>5.9240865555161406</v>
      </c>
      <c r="AM44" s="164">
        <f t="shared" si="9"/>
        <v>6.1456483126110122</v>
      </c>
      <c r="AN44" s="164">
        <f t="shared" si="9"/>
        <v>6.8818730046115641</v>
      </c>
      <c r="AO44" s="164">
        <f t="shared" si="9"/>
        <v>8.0271295762594992</v>
      </c>
      <c r="AP44" s="164">
        <f t="shared" si="9"/>
        <v>9.1418002640180163</v>
      </c>
      <c r="AQ44" s="165">
        <f t="shared" si="11"/>
        <v>11.799999999999999</v>
      </c>
      <c r="AR44" s="398"/>
      <c r="AS44" s="398"/>
      <c r="AT44" s="398"/>
      <c r="AU44" s="398"/>
      <c r="AV44" s="398"/>
    </row>
    <row r="45" spans="1:49" ht="14.25" customHeight="1" x14ac:dyDescent="0.2">
      <c r="A45" s="135"/>
      <c r="B45" s="257"/>
      <c r="C45" s="257"/>
      <c r="D45" s="257"/>
      <c r="E45" s="257"/>
      <c r="F45" s="257"/>
      <c r="G45" s="257"/>
      <c r="H45" s="257"/>
      <c r="I45" s="257"/>
      <c r="J45" s="13"/>
      <c r="K45" s="15"/>
      <c r="L45" s="15"/>
      <c r="M45" s="15"/>
      <c r="N45" s="15"/>
      <c r="O45" s="9"/>
      <c r="P45" s="9"/>
      <c r="Q45" s="9"/>
      <c r="R45" s="9"/>
      <c r="S45" s="9"/>
      <c r="T45" s="9"/>
      <c r="U45" s="134"/>
      <c r="V45" s="152"/>
      <c r="W45" s="326"/>
      <c r="X45" s="647">
        <v>5</v>
      </c>
      <c r="Y45" s="50" t="str">
        <f t="shared" si="12"/>
        <v>Hampshire</v>
      </c>
      <c r="Z45" s="45">
        <v>6</v>
      </c>
      <c r="AA45" s="46">
        <f>IF(H13&gt;0,IDACI!D13,0)</f>
        <v>247800</v>
      </c>
      <c r="AB45" s="46">
        <f>IF(H13&gt;0,IDACI!E13,0)</f>
        <v>29240.399999999998</v>
      </c>
      <c r="AI45" s="642" t="b">
        <v>1</v>
      </c>
      <c r="AJ45" s="178" t="s">
        <v>1</v>
      </c>
      <c r="AK45" s="101" t="str">
        <f t="shared" si="10"/>
        <v>Isle of Wight</v>
      </c>
      <c r="AL45" s="164">
        <f t="shared" si="9"/>
        <v>15.116279069767442</v>
      </c>
      <c r="AM45" s="164">
        <f t="shared" si="9"/>
        <v>14.901960784313726</v>
      </c>
      <c r="AN45" s="164">
        <f t="shared" si="9"/>
        <v>12.648221343873518</v>
      </c>
      <c r="AO45" s="164">
        <f t="shared" si="9"/>
        <v>17.063492063492063</v>
      </c>
      <c r="AP45" s="164">
        <f t="shared" si="9"/>
        <v>16.363999201756137</v>
      </c>
      <c r="AQ45" s="165">
        <f t="shared" si="11"/>
        <v>20.399999999999999</v>
      </c>
      <c r="AR45" s="398"/>
      <c r="AS45" s="398"/>
      <c r="AT45" s="398"/>
      <c r="AU45" s="398"/>
      <c r="AV45" s="398"/>
    </row>
    <row r="46" spans="1:49" ht="14.25" customHeight="1" x14ac:dyDescent="0.2">
      <c r="A46" s="135"/>
      <c r="B46" s="257"/>
      <c r="C46" s="257"/>
      <c r="D46" s="257"/>
      <c r="E46" s="257"/>
      <c r="F46" s="257"/>
      <c r="G46" s="257"/>
      <c r="H46" s="257"/>
      <c r="I46" s="257"/>
      <c r="J46" s="13"/>
      <c r="K46" s="15"/>
      <c r="L46" s="15"/>
      <c r="M46" s="15"/>
      <c r="N46" s="15"/>
      <c r="O46" s="9"/>
      <c r="P46" s="9"/>
      <c r="Q46" s="9"/>
      <c r="R46" s="9"/>
      <c r="S46" s="9"/>
      <c r="T46" s="9"/>
      <c r="U46" s="134"/>
      <c r="V46" s="152"/>
      <c r="W46" s="326"/>
      <c r="X46" s="647">
        <v>6</v>
      </c>
      <c r="Y46" s="50" t="str">
        <f t="shared" si="12"/>
        <v>Isle of Wight</v>
      </c>
      <c r="Z46" s="45">
        <v>7</v>
      </c>
      <c r="AA46" s="46">
        <f>IF(H14&gt;0,IDACI!D14,0)</f>
        <v>22502</v>
      </c>
      <c r="AB46" s="46">
        <f>IF(H14&gt;0,IDACI!E14,0)</f>
        <v>4590.4079999999994</v>
      </c>
      <c r="AC46" s="239"/>
      <c r="AI46" s="642" t="b">
        <v>1</v>
      </c>
      <c r="AJ46" s="178" t="s">
        <v>10</v>
      </c>
      <c r="AK46" s="101" t="str">
        <f t="shared" si="10"/>
        <v>Kent</v>
      </c>
      <c r="AL46" s="164">
        <f t="shared" si="9"/>
        <v>8.3538083538083541</v>
      </c>
      <c r="AM46" s="164">
        <f t="shared" si="9"/>
        <v>7.4626865671641793</v>
      </c>
      <c r="AN46" s="164">
        <f t="shared" si="9"/>
        <v>7.8692493946731235</v>
      </c>
      <c r="AO46" s="164">
        <f t="shared" si="9"/>
        <v>9.1579216021858905</v>
      </c>
      <c r="AP46" s="164">
        <f t="shared" si="9"/>
        <v>8.8071647475378629</v>
      </c>
      <c r="AQ46" s="165">
        <f t="shared" si="11"/>
        <v>17.8</v>
      </c>
      <c r="AR46" s="398"/>
      <c r="AS46" s="398"/>
      <c r="AT46" s="398"/>
      <c r="AU46" s="398"/>
      <c r="AV46" s="398"/>
    </row>
    <row r="47" spans="1:49" ht="14.25" customHeight="1" x14ac:dyDescent="0.2">
      <c r="A47" s="135"/>
      <c r="B47" s="58"/>
      <c r="C47" s="58"/>
      <c r="D47" s="58"/>
      <c r="E47" s="58"/>
      <c r="F47" s="58"/>
      <c r="G47" s="58"/>
      <c r="H47" s="58"/>
      <c r="I47" s="58"/>
      <c r="J47" s="13"/>
      <c r="K47" s="15"/>
      <c r="L47" s="15"/>
      <c r="M47" s="15"/>
      <c r="N47" s="15"/>
      <c r="O47" s="9"/>
      <c r="P47" s="9"/>
      <c r="Q47" s="9"/>
      <c r="R47" s="9"/>
      <c r="S47" s="9"/>
      <c r="T47" s="9"/>
      <c r="U47" s="134"/>
      <c r="V47" s="152"/>
      <c r="W47" s="326"/>
      <c r="X47" s="647">
        <v>7</v>
      </c>
      <c r="Y47" s="50" t="str">
        <f t="shared" si="12"/>
        <v>Kent</v>
      </c>
      <c r="Z47" s="45">
        <v>8</v>
      </c>
      <c r="AA47" s="46">
        <f>IF(H15&gt;0,IDACI!D15,0)</f>
        <v>286168</v>
      </c>
      <c r="AB47" s="46">
        <f>IF(H15&gt;0,IDACI!E15,0)</f>
        <v>50937.904000000002</v>
      </c>
      <c r="AC47" s="210"/>
      <c r="AI47" s="642" t="b">
        <v>1</v>
      </c>
      <c r="AJ47" s="178" t="s">
        <v>2</v>
      </c>
      <c r="AK47" s="101" t="str">
        <f t="shared" si="10"/>
        <v>Medway</v>
      </c>
      <c r="AL47" s="164">
        <f t="shared" si="9"/>
        <v>7.954545454545455</v>
      </c>
      <c r="AM47" s="164">
        <f t="shared" si="9"/>
        <v>14.4</v>
      </c>
      <c r="AN47" s="164">
        <f t="shared" si="9"/>
        <v>22.468354430379748</v>
      </c>
      <c r="AO47" s="164">
        <f t="shared" si="9"/>
        <v>9.2626026343469867</v>
      </c>
      <c r="AP47" s="164">
        <f t="shared" si="9"/>
        <v>13.136699873324678</v>
      </c>
      <c r="AQ47" s="165">
        <f t="shared" si="11"/>
        <v>22</v>
      </c>
      <c r="AR47" s="398"/>
      <c r="AS47" s="398"/>
      <c r="AT47" s="398"/>
      <c r="AU47" s="398"/>
      <c r="AV47" s="398"/>
    </row>
    <row r="48" spans="1:49" ht="14.25" customHeight="1" x14ac:dyDescent="0.2">
      <c r="A48" s="135"/>
      <c r="B48" s="58"/>
      <c r="C48" s="58"/>
      <c r="D48" s="69"/>
      <c r="E48" s="70"/>
      <c r="F48" s="69"/>
      <c r="G48" s="70"/>
      <c r="H48" s="70"/>
      <c r="I48" s="70"/>
      <c r="J48" s="13"/>
      <c r="K48" s="15"/>
      <c r="L48" s="15"/>
      <c r="M48" s="15"/>
      <c r="N48" s="15"/>
      <c r="O48" s="9"/>
      <c r="P48" s="9"/>
      <c r="Q48" s="9"/>
      <c r="R48" s="9"/>
      <c r="S48" s="9"/>
      <c r="T48" s="9"/>
      <c r="U48" s="134"/>
      <c r="V48" s="152"/>
      <c r="W48" s="326"/>
      <c r="X48" s="647">
        <v>8</v>
      </c>
      <c r="Y48" s="50" t="str">
        <f t="shared" si="12"/>
        <v>Medway</v>
      </c>
      <c r="Z48" s="45">
        <v>9</v>
      </c>
      <c r="AA48" s="46">
        <f>IF(H16&gt;0,IDACI!D16,0)</f>
        <v>54280</v>
      </c>
      <c r="AB48" s="46">
        <f>IF(H16&gt;0,IDACI!E16,0)</f>
        <v>11941.6</v>
      </c>
      <c r="AI48" s="642" t="b">
        <v>1</v>
      </c>
      <c r="AJ48" s="178" t="s">
        <v>11</v>
      </c>
      <c r="AK48" s="101" t="str">
        <f t="shared" si="10"/>
        <v>Milton Keynes</v>
      </c>
      <c r="AL48" s="164">
        <f t="shared" si="9"/>
        <v>7.65625</v>
      </c>
      <c r="AM48" s="164">
        <f t="shared" si="9"/>
        <v>5.9815950920245395</v>
      </c>
      <c r="AN48" s="164">
        <f t="shared" si="9"/>
        <v>9.2284417549167923</v>
      </c>
      <c r="AO48" s="164">
        <f t="shared" si="9"/>
        <v>12.212194322818931</v>
      </c>
      <c r="AP48" s="164">
        <f t="shared" si="9"/>
        <v>8.7217467145623608</v>
      </c>
      <c r="AQ48" s="165">
        <f t="shared" si="11"/>
        <v>19.7</v>
      </c>
      <c r="AR48" s="398"/>
      <c r="AS48" s="398"/>
      <c r="AT48" s="398"/>
      <c r="AU48" s="398"/>
      <c r="AV48" s="398"/>
    </row>
    <row r="49" spans="1:48" ht="14.25" customHeight="1" x14ac:dyDescent="0.2">
      <c r="A49" s="135"/>
      <c r="B49" s="58"/>
      <c r="C49" s="58"/>
      <c r="D49" s="62"/>
      <c r="E49" s="62"/>
      <c r="F49" s="62"/>
      <c r="G49" s="62"/>
      <c r="H49" s="62"/>
      <c r="I49" s="62"/>
      <c r="J49" s="13"/>
      <c r="K49" s="15"/>
      <c r="L49" s="15"/>
      <c r="M49" s="15"/>
      <c r="N49" s="15"/>
      <c r="O49" s="9"/>
      <c r="P49" s="9"/>
      <c r="Q49" s="9"/>
      <c r="R49" s="9"/>
      <c r="S49" s="9"/>
      <c r="T49" s="9"/>
      <c r="U49" s="134"/>
      <c r="V49" s="152"/>
      <c r="W49" s="326"/>
      <c r="X49" s="647">
        <v>9</v>
      </c>
      <c r="Y49" s="50" t="str">
        <f t="shared" si="12"/>
        <v>Milton Keynes</v>
      </c>
      <c r="Z49" s="45">
        <v>10</v>
      </c>
      <c r="AA49" s="46">
        <f>IF(H17&gt;0,IDACI!D17,0)</f>
        <v>56637</v>
      </c>
      <c r="AB49" s="46">
        <f>IF(H17&gt;0,IDACI!E17,0)</f>
        <v>11157.489</v>
      </c>
      <c r="AI49" s="642" t="b">
        <v>1</v>
      </c>
      <c r="AJ49" s="178" t="s">
        <v>12</v>
      </c>
      <c r="AK49" s="101" t="str">
        <f t="shared" si="10"/>
        <v>Oxfordshire</v>
      </c>
      <c r="AL49" s="164">
        <f t="shared" si="9"/>
        <v>6.2722736992159653</v>
      </c>
      <c r="AM49" s="164">
        <f t="shared" si="9"/>
        <v>7.9320113314447589</v>
      </c>
      <c r="AN49" s="164">
        <f t="shared" si="9"/>
        <v>10.860366713681241</v>
      </c>
      <c r="AO49" s="164">
        <f t="shared" si="9"/>
        <v>11.12689559612868</v>
      </c>
      <c r="AP49" s="164">
        <f t="shared" si="9"/>
        <v>9.4113382225816355</v>
      </c>
      <c r="AQ49" s="165">
        <f t="shared" si="11"/>
        <v>11.799999999999999</v>
      </c>
      <c r="AR49" s="398"/>
      <c r="AS49" s="398"/>
      <c r="AT49" s="398"/>
      <c r="AU49" s="398"/>
      <c r="AV49" s="398"/>
    </row>
    <row r="50" spans="1:48" ht="14.25" customHeight="1" x14ac:dyDescent="0.2">
      <c r="A50" s="135"/>
      <c r="B50" s="429"/>
      <c r="C50" s="429"/>
      <c r="D50" s="58"/>
      <c r="E50" s="58"/>
      <c r="F50" s="58"/>
      <c r="G50" s="58"/>
      <c r="H50" s="58"/>
      <c r="I50" s="58"/>
      <c r="J50" s="13"/>
      <c r="K50" s="15"/>
      <c r="L50" s="15"/>
      <c r="M50" s="15"/>
      <c r="N50" s="15"/>
      <c r="O50" s="9"/>
      <c r="P50" s="9"/>
      <c r="Q50" s="9"/>
      <c r="R50" s="9"/>
      <c r="S50" s="9"/>
      <c r="T50" s="9"/>
      <c r="U50" s="134"/>
      <c r="V50" s="152"/>
      <c r="W50" s="326"/>
      <c r="X50" s="647">
        <v>10</v>
      </c>
      <c r="Y50" s="50" t="str">
        <f t="shared" si="12"/>
        <v>Oxfordshire</v>
      </c>
      <c r="Z50" s="45">
        <v>11</v>
      </c>
      <c r="AA50" s="46">
        <f>IF(H18&gt;0,IDACI!D18,0)</f>
        <v>123975</v>
      </c>
      <c r="AB50" s="46">
        <f>IF(H18&gt;0,IDACI!E18,0)</f>
        <v>14629.05</v>
      </c>
      <c r="AI50" s="642" t="b">
        <v>1</v>
      </c>
      <c r="AJ50" s="178" t="s">
        <v>13</v>
      </c>
      <c r="AK50" s="101" t="str">
        <f t="shared" si="10"/>
        <v>Portsmouth</v>
      </c>
      <c r="AL50" s="164">
        <f t="shared" si="9"/>
        <v>11.03286384976526</v>
      </c>
      <c r="AM50" s="164">
        <f t="shared" si="9"/>
        <v>13.59447004608295</v>
      </c>
      <c r="AN50" s="164">
        <f t="shared" si="9"/>
        <v>10.273972602739725</v>
      </c>
      <c r="AO50" s="164">
        <f t="shared" si="9"/>
        <v>10.90909090909091</v>
      </c>
      <c r="AP50" s="164">
        <f t="shared" si="9"/>
        <v>16.518826937002171</v>
      </c>
      <c r="AQ50" s="165">
        <f t="shared" si="11"/>
        <v>23.799999999999997</v>
      </c>
      <c r="AR50" s="398"/>
      <c r="AS50" s="398"/>
      <c r="AT50" s="398"/>
      <c r="AU50" s="398"/>
      <c r="AV50" s="398"/>
    </row>
    <row r="51" spans="1:48" ht="14.25" customHeight="1" x14ac:dyDescent="0.2">
      <c r="A51" s="135"/>
      <c r="B51" s="429"/>
      <c r="C51" s="429"/>
      <c r="D51" s="58"/>
      <c r="E51" s="58"/>
      <c r="F51" s="58"/>
      <c r="G51" s="58"/>
      <c r="H51" s="58"/>
      <c r="I51" s="58"/>
      <c r="J51" s="13"/>
      <c r="K51" s="15"/>
      <c r="L51" s="15"/>
      <c r="M51" s="15"/>
      <c r="N51" s="15"/>
      <c r="O51" s="9"/>
      <c r="P51" s="9"/>
      <c r="Q51" s="9"/>
      <c r="R51" s="9"/>
      <c r="S51" s="9"/>
      <c r="T51" s="9"/>
      <c r="U51" s="134"/>
      <c r="V51" s="152"/>
      <c r="W51" s="326"/>
      <c r="X51" s="647">
        <v>11</v>
      </c>
      <c r="Y51" s="50" t="str">
        <f t="shared" si="12"/>
        <v>Portsmouth</v>
      </c>
      <c r="Z51" s="45">
        <v>12</v>
      </c>
      <c r="AA51" s="46">
        <f>IF(H19&gt;0,IDACI!D19,0)</f>
        <v>37912</v>
      </c>
      <c r="AB51" s="46">
        <f>IF(H19&gt;0,IDACI!E19,0)</f>
        <v>9023.0559999999987</v>
      </c>
      <c r="AI51" s="642" t="b">
        <v>1</v>
      </c>
      <c r="AJ51" s="178" t="s">
        <v>3</v>
      </c>
      <c r="AK51" s="101" t="str">
        <f t="shared" si="10"/>
        <v>Reading</v>
      </c>
      <c r="AL51" s="164">
        <f t="shared" si="9"/>
        <v>7.2046109510086449</v>
      </c>
      <c r="AM51" s="164">
        <f t="shared" si="9"/>
        <v>10.863509749303622</v>
      </c>
      <c r="AN51" s="164">
        <f t="shared" si="9"/>
        <v>18.406593406593409</v>
      </c>
      <c r="AO51" s="164">
        <f t="shared" si="9"/>
        <v>21.287628612756201</v>
      </c>
      <c r="AP51" s="164">
        <f t="shared" si="9"/>
        <v>16.984336667295715</v>
      </c>
      <c r="AQ51" s="165">
        <f t="shared" si="11"/>
        <v>19.8</v>
      </c>
      <c r="AR51" s="398"/>
      <c r="AS51" s="398"/>
      <c r="AT51" s="398"/>
      <c r="AU51" s="398"/>
      <c r="AV51" s="398"/>
    </row>
    <row r="52" spans="1:48" ht="14.25" customHeight="1" x14ac:dyDescent="0.2">
      <c r="A52" s="135"/>
      <c r="B52" s="429"/>
      <c r="C52" s="429"/>
      <c r="D52" s="58"/>
      <c r="E52" s="58"/>
      <c r="F52" s="58"/>
      <c r="G52" s="58"/>
      <c r="H52" s="58"/>
      <c r="I52" s="58"/>
      <c r="J52" s="13"/>
      <c r="K52" s="15"/>
      <c r="L52" s="15"/>
      <c r="M52" s="15"/>
      <c r="N52" s="15"/>
      <c r="O52" s="9"/>
      <c r="P52" s="9"/>
      <c r="Q52" s="9"/>
      <c r="R52" s="9"/>
      <c r="S52" s="9"/>
      <c r="T52" s="9"/>
      <c r="U52" s="134"/>
      <c r="V52" s="152"/>
      <c r="W52" s="326"/>
      <c r="X52" s="647">
        <v>12</v>
      </c>
      <c r="Y52" s="50" t="str">
        <f t="shared" si="12"/>
        <v>Reading</v>
      </c>
      <c r="Z52" s="45">
        <v>13</v>
      </c>
      <c r="AA52" s="46">
        <f>IF(H20&gt;0,IDACI!D20,0)</f>
        <v>30916</v>
      </c>
      <c r="AB52" s="46">
        <f>IF(H20&gt;0,IDACI!E20,0)</f>
        <v>6121.3680000000004</v>
      </c>
      <c r="AI52" s="642" t="b">
        <v>1</v>
      </c>
      <c r="AJ52" s="178" t="s">
        <v>14</v>
      </c>
      <c r="AK52" s="101" t="str">
        <f t="shared" si="10"/>
        <v>Slough</v>
      </c>
      <c r="AL52" s="164">
        <f t="shared" si="9"/>
        <v>10.025706940874036</v>
      </c>
      <c r="AM52" s="164">
        <f t="shared" si="9"/>
        <v>9.2731829573934839</v>
      </c>
      <c r="AN52" s="164">
        <f t="shared" si="9"/>
        <v>14.039408866995075</v>
      </c>
      <c r="AO52" s="164">
        <f t="shared" si="9"/>
        <v>12.558566391344248</v>
      </c>
      <c r="AP52" s="164">
        <f t="shared" si="9"/>
        <v>13.513513513513514</v>
      </c>
      <c r="AQ52" s="165">
        <f t="shared" si="11"/>
        <v>19.5</v>
      </c>
      <c r="AR52" s="398"/>
      <c r="AS52" s="398"/>
      <c r="AT52" s="398"/>
      <c r="AU52" s="398"/>
      <c r="AV52" s="398"/>
    </row>
    <row r="53" spans="1:48" ht="14.25" customHeight="1" x14ac:dyDescent="0.2">
      <c r="A53" s="135"/>
      <c r="B53" s="429"/>
      <c r="C53" s="429"/>
      <c r="D53" s="58"/>
      <c r="E53" s="58"/>
      <c r="F53" s="58"/>
      <c r="G53" s="58"/>
      <c r="H53" s="58"/>
      <c r="I53" s="58"/>
      <c r="J53" s="13"/>
      <c r="K53" s="15"/>
      <c r="L53" s="15"/>
      <c r="M53" s="15"/>
      <c r="N53" s="15"/>
      <c r="O53" s="9"/>
      <c r="P53" s="9"/>
      <c r="Q53" s="9"/>
      <c r="R53" s="9"/>
      <c r="S53" s="9"/>
      <c r="T53" s="9"/>
      <c r="U53" s="134"/>
      <c r="V53" s="152"/>
      <c r="W53" s="326"/>
      <c r="X53" s="647">
        <v>13</v>
      </c>
      <c r="Y53" s="50" t="str">
        <f t="shared" si="12"/>
        <v>Slough</v>
      </c>
      <c r="Z53" s="45">
        <v>14</v>
      </c>
      <c r="AA53" s="46">
        <f>IF(H21&gt;0,IDACI!D21,0)</f>
        <v>34703</v>
      </c>
      <c r="AB53" s="46">
        <f>IF(H21&gt;0,IDACI!E21,0)</f>
        <v>6767.085</v>
      </c>
      <c r="AI53" s="642" t="b">
        <v>1</v>
      </c>
      <c r="AJ53" s="178" t="s">
        <v>93</v>
      </c>
      <c r="AK53" s="101" t="str">
        <f t="shared" si="10"/>
        <v>Somerset</v>
      </c>
      <c r="AL53" s="164">
        <f t="shared" si="9"/>
        <v>9.5588235294117645</v>
      </c>
      <c r="AM53" s="164">
        <f t="shared" si="9"/>
        <v>12.029384756657484</v>
      </c>
      <c r="AN53" s="164">
        <f t="shared" si="9"/>
        <v>13.644688644688646</v>
      </c>
      <c r="AO53" s="164">
        <f t="shared" si="9"/>
        <v>13.314243504746619</v>
      </c>
      <c r="AP53" s="164">
        <f t="shared" si="9"/>
        <v>11.990843355982703</v>
      </c>
      <c r="AQ53" s="165">
        <f t="shared" si="11"/>
        <v>14.8</v>
      </c>
      <c r="AR53" s="398"/>
      <c r="AS53" s="398"/>
      <c r="AT53" s="398"/>
      <c r="AU53" s="398"/>
      <c r="AV53" s="398"/>
    </row>
    <row r="54" spans="1:48" ht="14.25" customHeight="1" x14ac:dyDescent="0.2">
      <c r="A54" s="135"/>
      <c r="B54" s="429"/>
      <c r="C54" s="429"/>
      <c r="D54" s="58"/>
      <c r="E54" s="58"/>
      <c r="F54" s="58"/>
      <c r="G54" s="58"/>
      <c r="H54" s="58"/>
      <c r="I54" s="58"/>
      <c r="J54" s="13"/>
      <c r="K54" s="15"/>
      <c r="L54" s="15"/>
      <c r="M54" s="15"/>
      <c r="N54" s="15"/>
      <c r="O54" s="9"/>
      <c r="P54" s="9"/>
      <c r="Q54" s="9"/>
      <c r="R54" s="9"/>
      <c r="S54" s="9"/>
      <c r="T54" s="9"/>
      <c r="U54" s="134"/>
      <c r="V54" s="152"/>
      <c r="W54" s="326"/>
      <c r="X54" s="647">
        <v>14</v>
      </c>
      <c r="Y54" s="50" t="str">
        <f t="shared" si="12"/>
        <v>Somerset</v>
      </c>
      <c r="Z54" s="45">
        <v>15</v>
      </c>
      <c r="AA54" s="46">
        <f>IF(H22&gt;0,IDACI!D22,0)</f>
        <v>94797</v>
      </c>
      <c r="AB54" s="46">
        <f>IF(H22&gt;0,IDACI!E22,0)</f>
        <v>14029.956000000002</v>
      </c>
      <c r="AI54" s="642" t="b">
        <v>1</v>
      </c>
      <c r="AJ54" s="178" t="s">
        <v>15</v>
      </c>
      <c r="AK54" s="101" t="str">
        <f t="shared" si="10"/>
        <v>Southampton</v>
      </c>
      <c r="AL54" s="164">
        <f t="shared" si="9"/>
        <v>21.308016877637129</v>
      </c>
      <c r="AM54" s="164">
        <f t="shared" si="9"/>
        <v>19.753086419753085</v>
      </c>
      <c r="AN54" s="164">
        <f t="shared" si="9"/>
        <v>18.902439024390244</v>
      </c>
      <c r="AO54" s="164">
        <f t="shared" si="9"/>
        <v>17.434520350293582</v>
      </c>
      <c r="AP54" s="164">
        <f t="shared" si="9"/>
        <v>17.890865719113407</v>
      </c>
      <c r="AQ54" s="165">
        <f t="shared" si="11"/>
        <v>25</v>
      </c>
      <c r="AR54" s="398"/>
      <c r="AS54" s="398"/>
      <c r="AT54" s="398"/>
      <c r="AU54" s="398"/>
      <c r="AV54" s="398"/>
    </row>
    <row r="55" spans="1:48" ht="14.25" customHeight="1" x14ac:dyDescent="0.2">
      <c r="A55" s="135"/>
      <c r="B55" s="429"/>
      <c r="C55" s="429"/>
      <c r="D55" s="58"/>
      <c r="E55" s="58"/>
      <c r="F55" s="58"/>
      <c r="G55" s="58"/>
      <c r="H55" s="58"/>
      <c r="I55" s="58"/>
      <c r="J55" s="13"/>
      <c r="K55" s="15"/>
      <c r="L55" s="15"/>
      <c r="M55" s="15"/>
      <c r="N55" s="15"/>
      <c r="O55" s="9"/>
      <c r="P55" s="9"/>
      <c r="Q55" s="9"/>
      <c r="R55" s="9"/>
      <c r="S55" s="9"/>
      <c r="T55" s="9"/>
      <c r="U55" s="134"/>
      <c r="V55" s="152"/>
      <c r="W55" s="326"/>
      <c r="X55" s="647">
        <v>15</v>
      </c>
      <c r="Y55" s="50" t="str">
        <f t="shared" si="12"/>
        <v>Southampton</v>
      </c>
      <c r="Z55" s="45">
        <v>16</v>
      </c>
      <c r="AA55" s="46">
        <f>IF(H23&gt;0,IDACI!D23,0)</f>
        <v>42079</v>
      </c>
      <c r="AB55" s="46">
        <f>IF(H23&gt;0,IDACI!E23,0)</f>
        <v>10519.75</v>
      </c>
      <c r="AI55" s="642" t="b">
        <v>1</v>
      </c>
      <c r="AJ55" s="178" t="s">
        <v>7</v>
      </c>
      <c r="AK55" s="101" t="str">
        <f t="shared" si="10"/>
        <v>Surrey</v>
      </c>
      <c r="AL55" s="164">
        <f t="shared" si="9"/>
        <v>4.7222222222222223</v>
      </c>
      <c r="AM55" s="164">
        <f t="shared" si="9"/>
        <v>4.2812254516889237</v>
      </c>
      <c r="AN55" s="164">
        <f t="shared" si="9"/>
        <v>5.4992199687987515</v>
      </c>
      <c r="AO55" s="164">
        <f t="shared" si="9"/>
        <v>6.9498337831420196</v>
      </c>
      <c r="AP55" s="164">
        <f t="shared" si="9"/>
        <v>7.8753769616411526</v>
      </c>
      <c r="AQ55" s="165">
        <f t="shared" si="11"/>
        <v>9.7000000000000011</v>
      </c>
      <c r="AR55" s="398"/>
      <c r="AS55" s="398"/>
      <c r="AT55" s="398"/>
      <c r="AU55" s="398"/>
      <c r="AV55" s="398"/>
    </row>
    <row r="56" spans="1:48" ht="14.25" customHeight="1" x14ac:dyDescent="0.2">
      <c r="A56" s="309"/>
      <c r="B56" s="429"/>
      <c r="C56" s="429"/>
      <c r="D56" s="58"/>
      <c r="E56" s="58"/>
      <c r="F56" s="58"/>
      <c r="G56" s="58"/>
      <c r="H56" s="58"/>
      <c r="I56" s="58"/>
      <c r="J56" s="13"/>
      <c r="K56" s="15"/>
      <c r="L56" s="15"/>
      <c r="M56" s="15"/>
      <c r="N56" s="15"/>
      <c r="O56" s="9"/>
      <c r="P56" s="9"/>
      <c r="Q56" s="9"/>
      <c r="R56" s="9"/>
      <c r="S56" s="9"/>
      <c r="T56" s="9"/>
      <c r="U56" s="134"/>
      <c r="V56" s="152"/>
      <c r="W56" s="326"/>
      <c r="X56" s="647">
        <v>16</v>
      </c>
      <c r="Y56" s="50" t="str">
        <f t="shared" si="12"/>
        <v>Surrey</v>
      </c>
      <c r="Z56" s="45">
        <v>17</v>
      </c>
      <c r="AA56" s="46">
        <f>IF(H24&gt;0,IDACI!D24,0)</f>
        <v>221989</v>
      </c>
      <c r="AB56" s="46">
        <f>IF(H24&gt;0,IDACI!E24,0)</f>
        <v>21532.933000000005</v>
      </c>
      <c r="AI56" s="642" t="b">
        <v>1</v>
      </c>
      <c r="AJ56" s="178" t="s">
        <v>116</v>
      </c>
      <c r="AK56" s="101" t="str">
        <f t="shared" si="10"/>
        <v>Swindon</v>
      </c>
      <c r="AL56" s="164">
        <f t="shared" si="9"/>
        <v>9.3945720250521916</v>
      </c>
      <c r="AM56" s="164">
        <f t="shared" si="9"/>
        <v>9.6707818930041149</v>
      </c>
      <c r="AN56" s="164">
        <f t="shared" si="9"/>
        <v>10.816326530612246</v>
      </c>
      <c r="AO56" s="164">
        <f t="shared" si="9"/>
        <v>15.769681775908778</v>
      </c>
      <c r="AP56" s="164">
        <f t="shared" si="9"/>
        <v>17.025879336591618</v>
      </c>
      <c r="AQ56" s="165">
        <f t="shared" si="11"/>
        <v>17.2</v>
      </c>
      <c r="AR56" s="398"/>
      <c r="AS56" s="398"/>
      <c r="AT56" s="398"/>
      <c r="AU56" s="398"/>
      <c r="AV56" s="398"/>
    </row>
    <row r="57" spans="1:48" ht="14.25" customHeight="1" x14ac:dyDescent="0.2">
      <c r="A57" s="309"/>
      <c r="B57" s="429"/>
      <c r="C57" s="429"/>
      <c r="D57" s="58"/>
      <c r="E57" s="58"/>
      <c r="F57" s="58"/>
      <c r="G57" s="58"/>
      <c r="H57" s="58"/>
      <c r="I57" s="58"/>
      <c r="J57" s="13"/>
      <c r="K57" s="15"/>
      <c r="L57" s="15"/>
      <c r="M57" s="15"/>
      <c r="N57" s="15"/>
      <c r="O57" s="9"/>
      <c r="P57" s="9"/>
      <c r="Q57" s="9"/>
      <c r="R57" s="9"/>
      <c r="S57" s="9"/>
      <c r="T57" s="9"/>
      <c r="U57" s="134"/>
      <c r="V57" s="152"/>
      <c r="W57" s="326"/>
      <c r="X57" s="647">
        <v>17</v>
      </c>
      <c r="Y57" s="50" t="str">
        <f t="shared" si="12"/>
        <v>Swindon</v>
      </c>
      <c r="Z57" s="45">
        <v>18</v>
      </c>
      <c r="AA57" s="46">
        <f>IF(H25&gt;0,IDACI!D25,0)</f>
        <v>42184</v>
      </c>
      <c r="AB57" s="46">
        <f>IF(H25&gt;0,IDACI!E25,0)</f>
        <v>7255.6479999999992</v>
      </c>
      <c r="AI57" s="642" t="b">
        <v>1</v>
      </c>
      <c r="AJ57" s="178" t="s">
        <v>117</v>
      </c>
      <c r="AK57" s="101" t="str">
        <f t="shared" si="10"/>
        <v>Torbay</v>
      </c>
      <c r="AL57" s="164">
        <f t="shared" si="9"/>
        <v>23.79032258064516</v>
      </c>
      <c r="AM57" s="164">
        <f t="shared" si="9"/>
        <v>23.107569721115539</v>
      </c>
      <c r="AN57" s="164">
        <f t="shared" si="9"/>
        <v>21.825396825396826</v>
      </c>
      <c r="AO57" s="164">
        <f t="shared" si="9"/>
        <v>22.070705080203364</v>
      </c>
      <c r="AP57" s="164">
        <f t="shared" si="9"/>
        <v>23.606247786914267</v>
      </c>
      <c r="AQ57" s="165">
        <f t="shared" si="11"/>
        <v>24.1</v>
      </c>
      <c r="AR57" s="398"/>
      <c r="AS57" s="398"/>
      <c r="AT57" s="398"/>
      <c r="AU57" s="398"/>
      <c r="AV57" s="398"/>
    </row>
    <row r="58" spans="1:48" ht="14.25" customHeight="1" x14ac:dyDescent="0.2">
      <c r="A58" s="135"/>
      <c r="B58" s="429"/>
      <c r="C58" s="429"/>
      <c r="D58" s="58"/>
      <c r="E58" s="58"/>
      <c r="F58" s="58"/>
      <c r="G58" s="58"/>
      <c r="H58" s="58"/>
      <c r="I58" s="58"/>
      <c r="J58" s="13"/>
      <c r="K58" s="15"/>
      <c r="L58" s="15"/>
      <c r="M58" s="15"/>
      <c r="N58" s="15"/>
      <c r="O58" s="9"/>
      <c r="P58" s="9"/>
      <c r="Q58" s="9"/>
      <c r="R58" s="9"/>
      <c r="S58" s="9"/>
      <c r="T58" s="9"/>
      <c r="U58" s="134"/>
      <c r="V58" s="152"/>
      <c r="W58" s="326"/>
      <c r="X58" s="647">
        <v>18</v>
      </c>
      <c r="Y58" s="50" t="str">
        <f t="shared" si="12"/>
        <v>Torbay</v>
      </c>
      <c r="Z58" s="45">
        <v>19</v>
      </c>
      <c r="AA58" s="46">
        <f>IF(H26&gt;0,IDACI!D26,0)</f>
        <v>21714</v>
      </c>
      <c r="AB58" s="46">
        <f>IF(H26&gt;0,IDACI!E26,0)</f>
        <v>5233.0740000000005</v>
      </c>
      <c r="AI58" s="642" t="b">
        <v>1</v>
      </c>
      <c r="AJ58" s="178" t="s">
        <v>16</v>
      </c>
      <c r="AK58" s="101" t="str">
        <f t="shared" si="10"/>
        <v>West Berkshire</v>
      </c>
      <c r="AL58" s="164">
        <f t="shared" si="9"/>
        <v>5.8823529411764701</v>
      </c>
      <c r="AM58" s="164">
        <f t="shared" si="9"/>
        <v>8.4269662921348321</v>
      </c>
      <c r="AN58" s="164">
        <f t="shared" si="9"/>
        <v>13.725490196078432</v>
      </c>
      <c r="AO58" s="164">
        <f t="shared" si="9"/>
        <v>10.85413709610086</v>
      </c>
      <c r="AP58" s="164">
        <f t="shared" si="9"/>
        <v>10.058675607711651</v>
      </c>
      <c r="AQ58" s="165">
        <f t="shared" si="11"/>
        <v>10.4</v>
      </c>
      <c r="AR58" s="398"/>
      <c r="AS58" s="398"/>
      <c r="AT58" s="398"/>
      <c r="AU58" s="398"/>
      <c r="AV58" s="398"/>
    </row>
    <row r="59" spans="1:48" ht="14.25" customHeight="1" x14ac:dyDescent="0.2">
      <c r="A59" s="135"/>
      <c r="B59" s="429"/>
      <c r="C59" s="429"/>
      <c r="D59" s="58"/>
      <c r="E59" s="58"/>
      <c r="F59" s="58"/>
      <c r="G59" s="58"/>
      <c r="H59" s="58"/>
      <c r="I59" s="58"/>
      <c r="J59" s="13"/>
      <c r="K59" s="15"/>
      <c r="L59" s="15"/>
      <c r="M59" s="15"/>
      <c r="N59" s="15"/>
      <c r="O59" s="9"/>
      <c r="P59" s="9"/>
      <c r="Q59" s="9"/>
      <c r="R59" s="9"/>
      <c r="S59" s="9"/>
      <c r="T59" s="9"/>
      <c r="U59" s="134"/>
      <c r="V59" s="152"/>
      <c r="W59" s="326"/>
      <c r="X59" s="647">
        <v>19</v>
      </c>
      <c r="Y59" s="50" t="str">
        <f t="shared" si="12"/>
        <v>West Berkshire</v>
      </c>
      <c r="Z59" s="45">
        <v>20</v>
      </c>
      <c r="AA59" s="46">
        <f>IF(H27&gt;0,IDACI!D27,0)</f>
        <v>31302</v>
      </c>
      <c r="AB59" s="46">
        <f>IF(H27&gt;0,IDACI!E27,0)</f>
        <v>3255.4080000000004</v>
      </c>
      <c r="AI59" s="642" t="b">
        <v>1</v>
      </c>
      <c r="AJ59" s="178" t="s">
        <v>5</v>
      </c>
      <c r="AK59" s="101" t="str">
        <f t="shared" si="10"/>
        <v>West Sussex</v>
      </c>
      <c r="AL59" s="164">
        <f t="shared" si="9"/>
        <v>4.0119760479041915</v>
      </c>
      <c r="AM59" s="164">
        <f t="shared" si="9"/>
        <v>5.2132701421800949</v>
      </c>
      <c r="AN59" s="164">
        <f t="shared" si="9"/>
        <v>8.0985915492957741</v>
      </c>
      <c r="AO59" s="164">
        <f t="shared" si="9"/>
        <v>9.3734899074877305</v>
      </c>
      <c r="AP59" s="164">
        <f t="shared" si="9"/>
        <v>9.4643959810942917</v>
      </c>
      <c r="AQ59" s="165">
        <f t="shared" si="11"/>
        <v>12.9</v>
      </c>
      <c r="AR59" s="398"/>
      <c r="AS59" s="398"/>
      <c r="AT59" s="398"/>
      <c r="AU59" s="398"/>
      <c r="AV59" s="398"/>
    </row>
    <row r="60" spans="1:48" s="88" customFormat="1" ht="14.25" customHeight="1" x14ac:dyDescent="0.2">
      <c r="A60" s="135"/>
      <c r="B60" s="429"/>
      <c r="C60" s="429"/>
      <c r="D60" s="58"/>
      <c r="E60" s="58"/>
      <c r="F60" s="58"/>
      <c r="G60" s="58"/>
      <c r="H60" s="58"/>
      <c r="I60" s="58"/>
      <c r="J60" s="13"/>
      <c r="K60" s="15"/>
      <c r="L60" s="15"/>
      <c r="M60" s="15"/>
      <c r="N60" s="15"/>
      <c r="O60" s="9"/>
      <c r="P60" s="9"/>
      <c r="Q60" s="9"/>
      <c r="R60" s="9"/>
      <c r="S60" s="9"/>
      <c r="T60" s="9"/>
      <c r="U60" s="134"/>
      <c r="V60" s="152"/>
      <c r="W60" s="326"/>
      <c r="X60" s="647">
        <v>20</v>
      </c>
      <c r="Y60" s="50" t="str">
        <f t="shared" si="12"/>
        <v>West Sussex</v>
      </c>
      <c r="Z60" s="45">
        <v>21</v>
      </c>
      <c r="AA60" s="46">
        <f>IF(H28&gt;0,IDACI!D28,0)</f>
        <v>146958</v>
      </c>
      <c r="AB60" s="46">
        <f>IF(H28&gt;0,IDACI!E28,0)</f>
        <v>18957.582000000002</v>
      </c>
      <c r="AI60" s="642" t="b">
        <v>1</v>
      </c>
      <c r="AJ60" s="178" t="s">
        <v>31</v>
      </c>
      <c r="AK60" s="101" t="str">
        <f t="shared" si="10"/>
        <v>Windsor &amp; Maidenhead</v>
      </c>
      <c r="AL60" s="164">
        <f t="shared" si="9"/>
        <v>5.4054054054054053</v>
      </c>
      <c r="AM60" s="164">
        <f t="shared" si="9"/>
        <v>3.5928143712574849</v>
      </c>
      <c r="AN60" s="164">
        <f t="shared" si="9"/>
        <v>5.0445103857566771</v>
      </c>
      <c r="AO60" s="164">
        <f t="shared" si="9"/>
        <v>7.6076779026217229</v>
      </c>
      <c r="AP60" s="164">
        <f t="shared" si="9"/>
        <v>5.5309734513274336</v>
      </c>
      <c r="AQ60" s="165">
        <f t="shared" si="11"/>
        <v>8.4</v>
      </c>
      <c r="AR60" s="398"/>
      <c r="AS60" s="398"/>
      <c r="AT60" s="398"/>
      <c r="AU60" s="398"/>
      <c r="AV60" s="398"/>
    </row>
    <row r="61" spans="1:48" s="88" customFormat="1" ht="14.25" customHeight="1" x14ac:dyDescent="0.2">
      <c r="A61" s="135"/>
      <c r="B61" s="429"/>
      <c r="C61" s="429"/>
      <c r="D61" s="58"/>
      <c r="E61" s="58"/>
      <c r="F61" s="58"/>
      <c r="G61" s="58"/>
      <c r="H61" s="58"/>
      <c r="I61" s="58"/>
      <c r="J61" s="13"/>
      <c r="K61" s="15"/>
      <c r="L61" s="15"/>
      <c r="M61" s="15"/>
      <c r="N61" s="15"/>
      <c r="O61" s="9"/>
      <c r="P61" s="9"/>
      <c r="Q61" s="9"/>
      <c r="R61" s="9"/>
      <c r="S61" s="9"/>
      <c r="T61" s="9"/>
      <c r="U61" s="134"/>
      <c r="V61" s="152"/>
      <c r="W61" s="326"/>
      <c r="X61" s="647">
        <v>21</v>
      </c>
      <c r="Y61" s="50" t="str">
        <f t="shared" si="12"/>
        <v>Windsor &amp; Maidenhead</v>
      </c>
      <c r="Z61" s="45">
        <v>22</v>
      </c>
      <c r="AA61" s="46">
        <f>IF(H29&gt;0,IDACI!D29,0)</f>
        <v>29154</v>
      </c>
      <c r="AB61" s="46">
        <f>IF(H29&gt;0,IDACI!E29,0)</f>
        <v>2448.9360000000001</v>
      </c>
      <c r="AI61" s="642" t="b">
        <v>1</v>
      </c>
      <c r="AJ61" s="178" t="s">
        <v>17</v>
      </c>
      <c r="AK61" s="101" t="str">
        <f t="shared" si="10"/>
        <v>Wokingham</v>
      </c>
      <c r="AL61" s="164">
        <f t="shared" si="9"/>
        <v>5.2486187845303869</v>
      </c>
      <c r="AM61" s="164">
        <f t="shared" si="9"/>
        <v>3.2520325203252032</v>
      </c>
      <c r="AN61" s="164">
        <f t="shared" si="9"/>
        <v>5.6300268096514747</v>
      </c>
      <c r="AO61" s="164">
        <f t="shared" si="9"/>
        <v>4.7344748678292436</v>
      </c>
      <c r="AP61" s="164">
        <f t="shared" si="9"/>
        <v>5.426076171774068</v>
      </c>
      <c r="AQ61" s="165">
        <f t="shared" si="11"/>
        <v>6.8000000000000007</v>
      </c>
      <c r="AR61" s="398"/>
      <c r="AS61" s="398"/>
      <c r="AT61" s="398"/>
      <c r="AU61" s="398"/>
      <c r="AV61" s="398"/>
    </row>
    <row r="62" spans="1:48" s="88" customFormat="1" ht="14.25" customHeight="1" x14ac:dyDescent="0.2">
      <c r="A62" s="135"/>
      <c r="B62" s="429"/>
      <c r="C62" s="429"/>
      <c r="D62" s="58"/>
      <c r="E62" s="58"/>
      <c r="F62" s="58"/>
      <c r="G62" s="58"/>
      <c r="H62" s="58"/>
      <c r="I62" s="58"/>
      <c r="J62" s="13"/>
      <c r="K62" s="15"/>
      <c r="L62" s="15"/>
      <c r="M62" s="15"/>
      <c r="N62" s="15"/>
      <c r="O62" s="9"/>
      <c r="P62" s="9"/>
      <c r="Q62" s="9"/>
      <c r="R62" s="9"/>
      <c r="S62" s="9"/>
      <c r="T62" s="9"/>
      <c r="U62" s="134"/>
      <c r="V62" s="152"/>
      <c r="W62" s="326"/>
      <c r="X62" s="647">
        <v>22</v>
      </c>
      <c r="Y62" s="50" t="str">
        <f t="shared" si="12"/>
        <v>Wokingham</v>
      </c>
      <c r="Z62" s="45">
        <v>23</v>
      </c>
      <c r="AA62" s="46">
        <f>IF(H30&gt;0,IDACI!D30,0)</f>
        <v>31967</v>
      </c>
      <c r="AB62" s="46">
        <f>IF(H30&gt;0,IDACI!E30,0)</f>
        <v>2173.7560000000003</v>
      </c>
      <c r="AI62" s="642" t="b">
        <v>1</v>
      </c>
      <c r="AJ62" s="178" t="s">
        <v>74</v>
      </c>
      <c r="AK62" s="101" t="str">
        <f t="shared" si="10"/>
        <v>South East</v>
      </c>
      <c r="AL62" s="164">
        <f t="shared" si="9"/>
        <v>7.1496714013143947</v>
      </c>
      <c r="AM62" s="164">
        <f t="shared" si="9"/>
        <v>7.3206595945804009</v>
      </c>
      <c r="AN62" s="164">
        <f t="shared" si="9"/>
        <v>9.4207809811792913</v>
      </c>
      <c r="AO62" s="164">
        <f t="shared" si="9"/>
        <v>9.8489907629502067</v>
      </c>
      <c r="AP62" s="164">
        <f t="shared" si="9"/>
        <v>9.8309296170258751</v>
      </c>
      <c r="AQ62" s="165">
        <f t="shared" si="11"/>
        <v>14.45223640702325</v>
      </c>
      <c r="AR62" s="398"/>
      <c r="AS62" s="398"/>
      <c r="AT62" s="398"/>
      <c r="AU62" s="398"/>
      <c r="AV62" s="398"/>
    </row>
    <row r="63" spans="1:48" s="88" customFormat="1" ht="14.25" customHeight="1" x14ac:dyDescent="0.2">
      <c r="A63" s="135"/>
      <c r="B63" s="429"/>
      <c r="C63" s="429"/>
      <c r="D63" s="58"/>
      <c r="E63" s="58"/>
      <c r="F63" s="58"/>
      <c r="G63" s="58"/>
      <c r="H63" s="58"/>
      <c r="I63" s="58"/>
      <c r="J63" s="13"/>
      <c r="K63" s="9"/>
      <c r="L63" s="127"/>
      <c r="M63" s="1027" t="s">
        <v>72</v>
      </c>
      <c r="N63" s="1028"/>
      <c r="O63" s="1029"/>
      <c r="P63" s="430"/>
      <c r="Q63" s="1030" t="s">
        <v>101</v>
      </c>
      <c r="R63" s="1031"/>
      <c r="S63" s="1031"/>
      <c r="T63" s="1032"/>
      <c r="U63" s="134"/>
      <c r="V63" s="152"/>
      <c r="W63" s="326"/>
      <c r="X63" s="647">
        <v>23</v>
      </c>
      <c r="Y63" s="50" t="str">
        <f t="shared" si="12"/>
        <v>South East</v>
      </c>
      <c r="Z63" s="45">
        <v>24</v>
      </c>
      <c r="AA63" s="46">
        <f>SUM(AA55:AA56,AA41:AA53,AA59:AA62)</f>
        <v>1662421</v>
      </c>
      <c r="AB63" s="46">
        <f>SUM(AB55:AB56,AB41:AB53,AB59:AB62)</f>
        <v>240257.01299999995</v>
      </c>
      <c r="AI63" s="642" t="b">
        <v>1</v>
      </c>
      <c r="AJ63" s="178" t="s">
        <v>130</v>
      </c>
      <c r="AK63" s="101" t="str">
        <f t="shared" si="10"/>
        <v>England</v>
      </c>
      <c r="AL63" s="164">
        <f>VLOOKUP($AK63,$B$9:$O$32,AL$36,FALSE)</f>
        <v>9.2203956825131321</v>
      </c>
      <c r="AM63" s="164">
        <f t="shared" ref="AM63:AP63" si="13">VLOOKUP($AK63,$B$9:$O$32,AM$36,FALSE)</f>
        <v>9.6275783534770571</v>
      </c>
      <c r="AN63" s="164">
        <f t="shared" si="13"/>
        <v>10.954024268061895</v>
      </c>
      <c r="AO63" s="164">
        <f t="shared" si="13"/>
        <v>12.38748991644405</v>
      </c>
      <c r="AP63" s="164">
        <f t="shared" si="13"/>
        <v>11.981167539412167</v>
      </c>
      <c r="AQ63" s="165" t="e">
        <f t="shared" si="11"/>
        <v>#N/A</v>
      </c>
      <c r="AR63" s="398"/>
      <c r="AS63" s="398"/>
      <c r="AT63" s="398"/>
      <c r="AU63" s="398"/>
      <c r="AV63" s="398"/>
    </row>
    <row r="64" spans="1:48" s="88" customFormat="1" ht="11.25" customHeight="1" x14ac:dyDescent="0.2">
      <c r="A64" s="135"/>
      <c r="B64" s="429"/>
      <c r="C64" s="429"/>
      <c r="D64" s="58"/>
      <c r="E64" s="58"/>
      <c r="F64" s="58"/>
      <c r="G64" s="58"/>
      <c r="H64" s="58"/>
      <c r="I64" s="58"/>
      <c r="J64" s="13"/>
      <c r="K64" s="9"/>
      <c r="L64" s="481"/>
      <c r="M64" s="1030" t="str">
        <f>Z4</f>
        <v>Selected LA- (none)</v>
      </c>
      <c r="N64" s="1031"/>
      <c r="O64" s="1031"/>
      <c r="P64" s="1032"/>
      <c r="Q64" s="1035"/>
      <c r="R64" s="1036"/>
      <c r="S64" s="1037" t="s">
        <v>205</v>
      </c>
      <c r="T64" s="1038"/>
      <c r="U64" s="134"/>
      <c r="V64" s="152"/>
      <c r="W64" s="168"/>
      <c r="X64" s="647">
        <v>24</v>
      </c>
      <c r="Y64" s="50" t="str">
        <f t="shared" si="12"/>
        <v>England</v>
      </c>
      <c r="Z64" s="45">
        <v>25</v>
      </c>
      <c r="AA64" s="46">
        <f>IF(H32&gt;0,IDACI!D32,0)</f>
        <v>10130158</v>
      </c>
      <c r="AB64" s="46">
        <f>IF(H32&gt;0,IDACI!E32,0)</f>
        <v>2016166</v>
      </c>
      <c r="AJ64" s="179"/>
      <c r="AK64" s="80" t="str">
        <f>Z4</f>
        <v>Selected LA- (none)</v>
      </c>
      <c r="AL64" s="166" t="e">
        <f>VLOOKUP($Y4,$B$9:$O$31,AL$36,FALSE)</f>
        <v>#N/A</v>
      </c>
      <c r="AM64" s="166" t="e">
        <f>VLOOKUP($Y4,$B$9:$O$31,AM$36,FALSE)</f>
        <v>#N/A</v>
      </c>
      <c r="AN64" s="166" t="e">
        <f>VLOOKUP($Y4,$B$9:$O$31,AN$36,FALSE)</f>
        <v>#N/A</v>
      </c>
      <c r="AO64" s="166" t="e">
        <f>VLOOKUP($Y4,$B$9:$O$31,AO$36,FALSE)</f>
        <v>#N/A</v>
      </c>
      <c r="AP64" s="166" t="e">
        <f>VLOOKUP($Y4,$B$9:$O$31,AP$36,FALSE)</f>
        <v>#N/A</v>
      </c>
      <c r="AQ64" s="165" t="e">
        <f>VLOOKUP(Y4,$B$9:$T$31,17,FALSE)</f>
        <v>#N/A</v>
      </c>
      <c r="AR64" s="191"/>
      <c r="AS64" s="191"/>
      <c r="AT64" s="191"/>
      <c r="AU64" s="191"/>
      <c r="AV64" s="191"/>
    </row>
    <row r="65" spans="1:44" s="88" customFormat="1" ht="42" customHeight="1" x14ac:dyDescent="0.2">
      <c r="A65" s="135"/>
      <c r="B65" s="429"/>
      <c r="C65" s="429"/>
      <c r="D65" s="58"/>
      <c r="E65" s="58"/>
      <c r="F65" s="58"/>
      <c r="G65" s="58"/>
      <c r="H65" s="58"/>
      <c r="I65" s="58"/>
      <c r="J65" s="13"/>
      <c r="K65" s="9"/>
      <c r="L65" s="9"/>
      <c r="M65" s="9"/>
      <c r="N65" s="9"/>
      <c r="O65" s="9"/>
      <c r="P65" s="9"/>
      <c r="Q65" s="9"/>
      <c r="R65" s="9"/>
      <c r="S65" s="9"/>
      <c r="T65" s="9"/>
      <c r="U65" s="134"/>
      <c r="V65" s="152"/>
      <c r="W65" s="168"/>
      <c r="X65" s="44" t="s">
        <v>72</v>
      </c>
      <c r="Y65" s="240" t="s">
        <v>70</v>
      </c>
      <c r="Z65" s="44" t="s">
        <v>71</v>
      </c>
      <c r="AA65" s="241">
        <v>5</v>
      </c>
      <c r="AB65" s="242">
        <f>(AA65*Y66)+Z66</f>
        <v>6.1265999999999998</v>
      </c>
      <c r="AJ65" s="179"/>
    </row>
    <row r="66" spans="1:44" s="101" customFormat="1" ht="41.25" customHeight="1" x14ac:dyDescent="0.2">
      <c r="A66" s="138"/>
      <c r="B66" s="126"/>
      <c r="C66" s="126"/>
      <c r="D66" s="126"/>
      <c r="E66" s="126"/>
      <c r="F66" s="126"/>
      <c r="G66" s="126"/>
      <c r="H66" s="126"/>
      <c r="I66" s="126"/>
      <c r="J66" s="115"/>
      <c r="K66" s="97"/>
      <c r="L66" s="97"/>
      <c r="M66" s="97"/>
      <c r="N66" s="97"/>
      <c r="O66" s="97"/>
      <c r="P66" s="97"/>
      <c r="Q66" s="97"/>
      <c r="R66" s="97"/>
      <c r="S66" s="97"/>
      <c r="T66" s="97"/>
      <c r="U66" s="139"/>
      <c r="V66" s="154"/>
      <c r="W66" s="170"/>
      <c r="X66" s="243" t="str">
        <f>"Y= "&amp;Y66&amp;"x + "&amp;Z66</f>
        <v>Y= 0.5101x + 3.5761</v>
      </c>
      <c r="Y66" s="839">
        <v>0.5101</v>
      </c>
      <c r="Z66" s="840">
        <v>3.5760999999999998</v>
      </c>
      <c r="AA66" s="246">
        <v>30</v>
      </c>
      <c r="AB66" s="247">
        <f>(AA66*Y66)+Z66</f>
        <v>18.879100000000001</v>
      </c>
      <c r="AC66" s="217"/>
      <c r="AD66" s="217"/>
      <c r="AE66" s="217"/>
      <c r="AF66" s="217"/>
      <c r="AG66" s="217"/>
      <c r="AH66" s="217"/>
      <c r="AI66" s="232"/>
      <c r="AJ66" s="178"/>
    </row>
    <row r="67" spans="1:44" s="101" customFormat="1" ht="42" customHeight="1" x14ac:dyDescent="0.2">
      <c r="A67" s="138"/>
      <c r="B67" s="126"/>
      <c r="C67" s="126"/>
      <c r="D67" s="126"/>
      <c r="E67" s="126"/>
      <c r="F67" s="126"/>
      <c r="G67" s="126"/>
      <c r="H67" s="126"/>
      <c r="I67" s="126"/>
      <c r="J67" s="115"/>
      <c r="K67" s="97"/>
      <c r="L67" s="97"/>
      <c r="M67" s="97"/>
      <c r="N67" s="97"/>
      <c r="O67" s="97"/>
      <c r="P67" s="97"/>
      <c r="Q67" s="97"/>
      <c r="R67" s="97"/>
      <c r="S67" s="97"/>
      <c r="T67" s="97"/>
      <c r="U67" s="139"/>
      <c r="V67" s="154"/>
      <c r="W67" s="423"/>
      <c r="X67" s="44" t="s">
        <v>216</v>
      </c>
      <c r="Y67" s="240" t="s">
        <v>70</v>
      </c>
      <c r="Z67" s="44" t="s">
        <v>71</v>
      </c>
      <c r="AA67" s="241">
        <v>5</v>
      </c>
      <c r="AB67" s="242">
        <f>(AA67*Y68)+Z68</f>
        <v>6.4126198630997591</v>
      </c>
      <c r="AC67" s="843" t="s">
        <v>865</v>
      </c>
      <c r="AD67" s="217"/>
      <c r="AE67" s="217"/>
      <c r="AF67" s="217"/>
      <c r="AG67" s="217"/>
      <c r="AH67" s="217"/>
      <c r="AI67" s="232"/>
      <c r="AJ67" s="178"/>
    </row>
    <row r="68" spans="1:44" ht="7.5" customHeight="1" x14ac:dyDescent="0.2">
      <c r="A68" s="135"/>
      <c r="B68" s="18"/>
      <c r="C68" s="18"/>
      <c r="D68" s="17"/>
      <c r="E68" s="17"/>
      <c r="F68" s="17"/>
      <c r="G68" s="17"/>
      <c r="H68" s="17"/>
      <c r="I68" s="17"/>
      <c r="J68" s="13"/>
      <c r="K68" s="19"/>
      <c r="L68" s="19"/>
      <c r="M68" s="19"/>
      <c r="N68" s="19"/>
      <c r="O68" s="19"/>
      <c r="P68" s="19"/>
      <c r="Q68" s="19"/>
      <c r="R68" s="19"/>
      <c r="S68" s="19"/>
      <c r="T68" s="20"/>
      <c r="U68" s="134"/>
      <c r="V68" s="152"/>
      <c r="W68" s="168"/>
      <c r="X68" s="243" t="str">
        <f>"Y= "&amp;Y68&amp;"x + "&amp;Z68</f>
        <v>Y= 0.4270001327131x + 4.27761919953426</v>
      </c>
      <c r="Y68" s="841">
        <v>0.42700013271310033</v>
      </c>
      <c r="Z68" s="841">
        <v>4.2776191995342572</v>
      </c>
      <c r="AA68" s="246">
        <v>30</v>
      </c>
      <c r="AB68" s="247">
        <f>(AA68*Y68)+Z68</f>
        <v>17.087623180927267</v>
      </c>
      <c r="AI68" s="210"/>
      <c r="AJ68" s="175"/>
    </row>
    <row r="69" spans="1:44" ht="15" customHeight="1" x14ac:dyDescent="0.2">
      <c r="A69" s="1010"/>
      <c r="B69" s="1018"/>
      <c r="C69" s="1018"/>
      <c r="D69" s="1018"/>
      <c r="E69" s="1018"/>
      <c r="F69" s="1018"/>
      <c r="G69" s="1018"/>
      <c r="H69" s="1018"/>
      <c r="I69" s="1018"/>
      <c r="J69" s="1018"/>
      <c r="K69" s="1018"/>
      <c r="L69" s="1018"/>
      <c r="M69" s="1018"/>
      <c r="N69" s="1018"/>
      <c r="O69" s="1018"/>
      <c r="P69" s="1018"/>
      <c r="Q69" s="1018"/>
      <c r="R69" s="1018"/>
      <c r="S69" s="1018"/>
      <c r="T69" s="1018"/>
      <c r="U69" s="1019"/>
      <c r="V69" s="152"/>
      <c r="W69" s="168"/>
      <c r="X69" s="43">
        <f>D8</f>
        <v>2014</v>
      </c>
      <c r="Y69" s="43">
        <f>E8</f>
        <v>2015</v>
      </c>
      <c r="Z69" s="43">
        <f>F8</f>
        <v>2016</v>
      </c>
      <c r="AA69" s="43">
        <f>G8</f>
        <v>2017</v>
      </c>
      <c r="AB69" s="43">
        <f>H8</f>
        <v>2018</v>
      </c>
      <c r="AI69" s="210"/>
      <c r="AJ69" s="175"/>
    </row>
    <row r="70" spans="1:44" ht="11.25" customHeight="1" x14ac:dyDescent="0.2">
      <c r="A70" s="1020" t="str">
        <f>Home!$A$35</f>
        <v>LA's provide quarterly data on the condition that it is used by the benchmarking group for internal reporting only. Please DO NOT share other LA's data with any external partners or the public</v>
      </c>
      <c r="B70" s="1021"/>
      <c r="C70" s="1021"/>
      <c r="D70" s="1021"/>
      <c r="E70" s="1021"/>
      <c r="F70" s="1021"/>
      <c r="G70" s="1021"/>
      <c r="H70" s="1021"/>
      <c r="I70" s="1022"/>
      <c r="J70" s="1021"/>
      <c r="K70" s="1021"/>
      <c r="L70" s="1021"/>
      <c r="M70" s="1021"/>
      <c r="N70" s="1021"/>
      <c r="O70" s="1021"/>
      <c r="P70" s="1021"/>
      <c r="Q70" s="1021"/>
      <c r="R70" s="1021"/>
      <c r="S70" s="1022"/>
      <c r="T70" s="1021"/>
      <c r="U70" s="1023"/>
      <c r="V70" s="152"/>
      <c r="W70" s="168"/>
      <c r="X70" s="47" t="e">
        <f ca="1">IF(OFFSET(K8,$X$4,0)=0,NA(),OFFSET(K8,$X$4,0))</f>
        <v>#N/A</v>
      </c>
      <c r="Y70" s="248" t="e">
        <f ca="1">IF(OFFSET(L8,$X$4,0)=0,NA(),OFFSET(L8,$X$4,0))</f>
        <v>#N/A</v>
      </c>
      <c r="Z70" s="47" t="e">
        <f ca="1">IF(OFFSET(M8,$X$4,0)=0,NA(),OFFSET(M8,$X$4,0))</f>
        <v>#N/A</v>
      </c>
      <c r="AA70" s="47" t="e">
        <f ca="1">IF(OFFSET(N8,$X$4,0)=0,NA(),OFFSET(N8,$X$4,0))</f>
        <v>#N/A</v>
      </c>
      <c r="AB70" s="47" t="e">
        <f ca="1">IF(OFFSET(O8,$X$4,0)=0,NA(),OFFSET(O8,$X$4,0))</f>
        <v>#N/A</v>
      </c>
      <c r="AI70" s="210"/>
      <c r="AJ70" s="175"/>
    </row>
    <row r="71" spans="1:44" ht="11.25" customHeight="1" x14ac:dyDescent="0.2">
      <c r="A71" s="129"/>
      <c r="B71" s="130"/>
      <c r="C71" s="130"/>
      <c r="D71" s="130"/>
      <c r="E71" s="130"/>
      <c r="F71" s="130"/>
      <c r="G71" s="130"/>
      <c r="H71" s="130"/>
      <c r="I71" s="130"/>
      <c r="J71" s="131"/>
      <c r="K71" s="130"/>
      <c r="L71" s="130"/>
      <c r="M71" s="130"/>
      <c r="N71" s="130"/>
      <c r="O71" s="130"/>
      <c r="P71" s="130"/>
      <c r="Q71" s="130"/>
      <c r="R71" s="130"/>
      <c r="S71" s="130"/>
      <c r="T71" s="130"/>
      <c r="U71" s="132"/>
      <c r="V71" s="152"/>
      <c r="W71" s="168"/>
      <c r="X71" s="215"/>
      <c r="Y71" s="215"/>
      <c r="Z71" s="215"/>
      <c r="AI71" s="210"/>
      <c r="AJ71" s="175"/>
    </row>
    <row r="72" spans="1:44" s="82" customFormat="1" ht="15" customHeight="1" x14ac:dyDescent="0.2">
      <c r="A72" s="136"/>
      <c r="B72" s="60"/>
      <c r="C72" s="428"/>
      <c r="D72" s="428"/>
      <c r="E72" s="428"/>
      <c r="F72" s="428"/>
      <c r="G72" s="428"/>
      <c r="H72" s="428"/>
      <c r="I72" s="428"/>
      <c r="J72" s="70"/>
      <c r="K72" s="70"/>
      <c r="L72" s="70"/>
      <c r="M72" s="70"/>
      <c r="N72" s="425"/>
      <c r="O72" s="70"/>
      <c r="P72" s="70"/>
      <c r="Q72" s="70"/>
      <c r="R72" s="70"/>
      <c r="S72" s="70"/>
      <c r="T72" s="70"/>
      <c r="U72" s="137"/>
      <c r="V72" s="153"/>
      <c r="W72" s="169"/>
      <c r="X72" s="215"/>
      <c r="Y72" s="215"/>
      <c r="Z72" s="215"/>
      <c r="AA72" s="215"/>
      <c r="AB72" s="215"/>
      <c r="AC72" s="215"/>
      <c r="AD72" s="215"/>
      <c r="AE72" s="215"/>
      <c r="AF72" s="215"/>
      <c r="AG72" s="215"/>
      <c r="AH72" s="215"/>
      <c r="AI72" s="215"/>
      <c r="AJ72" s="176"/>
    </row>
    <row r="73" spans="1:44" ht="13.5" customHeight="1" x14ac:dyDescent="0.2">
      <c r="A73" s="135"/>
      <c r="B73" s="428"/>
      <c r="C73" s="428"/>
      <c r="D73" s="428"/>
      <c r="E73" s="428"/>
      <c r="F73" s="428"/>
      <c r="G73" s="428"/>
      <c r="H73" s="428"/>
      <c r="I73" s="428"/>
      <c r="J73" s="70"/>
      <c r="K73" s="70"/>
      <c r="L73" s="70"/>
      <c r="M73" s="70"/>
      <c r="N73" s="425"/>
      <c r="O73" s="70"/>
      <c r="P73" s="70"/>
      <c r="Q73" s="10"/>
      <c r="R73" s="70"/>
      <c r="S73" s="70"/>
      <c r="T73" s="70"/>
      <c r="U73" s="134"/>
      <c r="V73" s="152"/>
      <c r="W73" s="168"/>
      <c r="X73" s="215"/>
      <c r="Y73" s="215"/>
      <c r="Z73" s="223"/>
      <c r="AA73" s="223"/>
      <c r="AB73" s="224"/>
      <c r="AC73" s="224"/>
      <c r="AI73" s="210"/>
      <c r="AJ73" s="175"/>
    </row>
    <row r="74" spans="1:44" s="101" customFormat="1" ht="12" customHeight="1" x14ac:dyDescent="0.2">
      <c r="A74" s="138"/>
      <c r="B74" s="428"/>
      <c r="C74" s="428"/>
      <c r="D74" s="428"/>
      <c r="E74" s="428"/>
      <c r="F74" s="428"/>
      <c r="G74" s="428"/>
      <c r="H74" s="428"/>
      <c r="I74" s="115"/>
      <c r="J74" s="115"/>
      <c r="K74" s="62"/>
      <c r="L74" s="62"/>
      <c r="M74" s="62"/>
      <c r="N74" s="62"/>
      <c r="O74" s="62"/>
      <c r="P74" s="434"/>
      <c r="Q74" s="434"/>
      <c r="R74" s="177"/>
      <c r="S74" s="177"/>
      <c r="T74" s="433"/>
      <c r="U74" s="139"/>
      <c r="V74" s="154"/>
      <c r="W74" s="170"/>
      <c r="X74" s="215"/>
      <c r="Y74" s="215"/>
      <c r="Z74" s="223"/>
      <c r="AA74" s="223"/>
      <c r="AB74" s="224"/>
      <c r="AC74" s="224"/>
      <c r="AD74" s="226"/>
      <c r="AE74" s="217"/>
      <c r="AF74" s="217"/>
      <c r="AG74" s="217"/>
      <c r="AH74" s="217"/>
      <c r="AI74" s="232"/>
      <c r="AJ74" s="178"/>
    </row>
    <row r="75" spans="1:44" s="101" customFormat="1" ht="24" customHeight="1" x14ac:dyDescent="0.2">
      <c r="A75" s="138"/>
      <c r="B75" s="428"/>
      <c r="C75" s="428"/>
      <c r="D75" s="428"/>
      <c r="E75" s="428"/>
      <c r="F75" s="428"/>
      <c r="G75" s="428"/>
      <c r="H75" s="428"/>
      <c r="I75" s="115"/>
      <c r="J75" s="115"/>
      <c r="K75" s="186"/>
      <c r="L75" s="186"/>
      <c r="M75" s="186"/>
      <c r="N75" s="186"/>
      <c r="O75" s="186"/>
      <c r="P75" s="186"/>
      <c r="Q75" s="187"/>
      <c r="R75" s="177"/>
      <c r="S75" s="177"/>
      <c r="T75" s="186"/>
      <c r="U75" s="139"/>
      <c r="V75" s="154"/>
      <c r="W75" s="170"/>
      <c r="X75" s="869"/>
      <c r="Y75" s="404" t="s">
        <v>133</v>
      </c>
      <c r="Z75" s="404" t="s">
        <v>134</v>
      </c>
      <c r="AA75" s="223"/>
      <c r="AB75" s="224"/>
      <c r="AC75" s="224"/>
      <c r="AD75" s="226"/>
      <c r="AE75" s="217"/>
      <c r="AF75" s="217"/>
      <c r="AG75" s="217"/>
      <c r="AH75" s="217"/>
      <c r="AI75" s="232"/>
      <c r="AJ75" s="178"/>
    </row>
    <row r="76" spans="1:44" s="101" customFormat="1" ht="12.75" customHeight="1" x14ac:dyDescent="0.2">
      <c r="A76" s="138"/>
      <c r="B76" s="428"/>
      <c r="C76" s="428"/>
      <c r="D76" s="428"/>
      <c r="E76" s="428"/>
      <c r="F76" s="428"/>
      <c r="G76" s="428"/>
      <c r="H76" s="428"/>
      <c r="I76" s="115"/>
      <c r="J76" s="115"/>
      <c r="K76" s="186"/>
      <c r="L76" s="186"/>
      <c r="M76" s="186"/>
      <c r="N76" s="186"/>
      <c r="O76" s="186"/>
      <c r="P76" s="186"/>
      <c r="Q76" s="187"/>
      <c r="R76" s="177"/>
      <c r="S76" s="177"/>
      <c r="T76" s="186"/>
      <c r="U76" s="139"/>
      <c r="V76" s="154"/>
      <c r="W76" s="170"/>
      <c r="X76" s="633" t="str">
        <f>B9</f>
        <v>Bracknell Forest</v>
      </c>
      <c r="Y76" s="406" t="e">
        <f>IF(X76=$Y$4,I9,#N/A)</f>
        <v>#N/A</v>
      </c>
      <c r="Z76" s="406" t="e">
        <f>IF(X76=$Y$4,T9,#N/A)</f>
        <v>#N/A</v>
      </c>
      <c r="AA76" s="223"/>
      <c r="AB76" s="224"/>
      <c r="AC76" s="224"/>
      <c r="AD76" s="226"/>
      <c r="AE76" s="217"/>
      <c r="AF76" s="217"/>
      <c r="AG76" s="217"/>
      <c r="AH76" s="217"/>
      <c r="AI76" s="232"/>
      <c r="AJ76" s="178"/>
    </row>
    <row r="77" spans="1:44" s="101" customFormat="1" ht="12.75" customHeight="1" x14ac:dyDescent="0.2">
      <c r="A77" s="138"/>
      <c r="B77" s="428"/>
      <c r="C77" s="428"/>
      <c r="D77" s="428"/>
      <c r="E77" s="428"/>
      <c r="F77" s="428"/>
      <c r="G77" s="428"/>
      <c r="H77" s="428"/>
      <c r="I77" s="115"/>
      <c r="J77" s="115"/>
      <c r="K77" s="186"/>
      <c r="L77" s="186"/>
      <c r="M77" s="186"/>
      <c r="N77" s="186"/>
      <c r="O77" s="186"/>
      <c r="P77" s="186"/>
      <c r="Q77" s="187"/>
      <c r="R77" s="177"/>
      <c r="S77" s="177"/>
      <c r="T77" s="186"/>
      <c r="U77" s="139"/>
      <c r="V77" s="154"/>
      <c r="W77" s="170"/>
      <c r="X77" s="633" t="str">
        <f t="shared" ref="X77:X97" si="14">B10</f>
        <v>Brighton &amp; Hove</v>
      </c>
      <c r="Y77" s="406" t="e">
        <f t="shared" ref="Y77:Y99" si="15">IF(X77=$Y$4,I10,#N/A)</f>
        <v>#N/A</v>
      </c>
      <c r="Z77" s="406" t="e">
        <f t="shared" ref="Z77:Z99" si="16">IF(X77=$Y$4,T10,#N/A)</f>
        <v>#N/A</v>
      </c>
      <c r="AA77" s="223"/>
      <c r="AB77" s="224"/>
      <c r="AC77" s="224"/>
      <c r="AD77" s="226"/>
      <c r="AE77" s="217"/>
      <c r="AF77" s="217"/>
      <c r="AG77" s="217"/>
      <c r="AH77" s="217"/>
      <c r="AI77" s="232"/>
      <c r="AJ77" s="178"/>
    </row>
    <row r="78" spans="1:44" s="101" customFormat="1" ht="12.75" customHeight="1" x14ac:dyDescent="0.2">
      <c r="A78" s="138"/>
      <c r="B78" s="428"/>
      <c r="C78" s="428"/>
      <c r="D78" s="428"/>
      <c r="E78" s="428"/>
      <c r="F78" s="428"/>
      <c r="G78" s="428"/>
      <c r="H78" s="428"/>
      <c r="I78" s="115"/>
      <c r="J78" s="115"/>
      <c r="K78" s="186"/>
      <c r="L78" s="186"/>
      <c r="M78" s="186"/>
      <c r="N78" s="186"/>
      <c r="O78" s="186"/>
      <c r="P78" s="186"/>
      <c r="Q78" s="187"/>
      <c r="R78" s="177"/>
      <c r="S78" s="177"/>
      <c r="T78" s="186"/>
      <c r="U78" s="139"/>
      <c r="V78" s="154"/>
      <c r="W78" s="170"/>
      <c r="X78" s="633" t="str">
        <f t="shared" si="14"/>
        <v>Buckinghamshire</v>
      </c>
      <c r="Y78" s="406" t="e">
        <f t="shared" si="15"/>
        <v>#N/A</v>
      </c>
      <c r="Z78" s="406" t="e">
        <f t="shared" si="16"/>
        <v>#N/A</v>
      </c>
      <c r="AA78" s="223"/>
      <c r="AB78" s="224"/>
      <c r="AC78" s="224"/>
      <c r="AD78" s="226"/>
      <c r="AE78" s="217"/>
      <c r="AF78" s="217"/>
      <c r="AG78" s="217"/>
      <c r="AH78" s="217"/>
      <c r="AI78" s="232"/>
      <c r="AJ78" s="178"/>
    </row>
    <row r="79" spans="1:44" s="101" customFormat="1" ht="12.75" customHeight="1" x14ac:dyDescent="0.2">
      <c r="A79" s="138"/>
      <c r="B79" s="428"/>
      <c r="C79" s="428"/>
      <c r="D79" s="428"/>
      <c r="E79" s="428"/>
      <c r="F79" s="428"/>
      <c r="G79" s="428"/>
      <c r="H79" s="428"/>
      <c r="I79" s="115"/>
      <c r="J79" s="115"/>
      <c r="K79" s="186"/>
      <c r="L79" s="186"/>
      <c r="M79" s="186"/>
      <c r="N79" s="186"/>
      <c r="O79" s="186"/>
      <c r="P79" s="186"/>
      <c r="Q79" s="187"/>
      <c r="R79" s="177"/>
      <c r="S79" s="177"/>
      <c r="T79" s="186"/>
      <c r="U79" s="139"/>
      <c r="V79" s="154"/>
      <c r="W79" s="170"/>
      <c r="X79" s="633" t="str">
        <f t="shared" si="14"/>
        <v>East Sussex</v>
      </c>
      <c r="Y79" s="406" t="e">
        <f t="shared" si="15"/>
        <v>#N/A</v>
      </c>
      <c r="Z79" s="406" t="e">
        <f t="shared" si="16"/>
        <v>#N/A</v>
      </c>
      <c r="AA79" s="223"/>
      <c r="AB79" s="224"/>
      <c r="AC79" s="224"/>
      <c r="AD79" s="226"/>
      <c r="AE79" s="217"/>
      <c r="AF79" s="217"/>
      <c r="AG79" s="217"/>
      <c r="AH79" s="217"/>
      <c r="AI79" s="232"/>
      <c r="AJ79" s="178"/>
    </row>
    <row r="80" spans="1:44" s="101" customFormat="1" ht="12.75" customHeight="1" x14ac:dyDescent="0.2">
      <c r="A80" s="138"/>
      <c r="B80" s="428"/>
      <c r="C80" s="428"/>
      <c r="D80" s="428"/>
      <c r="E80" s="428"/>
      <c r="F80" s="428"/>
      <c r="G80" s="428"/>
      <c r="H80" s="428"/>
      <c r="I80" s="115"/>
      <c r="J80" s="115"/>
      <c r="K80" s="186"/>
      <c r="L80" s="186"/>
      <c r="M80" s="186"/>
      <c r="N80" s="186"/>
      <c r="O80" s="186"/>
      <c r="P80" s="186"/>
      <c r="Q80" s="187"/>
      <c r="R80" s="177"/>
      <c r="S80" s="177"/>
      <c r="T80" s="186"/>
      <c r="U80" s="139"/>
      <c r="V80" s="154"/>
      <c r="W80" s="170"/>
      <c r="X80" s="633" t="str">
        <f t="shared" si="14"/>
        <v>Hampshire</v>
      </c>
      <c r="Y80" s="406" t="e">
        <f t="shared" si="15"/>
        <v>#N/A</v>
      </c>
      <c r="Z80" s="406" t="e">
        <f t="shared" si="16"/>
        <v>#N/A</v>
      </c>
      <c r="AA80" s="223"/>
      <c r="AB80" s="224"/>
      <c r="AC80" s="224"/>
      <c r="AD80" s="226"/>
      <c r="AE80" s="217"/>
      <c r="AF80" s="217"/>
      <c r="AG80" s="217"/>
      <c r="AH80" s="217"/>
      <c r="AI80" s="232"/>
      <c r="AJ80" s="178"/>
      <c r="AR80" s="101" t="s">
        <v>104</v>
      </c>
    </row>
    <row r="81" spans="1:36" s="101" customFormat="1" ht="12.75" customHeight="1" x14ac:dyDescent="0.2">
      <c r="A81" s="138"/>
      <c r="B81" s="428"/>
      <c r="C81" s="428"/>
      <c r="D81" s="428"/>
      <c r="E81" s="428"/>
      <c r="F81" s="428"/>
      <c r="G81" s="428"/>
      <c r="H81" s="428"/>
      <c r="I81" s="115"/>
      <c r="J81" s="115"/>
      <c r="K81" s="186"/>
      <c r="L81" s="186"/>
      <c r="M81" s="186"/>
      <c r="N81" s="186"/>
      <c r="O81" s="186"/>
      <c r="P81" s="186"/>
      <c r="Q81" s="187"/>
      <c r="R81" s="177"/>
      <c r="S81" s="177"/>
      <c r="T81" s="186"/>
      <c r="U81" s="139"/>
      <c r="V81" s="154"/>
      <c r="W81" s="170"/>
      <c r="X81" s="633" t="str">
        <f t="shared" si="14"/>
        <v>Isle of Wight</v>
      </c>
      <c r="Y81" s="406" t="e">
        <f t="shared" si="15"/>
        <v>#N/A</v>
      </c>
      <c r="Z81" s="406" t="e">
        <f t="shared" si="16"/>
        <v>#N/A</v>
      </c>
      <c r="AA81" s="223"/>
      <c r="AB81" s="224"/>
      <c r="AC81" s="224"/>
      <c r="AD81" s="226"/>
      <c r="AE81" s="217"/>
      <c r="AF81" s="217"/>
      <c r="AG81" s="217"/>
      <c r="AH81" s="217"/>
      <c r="AI81" s="232"/>
      <c r="AJ81" s="178"/>
    </row>
    <row r="82" spans="1:36" s="101" customFormat="1" ht="12.75" customHeight="1" x14ac:dyDescent="0.2">
      <c r="A82" s="138"/>
      <c r="B82" s="428"/>
      <c r="C82" s="428"/>
      <c r="D82" s="428"/>
      <c r="E82" s="428"/>
      <c r="F82" s="428"/>
      <c r="G82" s="428"/>
      <c r="H82" s="428"/>
      <c r="I82" s="115"/>
      <c r="J82" s="115"/>
      <c r="K82" s="186"/>
      <c r="L82" s="186"/>
      <c r="M82" s="186"/>
      <c r="N82" s="186"/>
      <c r="O82" s="186"/>
      <c r="P82" s="186"/>
      <c r="Q82" s="187"/>
      <c r="R82" s="177"/>
      <c r="S82" s="177"/>
      <c r="T82" s="186"/>
      <c r="U82" s="139"/>
      <c r="V82" s="154"/>
      <c r="W82" s="170"/>
      <c r="X82" s="633" t="str">
        <f t="shared" si="14"/>
        <v>Kent</v>
      </c>
      <c r="Y82" s="406" t="e">
        <f t="shared" si="15"/>
        <v>#N/A</v>
      </c>
      <c r="Z82" s="406" t="e">
        <f t="shared" si="16"/>
        <v>#N/A</v>
      </c>
      <c r="AA82" s="223"/>
      <c r="AB82" s="224"/>
      <c r="AC82" s="224"/>
      <c r="AD82" s="226"/>
      <c r="AE82" s="217"/>
      <c r="AF82" s="217"/>
      <c r="AG82" s="217"/>
      <c r="AH82" s="217"/>
      <c r="AI82" s="232"/>
      <c r="AJ82" s="178"/>
    </row>
    <row r="83" spans="1:36" s="101" customFormat="1" ht="12.75" customHeight="1" x14ac:dyDescent="0.2">
      <c r="A83" s="138"/>
      <c r="B83" s="428"/>
      <c r="C83" s="428"/>
      <c r="D83" s="428"/>
      <c r="E83" s="428"/>
      <c r="F83" s="428"/>
      <c r="G83" s="428"/>
      <c r="H83" s="428"/>
      <c r="I83" s="115"/>
      <c r="J83" s="115"/>
      <c r="K83" s="186"/>
      <c r="L83" s="186"/>
      <c r="M83" s="186"/>
      <c r="N83" s="186"/>
      <c r="O83" s="186"/>
      <c r="P83" s="186"/>
      <c r="Q83" s="187"/>
      <c r="R83" s="177"/>
      <c r="S83" s="177"/>
      <c r="T83" s="186"/>
      <c r="U83" s="139"/>
      <c r="V83" s="154"/>
      <c r="W83" s="170"/>
      <c r="X83" s="633" t="str">
        <f t="shared" si="14"/>
        <v>Medway</v>
      </c>
      <c r="Y83" s="406" t="e">
        <f t="shared" si="15"/>
        <v>#N/A</v>
      </c>
      <c r="Z83" s="406" t="e">
        <f t="shared" si="16"/>
        <v>#N/A</v>
      </c>
      <c r="AA83" s="223"/>
      <c r="AB83" s="224"/>
      <c r="AC83" s="224"/>
      <c r="AD83" s="226"/>
      <c r="AE83" s="217"/>
      <c r="AF83" s="217"/>
      <c r="AG83" s="217"/>
      <c r="AH83" s="217"/>
      <c r="AI83" s="232"/>
      <c r="AJ83" s="178"/>
    </row>
    <row r="84" spans="1:36" s="101" customFormat="1" ht="12.75" customHeight="1" x14ac:dyDescent="0.2">
      <c r="A84" s="138"/>
      <c r="B84" s="428"/>
      <c r="C84" s="428"/>
      <c r="D84" s="428"/>
      <c r="E84" s="428"/>
      <c r="F84" s="428"/>
      <c r="G84" s="428"/>
      <c r="H84" s="428"/>
      <c r="I84" s="115"/>
      <c r="J84" s="115"/>
      <c r="K84" s="186"/>
      <c r="L84" s="186"/>
      <c r="M84" s="186"/>
      <c r="N84" s="186"/>
      <c r="O84" s="186"/>
      <c r="P84" s="186"/>
      <c r="Q84" s="187"/>
      <c r="R84" s="177"/>
      <c r="S84" s="177"/>
      <c r="T84" s="186"/>
      <c r="U84" s="139"/>
      <c r="V84" s="154"/>
      <c r="W84" s="170"/>
      <c r="X84" s="633" t="str">
        <f t="shared" si="14"/>
        <v>Milton Keynes</v>
      </c>
      <c r="Y84" s="406" t="e">
        <f t="shared" si="15"/>
        <v>#N/A</v>
      </c>
      <c r="Z84" s="406" t="e">
        <f t="shared" si="16"/>
        <v>#N/A</v>
      </c>
      <c r="AA84" s="223"/>
      <c r="AB84" s="224"/>
      <c r="AC84" s="224"/>
      <c r="AD84" s="226"/>
      <c r="AE84" s="217"/>
      <c r="AF84" s="217"/>
      <c r="AG84" s="217"/>
      <c r="AH84" s="217"/>
      <c r="AI84" s="232"/>
      <c r="AJ84" s="178"/>
    </row>
    <row r="85" spans="1:36" s="101" customFormat="1" ht="12.75" customHeight="1" x14ac:dyDescent="0.2">
      <c r="A85" s="138"/>
      <c r="B85" s="428"/>
      <c r="C85" s="428"/>
      <c r="D85" s="428"/>
      <c r="E85" s="428"/>
      <c r="F85" s="428"/>
      <c r="G85" s="428"/>
      <c r="H85" s="428"/>
      <c r="I85" s="115"/>
      <c r="J85" s="115"/>
      <c r="K85" s="186"/>
      <c r="L85" s="186"/>
      <c r="M85" s="186"/>
      <c r="N85" s="186"/>
      <c r="O85" s="186"/>
      <c r="P85" s="186"/>
      <c r="Q85" s="187"/>
      <c r="R85" s="177"/>
      <c r="S85" s="177"/>
      <c r="T85" s="186"/>
      <c r="U85" s="139"/>
      <c r="V85" s="154"/>
      <c r="W85" s="170"/>
      <c r="X85" s="633" t="str">
        <f t="shared" si="14"/>
        <v>Oxfordshire</v>
      </c>
      <c r="Y85" s="406" t="e">
        <f t="shared" si="15"/>
        <v>#N/A</v>
      </c>
      <c r="Z85" s="406" t="e">
        <f t="shared" si="16"/>
        <v>#N/A</v>
      </c>
      <c r="AA85" s="223"/>
      <c r="AB85" s="224"/>
      <c r="AC85" s="224"/>
      <c r="AD85" s="226"/>
      <c r="AE85" s="217"/>
      <c r="AF85" s="217"/>
      <c r="AG85" s="217"/>
      <c r="AH85" s="217"/>
      <c r="AI85" s="232"/>
      <c r="AJ85" s="178"/>
    </row>
    <row r="86" spans="1:36" s="101" customFormat="1" ht="12.75" customHeight="1" x14ac:dyDescent="0.2">
      <c r="A86" s="138"/>
      <c r="B86" s="428"/>
      <c r="C86" s="428"/>
      <c r="D86" s="428"/>
      <c r="E86" s="428"/>
      <c r="F86" s="428"/>
      <c r="G86" s="428"/>
      <c r="H86" s="428"/>
      <c r="I86" s="115"/>
      <c r="J86" s="115"/>
      <c r="K86" s="186"/>
      <c r="L86" s="186"/>
      <c r="M86" s="186"/>
      <c r="N86" s="186"/>
      <c r="O86" s="186"/>
      <c r="P86" s="186"/>
      <c r="Q86" s="187"/>
      <c r="R86" s="177"/>
      <c r="S86" s="177"/>
      <c r="T86" s="186"/>
      <c r="U86" s="139"/>
      <c r="V86" s="154"/>
      <c r="W86" s="170"/>
      <c r="X86" s="633" t="str">
        <f t="shared" si="14"/>
        <v>Portsmouth</v>
      </c>
      <c r="Y86" s="406" t="e">
        <f t="shared" si="15"/>
        <v>#N/A</v>
      </c>
      <c r="Z86" s="406" t="e">
        <f t="shared" si="16"/>
        <v>#N/A</v>
      </c>
      <c r="AA86" s="223"/>
      <c r="AB86" s="224"/>
      <c r="AC86" s="224"/>
      <c r="AD86" s="226"/>
      <c r="AE86" s="217"/>
      <c r="AF86" s="217"/>
      <c r="AG86" s="217"/>
      <c r="AH86" s="217"/>
      <c r="AI86" s="232"/>
      <c r="AJ86" s="178"/>
    </row>
    <row r="87" spans="1:36" s="101" customFormat="1" ht="12.75" customHeight="1" x14ac:dyDescent="0.2">
      <c r="A87" s="138"/>
      <c r="B87" s="428"/>
      <c r="C87" s="428"/>
      <c r="D87" s="428"/>
      <c r="E87" s="428"/>
      <c r="F87" s="428"/>
      <c r="G87" s="428"/>
      <c r="H87" s="428"/>
      <c r="I87" s="115"/>
      <c r="J87" s="115"/>
      <c r="K87" s="186"/>
      <c r="L87" s="186"/>
      <c r="M87" s="186"/>
      <c r="N87" s="186"/>
      <c r="O87" s="186"/>
      <c r="P87" s="186"/>
      <c r="Q87" s="187"/>
      <c r="R87" s="177"/>
      <c r="S87" s="177"/>
      <c r="T87" s="186"/>
      <c r="U87" s="139"/>
      <c r="V87" s="154"/>
      <c r="W87" s="170"/>
      <c r="X87" s="633" t="str">
        <f t="shared" si="14"/>
        <v>Reading</v>
      </c>
      <c r="Y87" s="406" t="e">
        <f t="shared" si="15"/>
        <v>#N/A</v>
      </c>
      <c r="Z87" s="406" t="e">
        <f t="shared" si="16"/>
        <v>#N/A</v>
      </c>
      <c r="AA87" s="223"/>
      <c r="AB87" s="224"/>
      <c r="AC87" s="224"/>
      <c r="AD87" s="226"/>
      <c r="AE87" s="217"/>
      <c r="AF87" s="217"/>
      <c r="AG87" s="217"/>
      <c r="AH87" s="217"/>
      <c r="AI87" s="232"/>
      <c r="AJ87" s="178"/>
    </row>
    <row r="88" spans="1:36" s="101" customFormat="1" ht="12.75" customHeight="1" x14ac:dyDescent="0.2">
      <c r="A88" s="138"/>
      <c r="B88" s="428"/>
      <c r="C88" s="428"/>
      <c r="D88" s="428"/>
      <c r="E88" s="428"/>
      <c r="F88" s="428"/>
      <c r="G88" s="428"/>
      <c r="H88" s="428"/>
      <c r="I88" s="115"/>
      <c r="J88" s="115"/>
      <c r="K88" s="186"/>
      <c r="L88" s="186"/>
      <c r="M88" s="186"/>
      <c r="N88" s="186"/>
      <c r="O88" s="186"/>
      <c r="P88" s="186"/>
      <c r="Q88" s="187"/>
      <c r="R88" s="177"/>
      <c r="S88" s="177"/>
      <c r="T88" s="186"/>
      <c r="U88" s="139"/>
      <c r="V88" s="154"/>
      <c r="W88" s="170"/>
      <c r="X88" s="633" t="str">
        <f t="shared" si="14"/>
        <v>Slough</v>
      </c>
      <c r="Y88" s="406" t="e">
        <f t="shared" si="15"/>
        <v>#N/A</v>
      </c>
      <c r="Z88" s="406" t="e">
        <f t="shared" si="16"/>
        <v>#N/A</v>
      </c>
      <c r="AA88" s="223"/>
      <c r="AB88" s="224"/>
      <c r="AC88" s="224"/>
      <c r="AD88" s="226"/>
      <c r="AE88" s="217"/>
      <c r="AF88" s="217"/>
      <c r="AG88" s="217"/>
      <c r="AH88" s="217"/>
      <c r="AI88" s="232"/>
      <c r="AJ88" s="178"/>
    </row>
    <row r="89" spans="1:36" s="101" customFormat="1" ht="12.75" customHeight="1" x14ac:dyDescent="0.2">
      <c r="A89" s="138"/>
      <c r="B89" s="428"/>
      <c r="C89" s="428"/>
      <c r="D89" s="428"/>
      <c r="E89" s="428"/>
      <c r="F89" s="428"/>
      <c r="G89" s="428"/>
      <c r="H89" s="428"/>
      <c r="I89" s="115"/>
      <c r="J89" s="115"/>
      <c r="K89" s="186"/>
      <c r="L89" s="186"/>
      <c r="M89" s="186"/>
      <c r="N89" s="186"/>
      <c r="O89" s="186"/>
      <c r="P89" s="186"/>
      <c r="Q89" s="187"/>
      <c r="R89" s="177"/>
      <c r="S89" s="177"/>
      <c r="T89" s="186"/>
      <c r="U89" s="139"/>
      <c r="V89" s="154"/>
      <c r="W89" s="170"/>
      <c r="X89" s="633" t="str">
        <f t="shared" si="14"/>
        <v>Somerset</v>
      </c>
      <c r="Y89" s="406" t="e">
        <f t="shared" si="15"/>
        <v>#N/A</v>
      </c>
      <c r="Z89" s="406" t="e">
        <f t="shared" si="16"/>
        <v>#N/A</v>
      </c>
      <c r="AA89" s="223"/>
      <c r="AB89" s="224"/>
      <c r="AC89" s="224"/>
      <c r="AD89" s="226"/>
      <c r="AE89" s="217"/>
      <c r="AF89" s="217"/>
      <c r="AG89" s="217"/>
      <c r="AH89" s="217"/>
      <c r="AI89" s="232"/>
      <c r="AJ89" s="178"/>
    </row>
    <row r="90" spans="1:36" s="101" customFormat="1" ht="12.75" customHeight="1" x14ac:dyDescent="0.2">
      <c r="A90" s="138"/>
      <c r="B90" s="428"/>
      <c r="C90" s="428"/>
      <c r="D90" s="428"/>
      <c r="E90" s="428"/>
      <c r="F90" s="428"/>
      <c r="G90" s="428"/>
      <c r="H90" s="428"/>
      <c r="I90" s="115"/>
      <c r="J90" s="115"/>
      <c r="K90" s="186"/>
      <c r="L90" s="186"/>
      <c r="M90" s="186"/>
      <c r="N90" s="186"/>
      <c r="O90" s="186"/>
      <c r="P90" s="186"/>
      <c r="Q90" s="187"/>
      <c r="R90" s="177"/>
      <c r="S90" s="177"/>
      <c r="T90" s="186"/>
      <c r="U90" s="139"/>
      <c r="V90" s="154"/>
      <c r="W90" s="170"/>
      <c r="X90" s="633" t="str">
        <f t="shared" si="14"/>
        <v>Southampton</v>
      </c>
      <c r="Y90" s="406" t="e">
        <f t="shared" si="15"/>
        <v>#N/A</v>
      </c>
      <c r="Z90" s="406" t="e">
        <f t="shared" si="16"/>
        <v>#N/A</v>
      </c>
      <c r="AA90" s="223"/>
      <c r="AB90" s="224"/>
      <c r="AC90" s="224"/>
      <c r="AD90" s="226"/>
      <c r="AE90" s="217"/>
      <c r="AF90" s="217"/>
      <c r="AG90" s="217"/>
      <c r="AH90" s="217"/>
      <c r="AI90" s="232"/>
      <c r="AJ90" s="178"/>
    </row>
    <row r="91" spans="1:36" s="101" customFormat="1" ht="12.75" customHeight="1" x14ac:dyDescent="0.2">
      <c r="A91" s="324"/>
      <c r="B91" s="428"/>
      <c r="C91" s="428"/>
      <c r="D91" s="428"/>
      <c r="E91" s="428"/>
      <c r="F91" s="428"/>
      <c r="G91" s="428"/>
      <c r="H91" s="428"/>
      <c r="I91" s="115"/>
      <c r="J91" s="115"/>
      <c r="K91" s="186"/>
      <c r="L91" s="186"/>
      <c r="M91" s="186"/>
      <c r="N91" s="186"/>
      <c r="O91" s="186"/>
      <c r="P91" s="186"/>
      <c r="Q91" s="187"/>
      <c r="R91" s="177"/>
      <c r="S91" s="177"/>
      <c r="T91" s="186"/>
      <c r="U91" s="139"/>
      <c r="V91" s="154"/>
      <c r="W91" s="170"/>
      <c r="X91" s="633" t="str">
        <f t="shared" si="14"/>
        <v>Surrey</v>
      </c>
      <c r="Y91" s="406" t="e">
        <f t="shared" si="15"/>
        <v>#N/A</v>
      </c>
      <c r="Z91" s="406" t="e">
        <f t="shared" si="16"/>
        <v>#N/A</v>
      </c>
      <c r="AA91" s="223"/>
      <c r="AB91" s="224"/>
      <c r="AC91" s="224"/>
      <c r="AD91" s="226"/>
      <c r="AE91" s="217"/>
      <c r="AF91" s="217"/>
      <c r="AG91" s="217"/>
      <c r="AH91" s="217"/>
      <c r="AI91" s="232"/>
      <c r="AJ91" s="178"/>
    </row>
    <row r="92" spans="1:36" s="101" customFormat="1" ht="12.75" customHeight="1" x14ac:dyDescent="0.2">
      <c r="A92" s="324"/>
      <c r="B92" s="428"/>
      <c r="C92" s="428"/>
      <c r="D92" s="428"/>
      <c r="E92" s="428"/>
      <c r="F92" s="428"/>
      <c r="G92" s="428"/>
      <c r="H92" s="428"/>
      <c r="I92" s="115"/>
      <c r="J92" s="115"/>
      <c r="K92" s="186"/>
      <c r="L92" s="186"/>
      <c r="M92" s="186"/>
      <c r="N92" s="186"/>
      <c r="O92" s="186"/>
      <c r="P92" s="186"/>
      <c r="Q92" s="187"/>
      <c r="R92" s="177"/>
      <c r="S92" s="177"/>
      <c r="T92" s="186"/>
      <c r="U92" s="139"/>
      <c r="V92" s="154"/>
      <c r="W92" s="170"/>
      <c r="X92" s="633" t="str">
        <f t="shared" si="14"/>
        <v>Swindon</v>
      </c>
      <c r="Y92" s="406" t="e">
        <f t="shared" si="15"/>
        <v>#N/A</v>
      </c>
      <c r="Z92" s="406" t="e">
        <f t="shared" si="16"/>
        <v>#N/A</v>
      </c>
      <c r="AA92" s="223"/>
      <c r="AB92" s="224"/>
      <c r="AC92" s="224"/>
      <c r="AD92" s="226"/>
      <c r="AE92" s="217"/>
      <c r="AF92" s="217"/>
      <c r="AG92" s="217"/>
      <c r="AH92" s="217"/>
      <c r="AI92" s="232"/>
      <c r="AJ92" s="178"/>
    </row>
    <row r="93" spans="1:36" s="101" customFormat="1" ht="12.75" customHeight="1" x14ac:dyDescent="0.2">
      <c r="A93" s="138"/>
      <c r="B93" s="428"/>
      <c r="C93" s="428"/>
      <c r="D93" s="428"/>
      <c r="E93" s="428"/>
      <c r="F93" s="428"/>
      <c r="G93" s="428"/>
      <c r="H93" s="428"/>
      <c r="I93" s="115"/>
      <c r="J93" s="115"/>
      <c r="K93" s="186"/>
      <c r="L93" s="186"/>
      <c r="M93" s="186"/>
      <c r="N93" s="186"/>
      <c r="O93" s="186"/>
      <c r="P93" s="186"/>
      <c r="Q93" s="187"/>
      <c r="R93" s="177"/>
      <c r="S93" s="177"/>
      <c r="T93" s="186"/>
      <c r="U93" s="139"/>
      <c r="V93" s="154"/>
      <c r="W93" s="170"/>
      <c r="X93" s="633" t="str">
        <f t="shared" si="14"/>
        <v>Torbay</v>
      </c>
      <c r="Y93" s="406" t="e">
        <f t="shared" si="15"/>
        <v>#N/A</v>
      </c>
      <c r="Z93" s="406" t="e">
        <f t="shared" si="16"/>
        <v>#N/A</v>
      </c>
      <c r="AA93" s="223"/>
      <c r="AB93" s="224"/>
      <c r="AC93" s="224"/>
      <c r="AD93" s="226"/>
      <c r="AE93" s="232"/>
      <c r="AF93" s="217"/>
      <c r="AG93" s="217"/>
      <c r="AH93" s="217"/>
      <c r="AI93" s="232"/>
      <c r="AJ93" s="178"/>
    </row>
    <row r="94" spans="1:36" s="101" customFormat="1" ht="12.75" customHeight="1" x14ac:dyDescent="0.2">
      <c r="A94" s="138"/>
      <c r="B94" s="428"/>
      <c r="C94" s="428"/>
      <c r="D94" s="428"/>
      <c r="E94" s="428"/>
      <c r="F94" s="428"/>
      <c r="G94" s="428"/>
      <c r="H94" s="428"/>
      <c r="I94" s="115"/>
      <c r="J94" s="115"/>
      <c r="K94" s="186"/>
      <c r="L94" s="186"/>
      <c r="M94" s="186"/>
      <c r="N94" s="186"/>
      <c r="O94" s="186"/>
      <c r="P94" s="186"/>
      <c r="Q94" s="187"/>
      <c r="R94" s="177"/>
      <c r="S94" s="177"/>
      <c r="T94" s="186"/>
      <c r="U94" s="139"/>
      <c r="V94" s="154"/>
      <c r="W94" s="170"/>
      <c r="X94" s="633" t="str">
        <f t="shared" si="14"/>
        <v>West Berkshire</v>
      </c>
      <c r="Y94" s="406" t="e">
        <f t="shared" si="15"/>
        <v>#N/A</v>
      </c>
      <c r="Z94" s="406" t="e">
        <f t="shared" si="16"/>
        <v>#N/A</v>
      </c>
      <c r="AA94" s="223"/>
      <c r="AB94" s="224"/>
      <c r="AC94" s="224"/>
      <c r="AD94" s="226"/>
      <c r="AE94" s="232"/>
      <c r="AF94" s="217"/>
      <c r="AG94" s="217"/>
      <c r="AH94" s="217"/>
      <c r="AI94" s="232"/>
      <c r="AJ94" s="178"/>
    </row>
    <row r="95" spans="1:36" s="101" customFormat="1" ht="12.75" customHeight="1" x14ac:dyDescent="0.2">
      <c r="A95" s="138"/>
      <c r="B95" s="428"/>
      <c r="C95" s="428"/>
      <c r="D95" s="428"/>
      <c r="E95" s="428"/>
      <c r="F95" s="428"/>
      <c r="G95" s="428"/>
      <c r="H95" s="428"/>
      <c r="I95" s="115"/>
      <c r="J95" s="115"/>
      <c r="K95" s="186"/>
      <c r="L95" s="186"/>
      <c r="M95" s="186"/>
      <c r="N95" s="186"/>
      <c r="O95" s="186"/>
      <c r="P95" s="186"/>
      <c r="Q95" s="187"/>
      <c r="R95" s="177"/>
      <c r="S95" s="177"/>
      <c r="T95" s="186"/>
      <c r="U95" s="139"/>
      <c r="V95" s="154"/>
      <c r="W95" s="170"/>
      <c r="X95" s="633" t="str">
        <f t="shared" si="14"/>
        <v>West Sussex</v>
      </c>
      <c r="Y95" s="406" t="e">
        <f t="shared" si="15"/>
        <v>#N/A</v>
      </c>
      <c r="Z95" s="406" t="e">
        <f t="shared" si="16"/>
        <v>#N/A</v>
      </c>
      <c r="AA95" s="223"/>
      <c r="AB95" s="224"/>
      <c r="AC95" s="224"/>
      <c r="AD95" s="226"/>
      <c r="AE95" s="232"/>
      <c r="AF95" s="232"/>
      <c r="AG95" s="232"/>
      <c r="AH95" s="217"/>
      <c r="AI95" s="232"/>
      <c r="AJ95" s="178"/>
    </row>
    <row r="96" spans="1:36" s="101" customFormat="1" ht="12.75" customHeight="1" x14ac:dyDescent="0.2">
      <c r="A96" s="138"/>
      <c r="B96" s="428"/>
      <c r="C96" s="428"/>
      <c r="D96" s="428"/>
      <c r="E96" s="428"/>
      <c r="F96" s="428"/>
      <c r="G96" s="428"/>
      <c r="H96" s="428"/>
      <c r="I96" s="115"/>
      <c r="J96" s="115"/>
      <c r="K96" s="186"/>
      <c r="L96" s="186"/>
      <c r="M96" s="186"/>
      <c r="N96" s="186"/>
      <c r="O96" s="186"/>
      <c r="P96" s="186"/>
      <c r="Q96" s="187"/>
      <c r="R96" s="177"/>
      <c r="S96" s="177"/>
      <c r="T96" s="186"/>
      <c r="U96" s="139"/>
      <c r="V96" s="154"/>
      <c r="W96" s="170"/>
      <c r="X96" s="633" t="str">
        <f t="shared" si="14"/>
        <v>Windsor &amp; Maidenhead</v>
      </c>
      <c r="Y96" s="406" t="e">
        <f t="shared" si="15"/>
        <v>#N/A</v>
      </c>
      <c r="Z96" s="406" t="e">
        <f t="shared" si="16"/>
        <v>#N/A</v>
      </c>
      <c r="AA96" s="223"/>
      <c r="AB96" s="224"/>
      <c r="AC96" s="224"/>
      <c r="AD96" s="226"/>
      <c r="AE96" s="232"/>
      <c r="AF96" s="232"/>
      <c r="AG96" s="232"/>
      <c r="AH96" s="217"/>
      <c r="AI96" s="232"/>
      <c r="AJ96" s="178"/>
    </row>
    <row r="97" spans="1:45" s="101" customFormat="1" ht="12.75" customHeight="1" x14ac:dyDescent="0.2">
      <c r="A97" s="138"/>
      <c r="B97" s="428"/>
      <c r="C97" s="428"/>
      <c r="D97" s="428"/>
      <c r="E97" s="428"/>
      <c r="F97" s="428"/>
      <c r="G97" s="428"/>
      <c r="H97" s="428"/>
      <c r="I97" s="115"/>
      <c r="J97" s="115"/>
      <c r="K97" s="188"/>
      <c r="L97" s="188"/>
      <c r="M97" s="188"/>
      <c r="N97" s="188"/>
      <c r="O97" s="188"/>
      <c r="P97" s="188"/>
      <c r="Q97" s="189"/>
      <c r="R97" s="177"/>
      <c r="S97" s="177"/>
      <c r="T97" s="190"/>
      <c r="U97" s="139"/>
      <c r="V97" s="154"/>
      <c r="W97" s="170"/>
      <c r="X97" s="633" t="str">
        <f t="shared" si="14"/>
        <v>Wokingham</v>
      </c>
      <c r="Y97" s="406" t="e">
        <f t="shared" si="15"/>
        <v>#N/A</v>
      </c>
      <c r="Z97" s="406" t="e">
        <f t="shared" si="16"/>
        <v>#N/A</v>
      </c>
      <c r="AA97" s="223"/>
      <c r="AB97" s="224"/>
      <c r="AC97" s="224"/>
      <c r="AD97" s="226"/>
      <c r="AE97" s="232"/>
      <c r="AF97" s="232"/>
      <c r="AG97" s="232"/>
      <c r="AH97" s="217"/>
      <c r="AI97" s="232"/>
      <c r="AJ97" s="178"/>
    </row>
    <row r="98" spans="1:45" s="101" customFormat="1" ht="12.75" customHeight="1" x14ac:dyDescent="0.2">
      <c r="A98" s="138"/>
      <c r="B98" s="428"/>
      <c r="C98" s="428"/>
      <c r="D98" s="428"/>
      <c r="E98" s="428"/>
      <c r="F98" s="428"/>
      <c r="G98" s="428"/>
      <c r="H98" s="428"/>
      <c r="I98" s="115"/>
      <c r="J98" s="115"/>
      <c r="K98" s="188"/>
      <c r="L98" s="188"/>
      <c r="M98" s="188"/>
      <c r="N98" s="188"/>
      <c r="O98" s="188"/>
      <c r="P98" s="188"/>
      <c r="Q98" s="189"/>
      <c r="R98" s="177"/>
      <c r="S98" s="177"/>
      <c r="T98" s="190"/>
      <c r="U98" s="139"/>
      <c r="V98" s="154"/>
      <c r="W98" s="170"/>
      <c r="X98" s="633" t="str">
        <f>B31</f>
        <v>South East</v>
      </c>
      <c r="Y98" s="406" t="e">
        <f t="shared" si="15"/>
        <v>#N/A</v>
      </c>
      <c r="Z98" s="406" t="e">
        <f t="shared" si="16"/>
        <v>#N/A</v>
      </c>
      <c r="AA98" s="223"/>
      <c r="AB98" s="224"/>
      <c r="AC98" s="224"/>
      <c r="AD98" s="226"/>
      <c r="AE98" s="232"/>
      <c r="AF98" s="232"/>
      <c r="AG98" s="232"/>
      <c r="AH98" s="217"/>
      <c r="AI98" s="232"/>
      <c r="AJ98" s="178"/>
    </row>
    <row r="99" spans="1:45" s="101" customFormat="1" ht="11.25" customHeight="1" x14ac:dyDescent="0.2">
      <c r="A99" s="324"/>
      <c r="B99" s="428"/>
      <c r="C99" s="428"/>
      <c r="D99" s="428"/>
      <c r="E99" s="428"/>
      <c r="F99" s="428"/>
      <c r="G99" s="428"/>
      <c r="H99" s="428"/>
      <c r="I99" s="115"/>
      <c r="J99" s="115"/>
      <c r="K99" s="188"/>
      <c r="L99" s="188"/>
      <c r="M99" s="188"/>
      <c r="N99" s="188"/>
      <c r="O99" s="188"/>
      <c r="P99" s="188"/>
      <c r="Q99" s="189"/>
      <c r="R99" s="177"/>
      <c r="S99" s="177"/>
      <c r="T99" s="190"/>
      <c r="U99" s="139"/>
      <c r="V99" s="154"/>
      <c r="W99" s="170"/>
      <c r="X99" s="633" t="str">
        <f>B32</f>
        <v>England</v>
      </c>
      <c r="Y99" s="406" t="e">
        <f t="shared" si="15"/>
        <v>#N/A</v>
      </c>
      <c r="Z99" s="406" t="e">
        <f t="shared" si="16"/>
        <v>#N/A</v>
      </c>
      <c r="AA99" s="223"/>
      <c r="AB99" s="224"/>
      <c r="AC99" s="224"/>
      <c r="AD99" s="226"/>
      <c r="AE99" s="232"/>
      <c r="AF99" s="232"/>
      <c r="AG99" s="232"/>
      <c r="AH99" s="217"/>
      <c r="AI99" s="232"/>
      <c r="AJ99" s="178"/>
    </row>
    <row r="100" spans="1:45" s="88" customFormat="1" ht="42" customHeight="1" x14ac:dyDescent="0.2">
      <c r="A100" s="249"/>
      <c r="B100" s="428"/>
      <c r="C100" s="428"/>
      <c r="D100" s="428"/>
      <c r="E100" s="428"/>
      <c r="F100" s="428"/>
      <c r="G100" s="428"/>
      <c r="H100" s="428"/>
      <c r="I100" s="435"/>
      <c r="J100" s="192"/>
      <c r="K100" s="192"/>
      <c r="L100" s="192"/>
      <c r="M100" s="192"/>
      <c r="N100" s="192"/>
      <c r="O100" s="192"/>
      <c r="P100" s="192"/>
      <c r="Q100" s="151"/>
      <c r="R100" s="192"/>
      <c r="S100" s="192"/>
      <c r="T100" s="192"/>
      <c r="U100" s="134"/>
      <c r="V100" s="152"/>
      <c r="W100" s="168"/>
      <c r="AC100" s="224"/>
      <c r="AD100" s="226"/>
      <c r="AE100" s="210"/>
      <c r="AF100" s="210"/>
      <c r="AG100" s="210"/>
      <c r="AI100" s="210"/>
      <c r="AJ100" s="179"/>
    </row>
    <row r="101" spans="1:45" s="88" customFormat="1" ht="42" customHeight="1" x14ac:dyDescent="0.2">
      <c r="A101" s="249"/>
      <c r="B101" s="428"/>
      <c r="C101" s="428"/>
      <c r="D101" s="428"/>
      <c r="E101" s="428"/>
      <c r="F101" s="428"/>
      <c r="G101" s="428"/>
      <c r="H101" s="428"/>
      <c r="I101" s="435"/>
      <c r="J101" s="192"/>
      <c r="K101" s="192"/>
      <c r="L101" s="192"/>
      <c r="M101" s="192"/>
      <c r="N101" s="192"/>
      <c r="O101" s="192"/>
      <c r="P101" s="192"/>
      <c r="Q101" s="151"/>
      <c r="R101" s="192"/>
      <c r="S101" s="192"/>
      <c r="T101" s="192"/>
      <c r="U101" s="134"/>
      <c r="V101" s="152"/>
      <c r="W101" s="168"/>
      <c r="Y101" s="217"/>
      <c r="AD101" s="226"/>
      <c r="AE101" s="210"/>
      <c r="AF101" s="210"/>
      <c r="AG101" s="210"/>
      <c r="AI101" s="210"/>
      <c r="AJ101" s="179"/>
    </row>
    <row r="102" spans="1:45" s="88" customFormat="1" ht="33" customHeight="1" x14ac:dyDescent="0.2">
      <c r="A102" s="249"/>
      <c r="B102" s="435"/>
      <c r="C102" s="435"/>
      <c r="D102" s="435"/>
      <c r="E102" s="435"/>
      <c r="F102" s="435"/>
      <c r="G102" s="435"/>
      <c r="H102" s="435"/>
      <c r="I102" s="435"/>
      <c r="J102" s="192"/>
      <c r="K102" s="192"/>
      <c r="L102" s="192"/>
      <c r="M102" s="192"/>
      <c r="N102" s="192"/>
      <c r="O102" s="192"/>
      <c r="P102" s="192"/>
      <c r="Q102" s="151"/>
      <c r="R102" s="192"/>
      <c r="S102" s="192"/>
      <c r="T102" s="192"/>
      <c r="U102" s="134"/>
      <c r="V102" s="152"/>
      <c r="W102" s="168"/>
      <c r="Y102" s="217"/>
      <c r="AD102" s="226"/>
      <c r="AE102" s="210"/>
      <c r="AF102" s="210"/>
      <c r="AG102" s="210"/>
      <c r="AI102" s="210"/>
      <c r="AJ102" s="179"/>
    </row>
    <row r="103" spans="1:45" s="88" customFormat="1" ht="7.5" customHeight="1" x14ac:dyDescent="0.2">
      <c r="A103" s="135"/>
      <c r="B103" s="18"/>
      <c r="C103" s="18"/>
      <c r="D103" s="17"/>
      <c r="E103" s="17"/>
      <c r="F103" s="17"/>
      <c r="G103" s="17"/>
      <c r="H103" s="17"/>
      <c r="I103" s="17"/>
      <c r="J103" s="13"/>
      <c r="K103" s="19"/>
      <c r="L103" s="19"/>
      <c r="M103" s="19"/>
      <c r="N103" s="19"/>
      <c r="O103" s="19"/>
      <c r="P103" s="19"/>
      <c r="Q103" s="19"/>
      <c r="R103" s="19"/>
      <c r="S103" s="19"/>
      <c r="T103" s="20"/>
      <c r="U103" s="134"/>
      <c r="V103" s="152"/>
      <c r="W103" s="168"/>
      <c r="Y103" s="217"/>
      <c r="AI103" s="210"/>
      <c r="AJ103" s="175"/>
      <c r="AK103" s="80"/>
      <c r="AL103" s="80"/>
      <c r="AM103" s="80"/>
      <c r="AN103" s="80"/>
      <c r="AO103" s="80"/>
      <c r="AP103" s="80"/>
      <c r="AQ103" s="80"/>
    </row>
    <row r="104" spans="1:45" s="88" customFormat="1" ht="15" customHeight="1" x14ac:dyDescent="0.2">
      <c r="A104" s="1010"/>
      <c r="B104" s="1018"/>
      <c r="C104" s="1018"/>
      <c r="D104" s="1018"/>
      <c r="E104" s="1018"/>
      <c r="F104" s="1018"/>
      <c r="G104" s="1018"/>
      <c r="H104" s="1018"/>
      <c r="I104" s="1018"/>
      <c r="J104" s="1018"/>
      <c r="K104" s="1018"/>
      <c r="L104" s="1018"/>
      <c r="M104" s="1018"/>
      <c r="N104" s="1018"/>
      <c r="O104" s="1018"/>
      <c r="P104" s="1018"/>
      <c r="Q104" s="1018"/>
      <c r="R104" s="1018"/>
      <c r="S104" s="1018"/>
      <c r="T104" s="1018"/>
      <c r="U104" s="1019"/>
      <c r="V104" s="152"/>
      <c r="W104" s="168"/>
      <c r="X104" s="215"/>
      <c r="Y104" s="215"/>
      <c r="AJ104" s="179"/>
      <c r="AS104" s="80"/>
    </row>
    <row r="105" spans="1:45" s="88" customFormat="1" ht="11.25" customHeight="1" x14ac:dyDescent="0.2">
      <c r="A105" s="1020" t="str">
        <f>Home!$A$35</f>
        <v>LA's provide quarterly data on the condition that it is used by the benchmarking group for internal reporting only. Please DO NOT share other LA's data with any external partners or the public</v>
      </c>
      <c r="B105" s="1021"/>
      <c r="C105" s="1021"/>
      <c r="D105" s="1021"/>
      <c r="E105" s="1021"/>
      <c r="F105" s="1021"/>
      <c r="G105" s="1021"/>
      <c r="H105" s="1021"/>
      <c r="I105" s="1022"/>
      <c r="J105" s="1021"/>
      <c r="K105" s="1021"/>
      <c r="L105" s="1021"/>
      <c r="M105" s="1021"/>
      <c r="N105" s="1021"/>
      <c r="O105" s="1021"/>
      <c r="P105" s="1021"/>
      <c r="Q105" s="1021"/>
      <c r="R105" s="1021"/>
      <c r="S105" s="1022"/>
      <c r="T105" s="1021"/>
      <c r="U105" s="1023"/>
      <c r="V105" s="152"/>
      <c r="W105" s="168"/>
      <c r="X105" s="215"/>
      <c r="Y105" s="215"/>
      <c r="AI105" s="210"/>
      <c r="AJ105" s="178"/>
      <c r="AK105" s="101"/>
      <c r="AS105" s="80"/>
    </row>
    <row r="106" spans="1:45" ht="11.25" customHeight="1" x14ac:dyDescent="0.2">
      <c r="A106" s="157"/>
      <c r="B106" s="130"/>
      <c r="C106" s="130"/>
      <c r="D106" s="130"/>
      <c r="E106" s="130"/>
      <c r="F106" s="130"/>
      <c r="G106" s="130"/>
      <c r="H106" s="130"/>
      <c r="I106" s="130"/>
      <c r="J106" s="131"/>
      <c r="K106" s="130"/>
      <c r="L106" s="130"/>
      <c r="M106" s="130"/>
      <c r="N106" s="130"/>
      <c r="O106" s="130"/>
      <c r="P106" s="130"/>
      <c r="Q106" s="130"/>
      <c r="R106" s="130"/>
      <c r="S106" s="130"/>
      <c r="T106" s="130"/>
      <c r="U106" s="130"/>
      <c r="V106" s="152"/>
      <c r="W106" s="168"/>
      <c r="AE106" s="89"/>
      <c r="AH106" s="210"/>
      <c r="AI106" s="210"/>
      <c r="AJ106" s="175"/>
      <c r="AL106" s="88"/>
      <c r="AM106" s="88"/>
      <c r="AN106" s="88"/>
      <c r="AO106" s="88"/>
      <c r="AP106" s="88"/>
      <c r="AQ106" s="88"/>
    </row>
    <row r="107" spans="1:45" ht="11.25" customHeight="1" x14ac:dyDescent="0.2">
      <c r="A107" s="158"/>
      <c r="B107" s="9"/>
      <c r="C107" s="9"/>
      <c r="D107" s="9"/>
      <c r="E107" s="9"/>
      <c r="F107" s="9"/>
      <c r="G107" s="9"/>
      <c r="H107" s="9"/>
      <c r="I107" s="9"/>
      <c r="J107" s="13"/>
      <c r="K107" s="9"/>
      <c r="L107" s="9"/>
      <c r="M107" s="9"/>
      <c r="N107" s="9"/>
      <c r="O107" s="9"/>
      <c r="P107" s="9"/>
      <c r="Q107" s="9"/>
      <c r="R107" s="9"/>
      <c r="S107" s="9"/>
      <c r="T107" s="9"/>
      <c r="U107" s="9"/>
      <c r="V107" s="152"/>
      <c r="W107" s="168"/>
      <c r="AE107" s="89"/>
      <c r="AH107" s="210"/>
      <c r="AI107" s="210"/>
      <c r="AJ107" s="175"/>
      <c r="AL107" s="88"/>
      <c r="AM107" s="88"/>
      <c r="AN107" s="88"/>
      <c r="AO107" s="88"/>
      <c r="AP107" s="88"/>
      <c r="AQ107" s="88"/>
    </row>
    <row r="108" spans="1:45" ht="11.25" customHeight="1" x14ac:dyDescent="0.2">
      <c r="A108" s="158"/>
      <c r="B108" s="1006" t="s">
        <v>82</v>
      </c>
      <c r="C108" s="427"/>
      <c r="D108" s="15"/>
      <c r="E108" s="15"/>
      <c r="F108" s="9"/>
      <c r="G108" s="9"/>
      <c r="H108" s="9"/>
      <c r="I108" s="9"/>
      <c r="J108" s="13"/>
      <c r="K108" s="9"/>
      <c r="L108" s="9"/>
      <c r="M108" s="9"/>
      <c r="N108" s="9"/>
      <c r="O108" s="9"/>
      <c r="P108" s="9"/>
      <c r="Q108" s="9"/>
      <c r="R108" s="9"/>
      <c r="S108" s="9"/>
      <c r="T108" s="9"/>
      <c r="U108" s="9"/>
      <c r="V108" s="152"/>
      <c r="W108" s="168"/>
      <c r="AE108" s="89"/>
      <c r="AH108" s="210"/>
      <c r="AI108" s="210"/>
      <c r="AJ108" s="175"/>
      <c r="AL108" s="88"/>
      <c r="AM108" s="88"/>
      <c r="AN108" s="88"/>
      <c r="AO108" s="88"/>
      <c r="AP108" s="88"/>
      <c r="AQ108" s="88"/>
    </row>
    <row r="109" spans="1:45" ht="11.25" customHeight="1" x14ac:dyDescent="0.2">
      <c r="A109" s="158"/>
      <c r="B109" s="1007"/>
      <c r="C109" s="426"/>
      <c r="D109" s="9"/>
      <c r="E109" s="9"/>
      <c r="F109" s="9"/>
      <c r="G109" s="9"/>
      <c r="H109" s="9"/>
      <c r="I109" s="9"/>
      <c r="J109" s="13"/>
      <c r="K109" s="9"/>
      <c r="L109" s="9"/>
      <c r="M109" s="9"/>
      <c r="N109" s="9"/>
      <c r="O109" s="9"/>
      <c r="P109" s="9"/>
      <c r="Q109" s="9"/>
      <c r="R109" s="9"/>
      <c r="S109" s="9"/>
      <c r="T109" s="9"/>
      <c r="U109" s="9"/>
      <c r="V109" s="152"/>
      <c r="W109" s="168"/>
      <c r="AE109" s="89"/>
      <c r="AH109" s="210"/>
      <c r="AI109" s="210"/>
      <c r="AJ109" s="175"/>
    </row>
    <row r="110" spans="1:45" ht="11.25" customHeight="1" x14ac:dyDescent="0.2">
      <c r="A110" s="158"/>
      <c r="B110" s="973" t="s">
        <v>81</v>
      </c>
      <c r="C110" s="974"/>
      <c r="D110" s="974"/>
      <c r="E110" s="974"/>
      <c r="F110" s="974"/>
      <c r="G110" s="974"/>
      <c r="H110" s="9"/>
      <c r="I110" s="9"/>
      <c r="J110" s="13"/>
      <c r="K110" s="9"/>
      <c r="L110" s="9"/>
      <c r="M110" s="9"/>
      <c r="N110" s="9"/>
      <c r="O110" s="9"/>
      <c r="P110" s="9"/>
      <c r="Q110" s="9"/>
      <c r="R110" s="9"/>
      <c r="S110" s="9"/>
      <c r="T110" s="9"/>
      <c r="U110" s="9"/>
      <c r="V110" s="152"/>
      <c r="W110" s="168"/>
      <c r="AE110" s="89"/>
      <c r="AH110" s="210"/>
      <c r="AI110" s="210"/>
      <c r="AJ110" s="175"/>
    </row>
    <row r="111" spans="1:45" ht="11.25" customHeight="1" x14ac:dyDescent="0.2">
      <c r="A111" s="158"/>
      <c r="B111" s="973"/>
      <c r="C111" s="974"/>
      <c r="D111" s="974"/>
      <c r="E111" s="974"/>
      <c r="F111" s="974"/>
      <c r="G111" s="974"/>
      <c r="H111" s="9"/>
      <c r="I111" s="9"/>
      <c r="J111" s="13"/>
      <c r="K111" s="9"/>
      <c r="L111" s="9"/>
      <c r="M111" s="9"/>
      <c r="N111" s="9"/>
      <c r="O111" s="9"/>
      <c r="P111" s="9"/>
      <c r="Q111" s="9"/>
      <c r="R111" s="9"/>
      <c r="S111" s="9"/>
      <c r="T111" s="9"/>
      <c r="U111" s="9"/>
      <c r="V111" s="152"/>
      <c r="W111" s="168"/>
      <c r="AE111" s="89"/>
      <c r="AH111" s="215"/>
      <c r="AI111" s="215"/>
      <c r="AJ111" s="176"/>
    </row>
    <row r="112" spans="1:45" s="82" customFormat="1" ht="11.25" customHeight="1" x14ac:dyDescent="0.2">
      <c r="A112" s="158"/>
      <c r="B112" s="973" t="s">
        <v>78</v>
      </c>
      <c r="C112" s="975"/>
      <c r="D112" s="975"/>
      <c r="E112" s="975"/>
      <c r="F112" s="975"/>
      <c r="G112" s="975"/>
      <c r="H112" s="15"/>
      <c r="I112" s="15"/>
      <c r="J112" s="15"/>
      <c r="K112" s="15"/>
      <c r="L112" s="15"/>
      <c r="M112" s="15"/>
      <c r="N112" s="15"/>
      <c r="O112" s="15"/>
      <c r="P112" s="15"/>
      <c r="Q112" s="15"/>
      <c r="R112" s="15"/>
      <c r="S112" s="15"/>
      <c r="T112" s="15"/>
      <c r="U112" s="15"/>
      <c r="V112" s="155"/>
      <c r="W112" s="172"/>
      <c r="X112" s="88"/>
      <c r="Y112" s="88"/>
      <c r="Z112" s="88"/>
      <c r="AA112" s="88"/>
      <c r="AB112" s="88"/>
      <c r="AC112" s="88"/>
      <c r="AD112" s="88"/>
      <c r="AE112" s="89"/>
      <c r="AF112" s="88"/>
      <c r="AG112" s="88"/>
      <c r="AH112" s="210"/>
      <c r="AI112" s="210"/>
      <c r="AJ112" s="175"/>
    </row>
    <row r="113" spans="1:37" ht="11.25" customHeight="1" x14ac:dyDescent="0.2">
      <c r="A113" s="158"/>
      <c r="B113" s="973"/>
      <c r="C113" s="975"/>
      <c r="D113" s="975"/>
      <c r="E113" s="975"/>
      <c r="F113" s="975"/>
      <c r="G113" s="975"/>
      <c r="H113" s="9"/>
      <c r="I113" s="9"/>
      <c r="J113" s="13"/>
      <c r="K113" s="9"/>
      <c r="L113" s="9"/>
      <c r="M113" s="9"/>
      <c r="N113" s="9"/>
      <c r="O113" s="9"/>
      <c r="P113" s="9"/>
      <c r="Q113" s="9"/>
      <c r="R113" s="9"/>
      <c r="S113" s="9"/>
      <c r="T113" s="9"/>
      <c r="U113" s="9"/>
      <c r="V113" s="152"/>
      <c r="W113" s="168"/>
      <c r="AE113" s="89"/>
      <c r="AH113" s="210"/>
      <c r="AI113" s="210"/>
      <c r="AJ113" s="175"/>
    </row>
    <row r="114" spans="1:37" ht="11.25" customHeight="1" x14ac:dyDescent="0.2">
      <c r="A114" s="158"/>
      <c r="B114" s="976" t="s">
        <v>18</v>
      </c>
      <c r="C114" s="977"/>
      <c r="D114" s="977"/>
      <c r="E114" s="977"/>
      <c r="F114" s="977"/>
      <c r="G114" s="977"/>
      <c r="H114" s="9"/>
      <c r="I114" s="9"/>
      <c r="J114" s="13"/>
      <c r="K114" s="9"/>
      <c r="L114" s="9"/>
      <c r="M114" s="9"/>
      <c r="N114" s="9"/>
      <c r="O114" s="9"/>
      <c r="P114" s="9"/>
      <c r="Q114" s="9"/>
      <c r="R114" s="9"/>
      <c r="S114" s="9"/>
      <c r="T114" s="9"/>
      <c r="U114" s="9"/>
      <c r="V114" s="152"/>
      <c r="W114" s="168"/>
      <c r="AE114" s="89"/>
      <c r="AH114" s="210"/>
      <c r="AI114" s="210"/>
      <c r="AJ114" s="175"/>
    </row>
    <row r="115" spans="1:37" ht="11.25" customHeight="1" x14ac:dyDescent="0.2">
      <c r="A115" s="158"/>
      <c r="B115" s="976"/>
      <c r="C115" s="977"/>
      <c r="D115" s="977"/>
      <c r="E115" s="977"/>
      <c r="F115" s="977"/>
      <c r="G115" s="977"/>
      <c r="H115" s="9"/>
      <c r="I115" s="9"/>
      <c r="J115" s="13"/>
      <c r="K115" s="9"/>
      <c r="L115" s="9"/>
      <c r="M115" s="9"/>
      <c r="N115" s="9"/>
      <c r="O115" s="9"/>
      <c r="P115" s="9"/>
      <c r="Q115" s="9"/>
      <c r="R115" s="9"/>
      <c r="S115" s="9"/>
      <c r="T115" s="9"/>
      <c r="U115" s="9"/>
      <c r="V115" s="152"/>
      <c r="W115" s="168"/>
      <c r="AE115" s="89"/>
      <c r="AH115" s="210"/>
      <c r="AI115" s="210"/>
      <c r="AJ115" s="175"/>
    </row>
    <row r="116" spans="1:37" ht="11.25" customHeight="1" x14ac:dyDescent="0.2">
      <c r="A116" s="158"/>
      <c r="B116" s="976" t="s">
        <v>210</v>
      </c>
      <c r="C116" s="976"/>
      <c r="D116" s="978"/>
      <c r="E116" s="978"/>
      <c r="F116" s="978"/>
      <c r="G116" s="924"/>
      <c r="H116" s="9"/>
      <c r="I116" s="9"/>
      <c r="J116" s="13"/>
      <c r="K116" s="9"/>
      <c r="L116" s="9"/>
      <c r="M116" s="9"/>
      <c r="N116" s="9"/>
      <c r="O116" s="9"/>
      <c r="P116" s="9"/>
      <c r="Q116" s="9"/>
      <c r="R116" s="9"/>
      <c r="S116" s="9"/>
      <c r="T116" s="9"/>
      <c r="U116" s="11"/>
      <c r="V116" s="281"/>
      <c r="W116" s="168"/>
      <c r="Z116" s="80"/>
      <c r="AA116" s="80"/>
      <c r="AE116" s="89"/>
      <c r="AH116" s="210"/>
      <c r="AI116" s="210"/>
      <c r="AJ116" s="175"/>
      <c r="AK116" s="175"/>
    </row>
    <row r="117" spans="1:37" ht="11.25" customHeight="1" x14ac:dyDescent="0.2">
      <c r="A117" s="158"/>
      <c r="B117" s="976"/>
      <c r="C117" s="976"/>
      <c r="D117" s="978"/>
      <c r="E117" s="978"/>
      <c r="F117" s="978"/>
      <c r="G117" s="924"/>
      <c r="H117" s="9"/>
      <c r="I117" s="9"/>
      <c r="J117" s="13"/>
      <c r="K117" s="9"/>
      <c r="L117" s="9"/>
      <c r="M117" s="9"/>
      <c r="N117" s="9"/>
      <c r="O117" s="9"/>
      <c r="P117" s="9"/>
      <c r="Q117" s="9"/>
      <c r="R117" s="9"/>
      <c r="S117" s="9"/>
      <c r="T117" s="9"/>
      <c r="U117" s="11"/>
      <c r="V117" s="281"/>
      <c r="W117" s="168"/>
      <c r="Z117" s="80"/>
      <c r="AA117" s="80"/>
      <c r="AE117" s="89"/>
      <c r="AH117" s="210"/>
      <c r="AI117" s="210"/>
      <c r="AJ117" s="175"/>
      <c r="AK117" s="175"/>
    </row>
    <row r="118" spans="1:37" ht="11.25" customHeight="1" x14ac:dyDescent="0.2">
      <c r="A118" s="158"/>
      <c r="B118" s="976" t="s">
        <v>211</v>
      </c>
      <c r="C118" s="976"/>
      <c r="D118" s="978"/>
      <c r="E118" s="978"/>
      <c r="F118" s="978"/>
      <c r="G118" s="924"/>
      <c r="H118" s="9"/>
      <c r="I118" s="9"/>
      <c r="J118" s="13"/>
      <c r="K118" s="9"/>
      <c r="L118" s="9"/>
      <c r="M118" s="9"/>
      <c r="N118" s="9"/>
      <c r="O118" s="9"/>
      <c r="P118" s="9"/>
      <c r="Q118" s="9"/>
      <c r="R118" s="9"/>
      <c r="S118" s="9"/>
      <c r="T118" s="9"/>
      <c r="U118" s="11"/>
      <c r="V118" s="281"/>
      <c r="W118" s="168"/>
      <c r="Z118" s="80"/>
      <c r="AA118" s="80"/>
      <c r="AE118" s="89"/>
      <c r="AH118" s="210"/>
      <c r="AI118" s="210"/>
      <c r="AJ118" s="175"/>
      <c r="AK118" s="175"/>
    </row>
    <row r="119" spans="1:37" ht="11.25" customHeight="1" x14ac:dyDescent="0.2">
      <c r="A119" s="158"/>
      <c r="B119" s="976"/>
      <c r="C119" s="976"/>
      <c r="D119" s="978"/>
      <c r="E119" s="978"/>
      <c r="F119" s="978"/>
      <c r="G119" s="924"/>
      <c r="H119" s="9"/>
      <c r="I119" s="9"/>
      <c r="J119" s="13"/>
      <c r="K119" s="9"/>
      <c r="L119" s="9"/>
      <c r="M119" s="9"/>
      <c r="N119" s="9"/>
      <c r="O119" s="9"/>
      <c r="P119" s="9"/>
      <c r="Q119" s="9"/>
      <c r="R119" s="9"/>
      <c r="S119" s="9"/>
      <c r="T119" s="9"/>
      <c r="U119" s="11"/>
      <c r="V119" s="281"/>
      <c r="W119" s="168"/>
      <c r="Z119" s="80"/>
      <c r="AA119" s="80"/>
      <c r="AE119" s="89"/>
      <c r="AH119" s="210"/>
      <c r="AI119" s="210"/>
      <c r="AJ119" s="175"/>
      <c r="AK119" s="175"/>
    </row>
    <row r="120" spans="1:37" ht="11.25" customHeight="1" x14ac:dyDescent="0.2">
      <c r="A120" s="158"/>
      <c r="B120" s="976" t="s">
        <v>212</v>
      </c>
      <c r="C120" s="976"/>
      <c r="D120" s="978"/>
      <c r="E120" s="978"/>
      <c r="F120" s="978"/>
      <c r="G120" s="924"/>
      <c r="H120" s="9"/>
      <c r="I120" s="9"/>
      <c r="J120" s="13"/>
      <c r="K120" s="9"/>
      <c r="L120" s="9"/>
      <c r="M120" s="9"/>
      <c r="N120" s="9"/>
      <c r="O120" s="9"/>
      <c r="P120" s="9"/>
      <c r="Q120" s="9"/>
      <c r="R120" s="9"/>
      <c r="S120" s="9"/>
      <c r="T120" s="9"/>
      <c r="U120" s="11"/>
      <c r="V120" s="281"/>
      <c r="W120" s="168"/>
      <c r="Z120" s="80"/>
      <c r="AA120" s="80"/>
      <c r="AE120" s="89"/>
      <c r="AH120" s="210"/>
      <c r="AI120" s="210"/>
      <c r="AJ120" s="175"/>
      <c r="AK120" s="175"/>
    </row>
    <row r="121" spans="1:37" ht="11.25" customHeight="1" x14ac:dyDescent="0.2">
      <c r="A121" s="158"/>
      <c r="B121" s="976"/>
      <c r="C121" s="976"/>
      <c r="D121" s="978"/>
      <c r="E121" s="978"/>
      <c r="F121" s="978"/>
      <c r="G121" s="924"/>
      <c r="H121" s="9"/>
      <c r="I121" s="9"/>
      <c r="J121" s="13"/>
      <c r="K121" s="9"/>
      <c r="L121" s="9"/>
      <c r="M121" s="9"/>
      <c r="N121" s="9"/>
      <c r="O121" s="9"/>
      <c r="P121" s="9"/>
      <c r="Q121" s="9"/>
      <c r="R121" s="9"/>
      <c r="S121" s="9"/>
      <c r="T121" s="9"/>
      <c r="U121" s="11"/>
      <c r="V121" s="281"/>
      <c r="W121" s="168"/>
      <c r="Z121" s="80"/>
      <c r="AA121" s="80"/>
      <c r="AE121" s="89"/>
      <c r="AH121" s="210"/>
      <c r="AI121" s="210"/>
      <c r="AJ121" s="175"/>
      <c r="AK121" s="175"/>
    </row>
    <row r="122" spans="1:37" ht="11.25" customHeight="1" x14ac:dyDescent="0.2">
      <c r="A122" s="158"/>
      <c r="B122" s="973" t="s">
        <v>80</v>
      </c>
      <c r="C122" s="974"/>
      <c r="D122" s="974"/>
      <c r="E122" s="974"/>
      <c r="F122" s="974"/>
      <c r="G122" s="974"/>
      <c r="H122" s="9"/>
      <c r="I122" s="9"/>
      <c r="J122" s="13"/>
      <c r="K122" s="9"/>
      <c r="L122" s="9"/>
      <c r="M122" s="9"/>
      <c r="N122" s="9"/>
      <c r="O122" s="9"/>
      <c r="P122" s="9"/>
      <c r="Q122" s="9"/>
      <c r="R122" s="9"/>
      <c r="S122" s="9"/>
      <c r="T122" s="9"/>
      <c r="U122" s="9"/>
      <c r="V122" s="152"/>
      <c r="W122" s="168"/>
      <c r="AE122" s="89"/>
      <c r="AH122" s="210"/>
      <c r="AI122" s="210"/>
      <c r="AJ122" s="175"/>
    </row>
    <row r="123" spans="1:37" ht="11.25" customHeight="1" x14ac:dyDescent="0.2">
      <c r="A123" s="158"/>
      <c r="B123" s="973"/>
      <c r="C123" s="974"/>
      <c r="D123" s="974"/>
      <c r="E123" s="974"/>
      <c r="F123" s="974"/>
      <c r="G123" s="974"/>
      <c r="H123" s="9"/>
      <c r="I123" s="9"/>
      <c r="J123" s="13"/>
      <c r="K123" s="9"/>
      <c r="L123" s="9"/>
      <c r="M123" s="9"/>
      <c r="N123" s="9"/>
      <c r="O123" s="9"/>
      <c r="P123" s="9"/>
      <c r="Q123" s="9"/>
      <c r="R123" s="9"/>
      <c r="S123" s="9"/>
      <c r="T123" s="9"/>
      <c r="U123" s="9"/>
      <c r="V123" s="152"/>
      <c r="W123" s="168"/>
      <c r="AE123" s="89"/>
      <c r="AH123" s="210"/>
      <c r="AI123" s="210"/>
      <c r="AJ123" s="175"/>
    </row>
    <row r="124" spans="1:37" ht="11.25" customHeight="1" x14ac:dyDescent="0.2">
      <c r="A124" s="158"/>
      <c r="B124" s="973" t="s">
        <v>69</v>
      </c>
      <c r="C124" s="974"/>
      <c r="D124" s="974"/>
      <c r="E124" s="974"/>
      <c r="F124" s="974"/>
      <c r="G124" s="974"/>
      <c r="H124" s="9"/>
      <c r="I124" s="9"/>
      <c r="J124" s="13"/>
      <c r="K124" s="9"/>
      <c r="L124" s="9"/>
      <c r="M124" s="9"/>
      <c r="N124" s="9"/>
      <c r="O124" s="9"/>
      <c r="P124" s="9"/>
      <c r="Q124" s="9"/>
      <c r="R124" s="9"/>
      <c r="S124" s="9"/>
      <c r="T124" s="9"/>
      <c r="U124" s="9"/>
      <c r="V124" s="152"/>
      <c r="W124" s="168"/>
      <c r="AE124" s="89"/>
      <c r="AH124" s="210"/>
      <c r="AI124" s="210"/>
      <c r="AJ124" s="175"/>
    </row>
    <row r="125" spans="1:37" ht="11.25" customHeight="1" x14ac:dyDescent="0.2">
      <c r="A125" s="158"/>
      <c r="B125" s="973"/>
      <c r="C125" s="974"/>
      <c r="D125" s="974"/>
      <c r="E125" s="974"/>
      <c r="F125" s="974"/>
      <c r="G125" s="974"/>
      <c r="H125" s="9"/>
      <c r="I125" s="9"/>
      <c r="J125" s="13"/>
      <c r="K125" s="9"/>
      <c r="L125" s="9"/>
      <c r="M125" s="9"/>
      <c r="N125" s="9"/>
      <c r="O125" s="9"/>
      <c r="P125" s="9"/>
      <c r="Q125" s="9"/>
      <c r="R125" s="9"/>
      <c r="S125" s="9"/>
      <c r="T125" s="9"/>
      <c r="U125" s="9"/>
      <c r="V125" s="152"/>
      <c r="W125" s="168"/>
      <c r="AE125" s="89"/>
      <c r="AH125" s="210"/>
      <c r="AI125" s="210"/>
      <c r="AJ125" s="175"/>
    </row>
    <row r="126" spans="1:37" ht="11.25" customHeight="1" x14ac:dyDescent="0.2">
      <c r="A126" s="158"/>
      <c r="B126" s="973" t="s">
        <v>25</v>
      </c>
      <c r="C126" s="974"/>
      <c r="D126" s="974"/>
      <c r="E126" s="974"/>
      <c r="F126" s="974"/>
      <c r="G126" s="974"/>
      <c r="H126" s="9"/>
      <c r="I126" s="9"/>
      <c r="J126" s="13"/>
      <c r="K126" s="9"/>
      <c r="L126" s="9"/>
      <c r="M126" s="9"/>
      <c r="N126" s="9"/>
      <c r="O126" s="9"/>
      <c r="P126" s="9"/>
      <c r="Q126" s="9"/>
      <c r="R126" s="9"/>
      <c r="S126" s="9"/>
      <c r="T126" s="9"/>
      <c r="U126" s="9"/>
      <c r="V126" s="152"/>
      <c r="W126" s="168"/>
      <c r="AE126" s="89"/>
      <c r="AH126" s="210"/>
      <c r="AI126" s="210"/>
      <c r="AJ126" s="175"/>
    </row>
    <row r="127" spans="1:37" ht="11.25" customHeight="1" x14ac:dyDescent="0.2">
      <c r="A127" s="158"/>
      <c r="B127" s="973"/>
      <c r="C127" s="974"/>
      <c r="D127" s="974"/>
      <c r="E127" s="974"/>
      <c r="F127" s="974"/>
      <c r="G127" s="974"/>
      <c r="H127" s="9"/>
      <c r="I127" s="9"/>
      <c r="J127" s="13"/>
      <c r="K127" s="9"/>
      <c r="L127" s="9"/>
      <c r="M127" s="9"/>
      <c r="N127" s="9"/>
      <c r="O127" s="9"/>
      <c r="P127" s="9"/>
      <c r="Q127" s="9"/>
      <c r="R127" s="9"/>
      <c r="S127" s="9"/>
      <c r="T127" s="9"/>
      <c r="U127" s="9"/>
      <c r="V127" s="152"/>
      <c r="W127" s="168"/>
      <c r="AE127" s="89"/>
      <c r="AH127" s="210"/>
      <c r="AI127" s="210"/>
      <c r="AJ127" s="175"/>
    </row>
    <row r="128" spans="1:37" ht="11.25" customHeight="1" x14ac:dyDescent="0.2">
      <c r="A128" s="158"/>
      <c r="B128" s="973" t="s">
        <v>23</v>
      </c>
      <c r="C128" s="974"/>
      <c r="D128" s="974"/>
      <c r="E128" s="974"/>
      <c r="F128" s="974"/>
      <c r="G128" s="974"/>
      <c r="H128" s="9"/>
      <c r="I128" s="9"/>
      <c r="J128" s="13"/>
      <c r="K128" s="9"/>
      <c r="L128" s="9"/>
      <c r="M128" s="9"/>
      <c r="N128" s="9"/>
      <c r="O128" s="9"/>
      <c r="P128" s="9"/>
      <c r="Q128" s="9"/>
      <c r="R128" s="9"/>
      <c r="S128" s="9"/>
      <c r="T128" s="9"/>
      <c r="U128" s="9"/>
      <c r="V128" s="152"/>
      <c r="W128" s="168"/>
      <c r="AE128" s="89"/>
      <c r="AH128" s="210"/>
      <c r="AI128" s="210"/>
      <c r="AJ128" s="175"/>
    </row>
    <row r="129" spans="1:36" ht="11.25" customHeight="1" x14ac:dyDescent="0.2">
      <c r="A129" s="158"/>
      <c r="B129" s="973"/>
      <c r="C129" s="974"/>
      <c r="D129" s="974"/>
      <c r="E129" s="974"/>
      <c r="F129" s="974"/>
      <c r="G129" s="974"/>
      <c r="H129" s="9"/>
      <c r="I129" s="9"/>
      <c r="J129" s="13"/>
      <c r="K129" s="9"/>
      <c r="L129" s="9"/>
      <c r="M129" s="9"/>
      <c r="N129" s="9"/>
      <c r="O129" s="9"/>
      <c r="P129" s="9"/>
      <c r="Q129" s="9"/>
      <c r="R129" s="9"/>
      <c r="S129" s="9"/>
      <c r="T129" s="9"/>
      <c r="U129" s="9"/>
      <c r="V129" s="152"/>
      <c r="W129" s="168"/>
      <c r="AE129" s="89"/>
      <c r="AH129" s="210"/>
      <c r="AI129" s="210"/>
      <c r="AJ129" s="175"/>
    </row>
    <row r="130" spans="1:36" ht="11.25" customHeight="1" x14ac:dyDescent="0.2">
      <c r="A130" s="158"/>
      <c r="B130" s="973" t="s">
        <v>26</v>
      </c>
      <c r="C130" s="974"/>
      <c r="D130" s="974"/>
      <c r="E130" s="974"/>
      <c r="F130" s="974"/>
      <c r="G130" s="974"/>
      <c r="H130" s="9"/>
      <c r="I130" s="9"/>
      <c r="J130" s="13"/>
      <c r="K130" s="9"/>
      <c r="L130" s="9"/>
      <c r="M130" s="9"/>
      <c r="N130" s="9"/>
      <c r="O130" s="9"/>
      <c r="P130" s="9"/>
      <c r="Q130" s="9"/>
      <c r="R130" s="9"/>
      <c r="S130" s="9"/>
      <c r="T130" s="9"/>
      <c r="U130" s="9"/>
      <c r="V130" s="152"/>
      <c r="W130" s="168"/>
      <c r="AE130" s="89"/>
      <c r="AH130" s="210"/>
      <c r="AI130" s="210"/>
      <c r="AJ130" s="175"/>
    </row>
    <row r="131" spans="1:36" ht="11.25" customHeight="1" x14ac:dyDescent="0.2">
      <c r="A131" s="158"/>
      <c r="B131" s="973"/>
      <c r="C131" s="974"/>
      <c r="D131" s="974"/>
      <c r="E131" s="974"/>
      <c r="F131" s="974"/>
      <c r="G131" s="974"/>
      <c r="H131" s="9"/>
      <c r="I131" s="9"/>
      <c r="J131" s="13"/>
      <c r="K131" s="9"/>
      <c r="L131" s="9"/>
      <c r="M131" s="9"/>
      <c r="N131" s="9"/>
      <c r="O131" s="9"/>
      <c r="P131" s="9"/>
      <c r="Q131" s="9"/>
      <c r="R131" s="9"/>
      <c r="S131" s="9"/>
      <c r="T131" s="9"/>
      <c r="U131" s="9"/>
      <c r="V131" s="152"/>
      <c r="W131" s="168"/>
      <c r="AE131" s="89"/>
      <c r="AH131" s="210"/>
      <c r="AI131" s="210"/>
      <c r="AJ131" s="175"/>
    </row>
    <row r="132" spans="1:36" ht="11.25" customHeight="1" x14ac:dyDescent="0.2">
      <c r="A132" s="158"/>
      <c r="B132" s="973" t="s">
        <v>19</v>
      </c>
      <c r="C132" s="974"/>
      <c r="D132" s="974"/>
      <c r="E132" s="974"/>
      <c r="F132" s="974"/>
      <c r="G132" s="974"/>
      <c r="H132" s="9"/>
      <c r="I132" s="9"/>
      <c r="J132" s="13"/>
      <c r="K132" s="9"/>
      <c r="L132" s="9"/>
      <c r="M132" s="9"/>
      <c r="N132" s="9"/>
      <c r="O132" s="9"/>
      <c r="P132" s="9"/>
      <c r="Q132" s="9"/>
      <c r="R132" s="9"/>
      <c r="S132" s="9"/>
      <c r="T132" s="9"/>
      <c r="U132" s="9"/>
      <c r="V132" s="152"/>
      <c r="W132" s="168"/>
      <c r="AE132" s="89"/>
      <c r="AH132" s="210"/>
      <c r="AI132" s="210"/>
      <c r="AJ132" s="175"/>
    </row>
    <row r="133" spans="1:36" ht="11.25" customHeight="1" x14ac:dyDescent="0.2">
      <c r="A133" s="158"/>
      <c r="B133" s="973"/>
      <c r="C133" s="974"/>
      <c r="D133" s="974"/>
      <c r="E133" s="974"/>
      <c r="F133" s="974"/>
      <c r="G133" s="974"/>
      <c r="H133" s="9"/>
      <c r="I133" s="9"/>
      <c r="J133" s="13"/>
      <c r="K133" s="9"/>
      <c r="L133" s="9"/>
      <c r="M133" s="9"/>
      <c r="N133" s="9"/>
      <c r="O133" s="9"/>
      <c r="P133" s="9"/>
      <c r="Q133" s="9"/>
      <c r="R133" s="9"/>
      <c r="S133" s="9"/>
      <c r="T133" s="9"/>
      <c r="U133" s="9"/>
      <c r="V133" s="152"/>
      <c r="W133" s="168"/>
      <c r="AE133" s="89"/>
      <c r="AH133" s="210"/>
      <c r="AI133" s="210"/>
      <c r="AJ133" s="175"/>
    </row>
    <row r="134" spans="1:36" ht="11.25" customHeight="1" x14ac:dyDescent="0.2">
      <c r="A134" s="158"/>
      <c r="B134" s="973" t="s">
        <v>20</v>
      </c>
      <c r="C134" s="930"/>
      <c r="D134" s="930"/>
      <c r="E134" s="930"/>
      <c r="F134" s="930"/>
      <c r="G134" s="930"/>
      <c r="H134" s="930"/>
      <c r="I134" s="9"/>
      <c r="J134" s="13"/>
      <c r="K134" s="9"/>
      <c r="L134" s="9"/>
      <c r="M134" s="9"/>
      <c r="N134" s="9"/>
      <c r="O134" s="9"/>
      <c r="P134" s="9"/>
      <c r="Q134" s="9"/>
      <c r="R134" s="9"/>
      <c r="S134" s="9"/>
      <c r="T134" s="9"/>
      <c r="U134" s="9"/>
      <c r="V134" s="152"/>
      <c r="W134" s="168"/>
      <c r="AE134" s="89"/>
      <c r="AH134" s="210"/>
      <c r="AI134" s="210"/>
      <c r="AJ134" s="175"/>
    </row>
    <row r="135" spans="1:36" ht="11.25" customHeight="1" x14ac:dyDescent="0.2">
      <c r="A135" s="158"/>
      <c r="B135" s="930"/>
      <c r="C135" s="930"/>
      <c r="D135" s="930"/>
      <c r="E135" s="930"/>
      <c r="F135" s="930"/>
      <c r="G135" s="930"/>
      <c r="H135" s="930"/>
      <c r="I135" s="9"/>
      <c r="J135" s="13"/>
      <c r="K135" s="9"/>
      <c r="L135" s="9"/>
      <c r="M135" s="9"/>
      <c r="N135" s="9"/>
      <c r="O135" s="9"/>
      <c r="P135" s="9"/>
      <c r="Q135" s="9"/>
      <c r="R135" s="9"/>
      <c r="S135" s="9"/>
      <c r="T135" s="9"/>
      <c r="U135" s="9"/>
      <c r="V135" s="152"/>
      <c r="W135" s="168"/>
      <c r="AE135" s="89"/>
      <c r="AH135" s="210"/>
      <c r="AI135" s="210"/>
      <c r="AJ135" s="175"/>
    </row>
    <row r="136" spans="1:36" ht="11.25" customHeight="1" x14ac:dyDescent="0.2">
      <c r="A136" s="158"/>
      <c r="B136" s="973" t="s">
        <v>21</v>
      </c>
      <c r="C136" s="974"/>
      <c r="D136" s="974"/>
      <c r="E136" s="974"/>
      <c r="F136" s="974"/>
      <c r="G136" s="974"/>
      <c r="H136" s="9"/>
      <c r="I136" s="9"/>
      <c r="J136" s="13"/>
      <c r="K136" s="9"/>
      <c r="L136" s="9"/>
      <c r="M136" s="9"/>
      <c r="N136" s="9"/>
      <c r="O136" s="9"/>
      <c r="P136" s="9"/>
      <c r="Q136" s="9"/>
      <c r="R136" s="9"/>
      <c r="S136" s="9"/>
      <c r="T136" s="9"/>
      <c r="U136" s="9"/>
      <c r="V136" s="152"/>
      <c r="W136" s="168"/>
      <c r="AE136" s="89"/>
      <c r="AH136" s="210"/>
      <c r="AI136" s="210"/>
      <c r="AJ136" s="175"/>
    </row>
    <row r="137" spans="1:36" ht="11.25" customHeight="1" x14ac:dyDescent="0.2">
      <c r="A137" s="158"/>
      <c r="B137" s="973"/>
      <c r="C137" s="974"/>
      <c r="D137" s="974"/>
      <c r="E137" s="974"/>
      <c r="F137" s="974"/>
      <c r="G137" s="974"/>
      <c r="H137" s="9"/>
      <c r="I137" s="9"/>
      <c r="J137" s="13"/>
      <c r="K137" s="9"/>
      <c r="L137" s="9"/>
      <c r="M137" s="9"/>
      <c r="N137" s="9"/>
      <c r="O137" s="9"/>
      <c r="P137" s="9"/>
      <c r="Q137" s="9"/>
      <c r="R137" s="9"/>
      <c r="S137" s="9"/>
      <c r="T137" s="9"/>
      <c r="U137" s="9"/>
      <c r="V137" s="152"/>
      <c r="W137" s="168"/>
      <c r="AE137" s="89"/>
      <c r="AH137" s="210"/>
      <c r="AI137" s="210"/>
      <c r="AJ137" s="175"/>
    </row>
    <row r="138" spans="1:36" ht="11.25" customHeight="1" x14ac:dyDescent="0.2">
      <c r="A138" s="158"/>
      <c r="B138" s="973" t="s">
        <v>27</v>
      </c>
      <c r="C138" s="974"/>
      <c r="D138" s="974"/>
      <c r="E138" s="974"/>
      <c r="F138" s="974"/>
      <c r="G138" s="974"/>
      <c r="H138" s="9"/>
      <c r="I138" s="9"/>
      <c r="J138" s="13"/>
      <c r="K138" s="9"/>
      <c r="L138" s="9"/>
      <c r="M138" s="9"/>
      <c r="N138" s="9"/>
      <c r="O138" s="9"/>
      <c r="P138" s="9"/>
      <c r="Q138" s="9"/>
      <c r="R138" s="9"/>
      <c r="S138" s="9"/>
      <c r="T138" s="9"/>
      <c r="U138" s="9"/>
      <c r="V138" s="152"/>
      <c r="W138" s="168"/>
      <c r="AE138" s="89"/>
      <c r="AH138" s="210"/>
      <c r="AI138" s="210"/>
      <c r="AJ138" s="175"/>
    </row>
    <row r="139" spans="1:36" ht="11.25" customHeight="1" x14ac:dyDescent="0.2">
      <c r="A139" s="158"/>
      <c r="B139" s="973"/>
      <c r="C139" s="974"/>
      <c r="D139" s="974"/>
      <c r="E139" s="974"/>
      <c r="F139" s="974"/>
      <c r="G139" s="974"/>
      <c r="H139" s="9"/>
      <c r="I139" s="9"/>
      <c r="J139" s="13"/>
      <c r="K139" s="9"/>
      <c r="L139" s="9"/>
      <c r="M139" s="9"/>
      <c r="N139" s="9"/>
      <c r="O139" s="9"/>
      <c r="P139" s="9"/>
      <c r="Q139" s="9"/>
      <c r="R139" s="9"/>
      <c r="S139" s="9"/>
      <c r="T139" s="9"/>
      <c r="U139" s="9"/>
      <c r="V139" s="152"/>
      <c r="W139" s="168"/>
      <c r="AE139" s="89"/>
      <c r="AH139" s="210"/>
      <c r="AI139" s="210"/>
      <c r="AJ139" s="175"/>
    </row>
    <row r="140" spans="1:36" ht="11.25" customHeight="1" x14ac:dyDescent="0.2">
      <c r="A140" s="158"/>
      <c r="B140" s="973" t="s">
        <v>22</v>
      </c>
      <c r="C140" s="974"/>
      <c r="D140" s="974"/>
      <c r="E140" s="974"/>
      <c r="F140" s="974"/>
      <c r="G140" s="974"/>
      <c r="H140" s="9"/>
      <c r="I140" s="9"/>
      <c r="J140" s="13"/>
      <c r="K140" s="9"/>
      <c r="L140" s="9"/>
      <c r="M140" s="9"/>
      <c r="N140" s="9"/>
      <c r="O140" s="9"/>
      <c r="P140" s="9"/>
      <c r="Q140" s="9"/>
      <c r="R140" s="9"/>
      <c r="S140" s="9"/>
      <c r="T140" s="9"/>
      <c r="U140" s="9"/>
      <c r="V140" s="152"/>
      <c r="W140" s="168"/>
      <c r="AE140" s="89"/>
      <c r="AH140" s="210"/>
      <c r="AI140" s="210"/>
      <c r="AJ140" s="175"/>
    </row>
    <row r="141" spans="1:36" ht="11.25" customHeight="1" x14ac:dyDescent="0.2">
      <c r="A141" s="158"/>
      <c r="B141" s="973"/>
      <c r="C141" s="974"/>
      <c r="D141" s="974"/>
      <c r="E141" s="974"/>
      <c r="F141" s="974"/>
      <c r="G141" s="974"/>
      <c r="H141" s="9"/>
      <c r="I141" s="9"/>
      <c r="J141" s="13"/>
      <c r="K141" s="9"/>
      <c r="L141" s="9"/>
      <c r="M141" s="9"/>
      <c r="N141" s="9"/>
      <c r="O141" s="9"/>
      <c r="P141" s="9"/>
      <c r="Q141" s="9"/>
      <c r="R141" s="9"/>
      <c r="S141" s="9"/>
      <c r="T141" s="9"/>
      <c r="U141" s="9"/>
      <c r="V141" s="152"/>
      <c r="W141" s="168"/>
      <c r="AE141" s="89"/>
      <c r="AH141" s="210"/>
      <c r="AI141" s="210"/>
      <c r="AJ141" s="175"/>
    </row>
    <row r="142" spans="1:36" ht="11.25" customHeight="1" x14ac:dyDescent="0.2">
      <c r="A142" s="158"/>
      <c r="B142" s="973" t="s">
        <v>874</v>
      </c>
      <c r="C142" s="975"/>
      <c r="D142" s="975"/>
      <c r="E142" s="975"/>
      <c r="F142" s="975"/>
      <c r="G142" s="975"/>
      <c r="H142" s="9"/>
      <c r="I142" s="9"/>
      <c r="J142" s="13"/>
      <c r="K142" s="9"/>
      <c r="L142" s="9"/>
      <c r="M142" s="9"/>
      <c r="N142" s="9"/>
      <c r="O142" s="9"/>
      <c r="P142" s="9"/>
      <c r="Q142" s="9"/>
      <c r="R142" s="9"/>
      <c r="S142" s="9"/>
      <c r="T142" s="9"/>
      <c r="U142" s="9"/>
      <c r="V142" s="152"/>
      <c r="W142" s="168"/>
      <c r="AE142" s="89"/>
      <c r="AH142" s="210"/>
      <c r="AI142" s="210"/>
      <c r="AJ142" s="175"/>
    </row>
    <row r="143" spans="1:36" ht="11.25" customHeight="1" x14ac:dyDescent="0.2">
      <c r="A143" s="158"/>
      <c r="B143" s="973"/>
      <c r="C143" s="975"/>
      <c r="D143" s="975"/>
      <c r="E143" s="975"/>
      <c r="F143" s="975"/>
      <c r="G143" s="975"/>
      <c r="H143" s="9"/>
      <c r="I143" s="9"/>
      <c r="J143" s="13"/>
      <c r="K143" s="9"/>
      <c r="L143" s="9"/>
      <c r="M143" s="9"/>
      <c r="N143" s="9"/>
      <c r="O143" s="9"/>
      <c r="P143" s="9"/>
      <c r="Q143" s="9"/>
      <c r="R143" s="9"/>
      <c r="S143" s="9"/>
      <c r="T143" s="9"/>
      <c r="U143" s="9"/>
      <c r="V143" s="152"/>
      <c r="W143" s="168"/>
      <c r="AE143" s="89"/>
      <c r="AH143" s="210"/>
      <c r="AI143" s="210"/>
      <c r="AJ143" s="175"/>
    </row>
    <row r="144" spans="1:36" ht="11.25" customHeight="1" x14ac:dyDescent="0.2">
      <c r="A144" s="158"/>
      <c r="B144" s="973"/>
      <c r="C144" s="973"/>
      <c r="D144" s="973"/>
      <c r="E144" s="973"/>
      <c r="F144" s="975"/>
      <c r="G144" s="975"/>
      <c r="H144" s="975"/>
      <c r="I144" s="9"/>
      <c r="J144" s="13"/>
      <c r="K144" s="9"/>
      <c r="L144" s="9"/>
      <c r="M144" s="9"/>
      <c r="N144" s="9"/>
      <c r="O144" s="9"/>
      <c r="P144" s="9"/>
      <c r="Q144" s="9"/>
      <c r="R144" s="9"/>
      <c r="S144" s="9"/>
      <c r="T144" s="9"/>
      <c r="U144" s="9"/>
      <c r="V144" s="152"/>
      <c r="W144" s="168"/>
      <c r="AE144" s="89"/>
      <c r="AH144" s="210"/>
      <c r="AI144" s="210"/>
      <c r="AJ144" s="175"/>
    </row>
    <row r="145" spans="1:45" ht="11.25" customHeight="1" x14ac:dyDescent="0.2">
      <c r="A145" s="158"/>
      <c r="B145" s="973"/>
      <c r="C145" s="973"/>
      <c r="D145" s="973"/>
      <c r="E145" s="973"/>
      <c r="F145" s="975"/>
      <c r="G145" s="975"/>
      <c r="H145" s="975"/>
      <c r="I145" s="9"/>
      <c r="J145" s="13"/>
      <c r="K145" s="9"/>
      <c r="L145" s="9"/>
      <c r="M145" s="9"/>
      <c r="N145" s="9"/>
      <c r="O145" s="9"/>
      <c r="P145" s="9"/>
      <c r="Q145" s="9"/>
      <c r="R145" s="9"/>
      <c r="S145" s="9"/>
      <c r="T145" s="9"/>
      <c r="U145" s="9"/>
      <c r="V145" s="152"/>
      <c r="W145" s="168"/>
      <c r="AE145" s="89"/>
      <c r="AH145" s="210"/>
      <c r="AI145" s="210"/>
      <c r="AJ145" s="175"/>
    </row>
    <row r="146" spans="1:45" ht="18.75" customHeight="1" x14ac:dyDescent="0.2">
      <c r="A146" s="159"/>
      <c r="B146" s="160"/>
      <c r="C146" s="160"/>
      <c r="D146" s="160"/>
      <c r="E146" s="160"/>
      <c r="F146" s="160"/>
      <c r="G146" s="160"/>
      <c r="H146" s="160"/>
      <c r="I146" s="160"/>
      <c r="J146" s="161"/>
      <c r="K146" s="160"/>
      <c r="L146" s="160"/>
      <c r="M146" s="160"/>
      <c r="N146" s="160"/>
      <c r="O146" s="160"/>
      <c r="P146" s="160"/>
      <c r="Q146" s="160"/>
      <c r="R146" s="160"/>
      <c r="S146" s="160"/>
      <c r="T146" s="160"/>
      <c r="U146" s="160"/>
      <c r="V146" s="156"/>
      <c r="W146" s="180"/>
      <c r="X146" s="227"/>
      <c r="Y146" s="227"/>
      <c r="Z146" s="227"/>
      <c r="AA146" s="227"/>
      <c r="AB146" s="227"/>
      <c r="AC146" s="227"/>
      <c r="AD146" s="227"/>
      <c r="AE146" s="227"/>
      <c r="AF146" s="227"/>
      <c r="AG146" s="227"/>
      <c r="AH146" s="227"/>
      <c r="AI146" s="648"/>
      <c r="AJ146" s="94"/>
    </row>
    <row r="147" spans="1:45" s="87" customFormat="1" ht="11.25" customHeight="1" x14ac:dyDescent="0.2">
      <c r="A147" s="80"/>
      <c r="B147" s="80"/>
      <c r="C147" s="80"/>
      <c r="D147" s="80"/>
      <c r="E147" s="80"/>
      <c r="F147" s="80"/>
      <c r="G147" s="80"/>
      <c r="H147" s="80"/>
      <c r="I147" s="80"/>
      <c r="J147" s="106"/>
      <c r="K147" s="80"/>
      <c r="L147" s="80"/>
      <c r="M147" s="80"/>
      <c r="N147" s="80"/>
      <c r="O147" s="80"/>
      <c r="P147" s="80"/>
      <c r="Q147" s="80"/>
      <c r="R147" s="80"/>
      <c r="S147" s="80"/>
      <c r="T147" s="80"/>
      <c r="U147" s="80"/>
      <c r="V147" s="181"/>
      <c r="X147" s="88"/>
      <c r="Y147" s="88"/>
      <c r="Z147" s="88"/>
      <c r="AA147" s="88"/>
      <c r="AB147" s="88"/>
      <c r="AC147" s="88"/>
      <c r="AD147" s="88"/>
      <c r="AE147" s="88"/>
      <c r="AF147" s="88"/>
      <c r="AG147" s="88"/>
      <c r="AH147" s="88"/>
      <c r="AI147" s="80"/>
      <c r="AJ147" s="80"/>
      <c r="AK147" s="80"/>
      <c r="AL147" s="80"/>
      <c r="AM147" s="80"/>
      <c r="AN147" s="80"/>
      <c r="AO147" s="80"/>
      <c r="AP147" s="80"/>
      <c r="AQ147" s="80"/>
      <c r="AR147" s="80"/>
      <c r="AS147" s="80"/>
    </row>
    <row r="273" spans="37:37" ht="11.25" customHeight="1" x14ac:dyDescent="0.2">
      <c r="AK273" s="80" t="b">
        <v>1</v>
      </c>
    </row>
  </sheetData>
  <mergeCells count="40">
    <mergeCell ref="B110:G111"/>
    <mergeCell ref="B112:G113"/>
    <mergeCell ref="B114:G115"/>
    <mergeCell ref="B122:G123"/>
    <mergeCell ref="B124:G125"/>
    <mergeCell ref="B116:F117"/>
    <mergeCell ref="B118:F119"/>
    <mergeCell ref="B120:F121"/>
    <mergeCell ref="B126:G127"/>
    <mergeCell ref="B128:G129"/>
    <mergeCell ref="B130:G131"/>
    <mergeCell ref="B132:G133"/>
    <mergeCell ref="B134:H135"/>
    <mergeCell ref="B136:G137"/>
    <mergeCell ref="B138:G139"/>
    <mergeCell ref="B140:G141"/>
    <mergeCell ref="B142:G143"/>
    <mergeCell ref="B144:H145"/>
    <mergeCell ref="AA39:AA40"/>
    <mergeCell ref="AB39:AB40"/>
    <mergeCell ref="A69:U69"/>
    <mergeCell ref="A70:U70"/>
    <mergeCell ref="A104:U104"/>
    <mergeCell ref="A105:U105"/>
    <mergeCell ref="B108:B109"/>
    <mergeCell ref="M63:O63"/>
    <mergeCell ref="Q63:T63"/>
    <mergeCell ref="S64:T64"/>
    <mergeCell ref="Q64:R64"/>
    <mergeCell ref="M64:P64"/>
    <mergeCell ref="R7:T7"/>
    <mergeCell ref="B34:T34"/>
    <mergeCell ref="A36:U36"/>
    <mergeCell ref="A37:U37"/>
    <mergeCell ref="B5:N6"/>
    <mergeCell ref="D7:H7"/>
    <mergeCell ref="I7:I8"/>
    <mergeCell ref="K7:O7"/>
    <mergeCell ref="P7:P8"/>
    <mergeCell ref="B7:B8"/>
  </mergeCells>
  <conditionalFormatting sqref="X69:AB69 Z8:AD8">
    <cfRule type="cellIs" dxfId="87" priority="16" stopIfTrue="1" operator="equal">
      <formula>0</formula>
    </cfRule>
  </conditionalFormatting>
  <conditionalFormatting sqref="B9:B30 K9:P30 B50:C65 D9:H30">
    <cfRule type="containsErrors" dxfId="86" priority="18">
      <formula>ISERROR(B9)</formula>
    </cfRule>
  </conditionalFormatting>
  <conditionalFormatting sqref="B31:B32">
    <cfRule type="expression" dxfId="85" priority="19" stopIfTrue="1">
      <formula>$B31=$Y$4</formula>
    </cfRule>
  </conditionalFormatting>
  <conditionalFormatting sqref="R9:R30">
    <cfRule type="expression" dxfId="84" priority="15">
      <formula>$B9=$X$5</formula>
    </cfRule>
  </conditionalFormatting>
  <conditionalFormatting sqref="S9:S30">
    <cfRule type="expression" dxfId="83" priority="14">
      <formula>$B9=$X$5</formula>
    </cfRule>
  </conditionalFormatting>
  <conditionalFormatting sqref="T9:T30">
    <cfRule type="expression" dxfId="82" priority="13">
      <formula>$B9=$X$5</formula>
    </cfRule>
  </conditionalFormatting>
  <conditionalFormatting sqref="A9:A30">
    <cfRule type="containsErrors" dxfId="81" priority="11">
      <formula>ISERROR(A9)</formula>
    </cfRule>
    <cfRule type="cellIs" dxfId="80" priority="12" operator="equal">
      <formula>0</formula>
    </cfRule>
  </conditionalFormatting>
  <conditionalFormatting sqref="B9:B30 K9:P30 B50:C65 D9:H30 R9:T30">
    <cfRule type="expression" dxfId="79" priority="17">
      <formula>$B9=$Y$4</formula>
    </cfRule>
  </conditionalFormatting>
  <conditionalFormatting sqref="AF9:AG27">
    <cfRule type="containsErrors" dxfId="78" priority="10">
      <formula>ISERROR(AF9)</formula>
    </cfRule>
  </conditionalFormatting>
  <conditionalFormatting sqref="AF9:AG20 AG10:AG27">
    <cfRule type="expression" dxfId="77" priority="9">
      <formula>$B9=$W$4</formula>
    </cfRule>
  </conditionalFormatting>
  <conditionalFormatting sqref="I9:I30">
    <cfRule type="containsErrors" dxfId="76" priority="8">
      <formula>ISERROR(I9)</formula>
    </cfRule>
  </conditionalFormatting>
  <conditionalFormatting sqref="I9:I30">
    <cfRule type="expression" dxfId="75" priority="7">
      <formula>$B9=$Y$4</formula>
    </cfRule>
  </conditionalFormatting>
  <conditionalFormatting sqref="A37">
    <cfRule type="cellIs" dxfId="74" priority="5" operator="equal">
      <formula>0</formula>
    </cfRule>
    <cfRule type="containsErrors" dxfId="73" priority="6">
      <formula>ISERROR(A37)</formula>
    </cfRule>
  </conditionalFormatting>
  <conditionalFormatting sqref="A70">
    <cfRule type="cellIs" dxfId="72" priority="3" operator="equal">
      <formula>0</formula>
    </cfRule>
    <cfRule type="containsErrors" dxfId="71" priority="4">
      <formula>ISERROR(A70)</formula>
    </cfRule>
  </conditionalFormatting>
  <conditionalFormatting sqref="A105">
    <cfRule type="cellIs" dxfId="70" priority="1" operator="equal">
      <formula>0</formula>
    </cfRule>
    <cfRule type="containsErrors" dxfId="69" priority="2">
      <formula>ISERROR(A105)</formula>
    </cfRule>
  </conditionalFormatting>
  <hyperlinks>
    <hyperlink ref="B110:B111" location="Coverage!A1" display="Participating LA's"/>
    <hyperlink ref="B112:B113" location="IDACI!A1" display="IDACI"/>
    <hyperlink ref="B142:B143" location="Adoption!A1" display="Adoption"/>
    <hyperlink ref="B140:B141" location="'Looked After Children'!A1" display="Looked After Children"/>
    <hyperlink ref="B138:B139" location="'Court Applications'!A1" display="Court Applications"/>
    <hyperlink ref="B136:B137" location="'Child Protection Plans'!A1" display="Child Protection Plans"/>
    <hyperlink ref="B134:B135" location="'Initial CP Conferences'!A1" display="Initial Child Protection Conferences"/>
    <hyperlink ref="B132:B133" location="'Section 47 Enquiries'!A1" display="Section 47 Enquiries"/>
    <hyperlink ref="B130:B131" location="'Children in Need'!A1" display="Children in Need"/>
    <hyperlink ref="B128:B129" location="Assessments!A1" display="Assessments"/>
    <hyperlink ref="B126:B127" location="'Re-referrals'!A1" display="Re-referrals"/>
    <hyperlink ref="B124:B125" location="Referral_Source!A1" display="Referral Source"/>
    <hyperlink ref="B122:B123" location="Referrals!A1" display="Referrals"/>
    <hyperlink ref="B114:B115" location="Population!A1" display="Population"/>
    <hyperlink ref="B112:G113" location="IDACI!A1" display="IDACI"/>
    <hyperlink ref="B116:B117" location="CAF_EHA!A1" display="CAF (EHA's)"/>
    <hyperlink ref="B120:B121" location="CAF_EHA!A1" display="CAF (EHA's)"/>
    <hyperlink ref="B118:B119" location="CAF_EHA!A1" display="CAF (EHA's)"/>
    <hyperlink ref="B116:F117" location="EH_Referrals!A1" display="Early Help Referrals"/>
    <hyperlink ref="B118:F119" location="EH_Assessments!A1" display="Early Help Assessments"/>
    <hyperlink ref="B120:F121" location="EH_Clients!A1" display="Early Help Clients"/>
    <hyperlink ref="B142:G143" location="Adoption!A1" display="Permanenc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18" man="1"/>
    <brk id="70" max="20" man="1"/>
  </rowBreaks>
  <ignoredErrors>
    <ignoredError sqref="A9:A3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4449" r:id="rId4" name="Check Box 1">
              <controlPr defaultSize="0" autoFill="0" autoLine="0" autoPict="0" macro="[0]!CheckBox1_Click" altText="">
                <anchor>
                  <from>
                    <xdr:col>22</xdr:col>
                    <xdr:colOff>66675</xdr:colOff>
                    <xdr:row>38</xdr:row>
                    <xdr:rowOff>76200</xdr:rowOff>
                  </from>
                  <to>
                    <xdr:col>35</xdr:col>
                    <xdr:colOff>47625</xdr:colOff>
                    <xdr:row>40</xdr:row>
                    <xdr:rowOff>19050</xdr:rowOff>
                  </to>
                </anchor>
              </controlPr>
            </control>
          </mc:Choice>
        </mc:AlternateContent>
        <mc:AlternateContent xmlns:mc="http://schemas.openxmlformats.org/markup-compatibility/2006">
          <mc:Choice Requires="x14">
            <control shapeId="104450" r:id="rId5" name="Check Box 2">
              <controlPr defaultSize="0" autoFill="0" autoLine="0" autoPict="0" macro="[0]!CheckBox1_Click" altText="">
                <anchor>
                  <from>
                    <xdr:col>22</xdr:col>
                    <xdr:colOff>66675</xdr:colOff>
                    <xdr:row>39</xdr:row>
                    <xdr:rowOff>161925</xdr:rowOff>
                  </from>
                  <to>
                    <xdr:col>35</xdr:col>
                    <xdr:colOff>47625</xdr:colOff>
                    <xdr:row>41</xdr:row>
                    <xdr:rowOff>19050</xdr:rowOff>
                  </to>
                </anchor>
              </controlPr>
            </control>
          </mc:Choice>
        </mc:AlternateContent>
        <mc:AlternateContent xmlns:mc="http://schemas.openxmlformats.org/markup-compatibility/2006">
          <mc:Choice Requires="x14">
            <control shapeId="104451" r:id="rId6" name="Check Box 3">
              <controlPr defaultSize="0" autoFill="0" autoLine="0" autoPict="0" macro="[0]!CheckBox1_Click" altText="">
                <anchor>
                  <from>
                    <xdr:col>22</xdr:col>
                    <xdr:colOff>66675</xdr:colOff>
                    <xdr:row>40</xdr:row>
                    <xdr:rowOff>161925</xdr:rowOff>
                  </from>
                  <to>
                    <xdr:col>35</xdr:col>
                    <xdr:colOff>47625</xdr:colOff>
                    <xdr:row>42</xdr:row>
                    <xdr:rowOff>19050</xdr:rowOff>
                  </to>
                </anchor>
              </controlPr>
            </control>
          </mc:Choice>
        </mc:AlternateContent>
        <mc:AlternateContent xmlns:mc="http://schemas.openxmlformats.org/markup-compatibility/2006">
          <mc:Choice Requires="x14">
            <control shapeId="104452" r:id="rId7" name="Check Box 4">
              <controlPr defaultSize="0" autoFill="0" autoLine="0" autoPict="0" macro="[0]!CheckBox1_Click" altText="">
                <anchor>
                  <from>
                    <xdr:col>22</xdr:col>
                    <xdr:colOff>66675</xdr:colOff>
                    <xdr:row>41</xdr:row>
                    <xdr:rowOff>161925</xdr:rowOff>
                  </from>
                  <to>
                    <xdr:col>35</xdr:col>
                    <xdr:colOff>47625</xdr:colOff>
                    <xdr:row>43</xdr:row>
                    <xdr:rowOff>19050</xdr:rowOff>
                  </to>
                </anchor>
              </controlPr>
            </control>
          </mc:Choice>
        </mc:AlternateContent>
        <mc:AlternateContent xmlns:mc="http://schemas.openxmlformats.org/markup-compatibility/2006">
          <mc:Choice Requires="x14">
            <control shapeId="104453" r:id="rId8" name="Check Box 5">
              <controlPr defaultSize="0" autoFill="0" autoLine="0" autoPict="0" macro="[0]!CheckBox1_Click" altText="">
                <anchor>
                  <from>
                    <xdr:col>22</xdr:col>
                    <xdr:colOff>66675</xdr:colOff>
                    <xdr:row>42</xdr:row>
                    <xdr:rowOff>161925</xdr:rowOff>
                  </from>
                  <to>
                    <xdr:col>35</xdr:col>
                    <xdr:colOff>47625</xdr:colOff>
                    <xdr:row>44</xdr:row>
                    <xdr:rowOff>19050</xdr:rowOff>
                  </to>
                </anchor>
              </controlPr>
            </control>
          </mc:Choice>
        </mc:AlternateContent>
        <mc:AlternateContent xmlns:mc="http://schemas.openxmlformats.org/markup-compatibility/2006">
          <mc:Choice Requires="x14">
            <control shapeId="104454" r:id="rId9" name="Check Box 6">
              <controlPr defaultSize="0" autoFill="0" autoLine="0" autoPict="0" macro="[0]!CheckBox1_Click" altText="">
                <anchor>
                  <from>
                    <xdr:col>22</xdr:col>
                    <xdr:colOff>66675</xdr:colOff>
                    <xdr:row>43</xdr:row>
                    <xdr:rowOff>161925</xdr:rowOff>
                  </from>
                  <to>
                    <xdr:col>35</xdr:col>
                    <xdr:colOff>47625</xdr:colOff>
                    <xdr:row>45</xdr:row>
                    <xdr:rowOff>19050</xdr:rowOff>
                  </to>
                </anchor>
              </controlPr>
            </control>
          </mc:Choice>
        </mc:AlternateContent>
        <mc:AlternateContent xmlns:mc="http://schemas.openxmlformats.org/markup-compatibility/2006">
          <mc:Choice Requires="x14">
            <control shapeId="104455" r:id="rId10" name="Check Box 7">
              <controlPr defaultSize="0" autoFill="0" autoLine="0" autoPict="0" macro="[0]!CheckBox1_Click" altText="">
                <anchor>
                  <from>
                    <xdr:col>22</xdr:col>
                    <xdr:colOff>66675</xdr:colOff>
                    <xdr:row>44</xdr:row>
                    <xdr:rowOff>161925</xdr:rowOff>
                  </from>
                  <to>
                    <xdr:col>35</xdr:col>
                    <xdr:colOff>47625</xdr:colOff>
                    <xdr:row>46</xdr:row>
                    <xdr:rowOff>19050</xdr:rowOff>
                  </to>
                </anchor>
              </controlPr>
            </control>
          </mc:Choice>
        </mc:AlternateContent>
        <mc:AlternateContent xmlns:mc="http://schemas.openxmlformats.org/markup-compatibility/2006">
          <mc:Choice Requires="x14">
            <control shapeId="104456" r:id="rId11" name="Check Box 8">
              <controlPr defaultSize="0" autoFill="0" autoLine="0" autoPict="0" macro="[0]!CheckBox1_Click" altText="">
                <anchor>
                  <from>
                    <xdr:col>22</xdr:col>
                    <xdr:colOff>66675</xdr:colOff>
                    <xdr:row>45</xdr:row>
                    <xdr:rowOff>161925</xdr:rowOff>
                  </from>
                  <to>
                    <xdr:col>35</xdr:col>
                    <xdr:colOff>47625</xdr:colOff>
                    <xdr:row>47</xdr:row>
                    <xdr:rowOff>19050</xdr:rowOff>
                  </to>
                </anchor>
              </controlPr>
            </control>
          </mc:Choice>
        </mc:AlternateContent>
        <mc:AlternateContent xmlns:mc="http://schemas.openxmlformats.org/markup-compatibility/2006">
          <mc:Choice Requires="x14">
            <control shapeId="104457" r:id="rId12" name="Check Box 9">
              <controlPr defaultSize="0" autoFill="0" autoLine="0" autoPict="0" macro="[0]!CheckBox1_Click" altText="">
                <anchor>
                  <from>
                    <xdr:col>22</xdr:col>
                    <xdr:colOff>66675</xdr:colOff>
                    <xdr:row>46</xdr:row>
                    <xdr:rowOff>161925</xdr:rowOff>
                  </from>
                  <to>
                    <xdr:col>35</xdr:col>
                    <xdr:colOff>47625</xdr:colOff>
                    <xdr:row>48</xdr:row>
                    <xdr:rowOff>19050</xdr:rowOff>
                  </to>
                </anchor>
              </controlPr>
            </control>
          </mc:Choice>
        </mc:AlternateContent>
        <mc:AlternateContent xmlns:mc="http://schemas.openxmlformats.org/markup-compatibility/2006">
          <mc:Choice Requires="x14">
            <control shapeId="104458" r:id="rId13" name="Check Box 10">
              <controlPr defaultSize="0" autoFill="0" autoLine="0" autoPict="0" macro="[0]!CheckBox1_Click" altText="">
                <anchor>
                  <from>
                    <xdr:col>22</xdr:col>
                    <xdr:colOff>66675</xdr:colOff>
                    <xdr:row>47</xdr:row>
                    <xdr:rowOff>161925</xdr:rowOff>
                  </from>
                  <to>
                    <xdr:col>35</xdr:col>
                    <xdr:colOff>47625</xdr:colOff>
                    <xdr:row>49</xdr:row>
                    <xdr:rowOff>19050</xdr:rowOff>
                  </to>
                </anchor>
              </controlPr>
            </control>
          </mc:Choice>
        </mc:AlternateContent>
        <mc:AlternateContent xmlns:mc="http://schemas.openxmlformats.org/markup-compatibility/2006">
          <mc:Choice Requires="x14">
            <control shapeId="104459" r:id="rId14" name="Check Box 11">
              <controlPr defaultSize="0" autoFill="0" autoLine="0" autoPict="0" macro="[0]!CheckBox1_Click" altText="">
                <anchor>
                  <from>
                    <xdr:col>22</xdr:col>
                    <xdr:colOff>66675</xdr:colOff>
                    <xdr:row>48</xdr:row>
                    <xdr:rowOff>161925</xdr:rowOff>
                  </from>
                  <to>
                    <xdr:col>35</xdr:col>
                    <xdr:colOff>47625</xdr:colOff>
                    <xdr:row>50</xdr:row>
                    <xdr:rowOff>19050</xdr:rowOff>
                  </to>
                </anchor>
              </controlPr>
            </control>
          </mc:Choice>
        </mc:AlternateContent>
        <mc:AlternateContent xmlns:mc="http://schemas.openxmlformats.org/markup-compatibility/2006">
          <mc:Choice Requires="x14">
            <control shapeId="104460" r:id="rId15" name="Check Box 12">
              <controlPr defaultSize="0" autoFill="0" autoLine="0" autoPict="0" macro="[0]!CheckBox1_Click" altText="">
                <anchor>
                  <from>
                    <xdr:col>22</xdr:col>
                    <xdr:colOff>66675</xdr:colOff>
                    <xdr:row>49</xdr:row>
                    <xdr:rowOff>161925</xdr:rowOff>
                  </from>
                  <to>
                    <xdr:col>35</xdr:col>
                    <xdr:colOff>47625</xdr:colOff>
                    <xdr:row>51</xdr:row>
                    <xdr:rowOff>19050</xdr:rowOff>
                  </to>
                </anchor>
              </controlPr>
            </control>
          </mc:Choice>
        </mc:AlternateContent>
        <mc:AlternateContent xmlns:mc="http://schemas.openxmlformats.org/markup-compatibility/2006">
          <mc:Choice Requires="x14">
            <control shapeId="104461" r:id="rId16" name="Check Box 13">
              <controlPr defaultSize="0" autoFill="0" autoLine="0" autoPict="0" macro="[0]!CheckBox1_Click" altText="">
                <anchor>
                  <from>
                    <xdr:col>22</xdr:col>
                    <xdr:colOff>66675</xdr:colOff>
                    <xdr:row>50</xdr:row>
                    <xdr:rowOff>161925</xdr:rowOff>
                  </from>
                  <to>
                    <xdr:col>35</xdr:col>
                    <xdr:colOff>47625</xdr:colOff>
                    <xdr:row>52</xdr:row>
                    <xdr:rowOff>19050</xdr:rowOff>
                  </to>
                </anchor>
              </controlPr>
            </control>
          </mc:Choice>
        </mc:AlternateContent>
        <mc:AlternateContent xmlns:mc="http://schemas.openxmlformats.org/markup-compatibility/2006">
          <mc:Choice Requires="x14">
            <control shapeId="104462" r:id="rId17" name="Check Box 14">
              <controlPr defaultSize="0" autoFill="0" autoLine="0" autoPict="0" macro="[0]!CheckBox1_Click" altText="">
                <anchor>
                  <from>
                    <xdr:col>22</xdr:col>
                    <xdr:colOff>66675</xdr:colOff>
                    <xdr:row>51</xdr:row>
                    <xdr:rowOff>161925</xdr:rowOff>
                  </from>
                  <to>
                    <xdr:col>35</xdr:col>
                    <xdr:colOff>47625</xdr:colOff>
                    <xdr:row>53</xdr:row>
                    <xdr:rowOff>19050</xdr:rowOff>
                  </to>
                </anchor>
              </controlPr>
            </control>
          </mc:Choice>
        </mc:AlternateContent>
        <mc:AlternateContent xmlns:mc="http://schemas.openxmlformats.org/markup-compatibility/2006">
          <mc:Choice Requires="x14">
            <control shapeId="104463" r:id="rId18" name="Check Box 15">
              <controlPr defaultSize="0" autoFill="0" autoLine="0" autoPict="0" macro="[0]!CheckBox1_Click" altText="">
                <anchor>
                  <from>
                    <xdr:col>22</xdr:col>
                    <xdr:colOff>66675</xdr:colOff>
                    <xdr:row>52</xdr:row>
                    <xdr:rowOff>161925</xdr:rowOff>
                  </from>
                  <to>
                    <xdr:col>35</xdr:col>
                    <xdr:colOff>47625</xdr:colOff>
                    <xdr:row>54</xdr:row>
                    <xdr:rowOff>19050</xdr:rowOff>
                  </to>
                </anchor>
              </controlPr>
            </control>
          </mc:Choice>
        </mc:AlternateContent>
        <mc:AlternateContent xmlns:mc="http://schemas.openxmlformats.org/markup-compatibility/2006">
          <mc:Choice Requires="x14">
            <control shapeId="104464" r:id="rId19" name="Check Box 16">
              <controlPr defaultSize="0" autoFill="0" autoLine="0" autoPict="0" macro="[0]!CheckBox1_Click" altText="">
                <anchor>
                  <from>
                    <xdr:col>22</xdr:col>
                    <xdr:colOff>66675</xdr:colOff>
                    <xdr:row>53</xdr:row>
                    <xdr:rowOff>161925</xdr:rowOff>
                  </from>
                  <to>
                    <xdr:col>35</xdr:col>
                    <xdr:colOff>47625</xdr:colOff>
                    <xdr:row>55</xdr:row>
                    <xdr:rowOff>19050</xdr:rowOff>
                  </to>
                </anchor>
              </controlPr>
            </control>
          </mc:Choice>
        </mc:AlternateContent>
        <mc:AlternateContent xmlns:mc="http://schemas.openxmlformats.org/markup-compatibility/2006">
          <mc:Choice Requires="x14">
            <control shapeId="104465" r:id="rId20" name="Check Box 17">
              <controlPr defaultSize="0" autoFill="0" autoLine="0" autoPict="0" macro="[0]!CheckBox1_Click" altText="">
                <anchor>
                  <from>
                    <xdr:col>22</xdr:col>
                    <xdr:colOff>66675</xdr:colOff>
                    <xdr:row>56</xdr:row>
                    <xdr:rowOff>161925</xdr:rowOff>
                  </from>
                  <to>
                    <xdr:col>35</xdr:col>
                    <xdr:colOff>47625</xdr:colOff>
                    <xdr:row>58</xdr:row>
                    <xdr:rowOff>19050</xdr:rowOff>
                  </to>
                </anchor>
              </controlPr>
            </control>
          </mc:Choice>
        </mc:AlternateContent>
        <mc:AlternateContent xmlns:mc="http://schemas.openxmlformats.org/markup-compatibility/2006">
          <mc:Choice Requires="x14">
            <control shapeId="104466" r:id="rId21" name="Check Box 18">
              <controlPr defaultSize="0" autoFill="0" autoLine="0" autoPict="0" macro="[0]!CheckBox1_Click" altText="">
                <anchor>
                  <from>
                    <xdr:col>22</xdr:col>
                    <xdr:colOff>66675</xdr:colOff>
                    <xdr:row>57</xdr:row>
                    <xdr:rowOff>161925</xdr:rowOff>
                  </from>
                  <to>
                    <xdr:col>35</xdr:col>
                    <xdr:colOff>47625</xdr:colOff>
                    <xdr:row>59</xdr:row>
                    <xdr:rowOff>19050</xdr:rowOff>
                  </to>
                </anchor>
              </controlPr>
            </control>
          </mc:Choice>
        </mc:AlternateContent>
        <mc:AlternateContent xmlns:mc="http://schemas.openxmlformats.org/markup-compatibility/2006">
          <mc:Choice Requires="x14">
            <control shapeId="104467" r:id="rId22" name="Check Box 19">
              <controlPr defaultSize="0" autoFill="0" autoLine="0" autoPict="0" macro="[0]!CheckBox1_Click" altText="">
                <anchor>
                  <from>
                    <xdr:col>22</xdr:col>
                    <xdr:colOff>66675</xdr:colOff>
                    <xdr:row>58</xdr:row>
                    <xdr:rowOff>161925</xdr:rowOff>
                  </from>
                  <to>
                    <xdr:col>35</xdr:col>
                    <xdr:colOff>47625</xdr:colOff>
                    <xdr:row>60</xdr:row>
                    <xdr:rowOff>19050</xdr:rowOff>
                  </to>
                </anchor>
              </controlPr>
            </control>
          </mc:Choice>
        </mc:AlternateContent>
        <mc:AlternateContent xmlns:mc="http://schemas.openxmlformats.org/markup-compatibility/2006">
          <mc:Choice Requires="x14">
            <control shapeId="104468" r:id="rId23" name="Check Box 20">
              <controlPr defaultSize="0" autoFill="0" autoLine="0" autoPict="0" macro="[0]!CheckBox1_Click" altText="">
                <anchor>
                  <from>
                    <xdr:col>22</xdr:col>
                    <xdr:colOff>66675</xdr:colOff>
                    <xdr:row>59</xdr:row>
                    <xdr:rowOff>161925</xdr:rowOff>
                  </from>
                  <to>
                    <xdr:col>35</xdr:col>
                    <xdr:colOff>47625</xdr:colOff>
                    <xdr:row>61</xdr:row>
                    <xdr:rowOff>19050</xdr:rowOff>
                  </to>
                </anchor>
              </controlPr>
            </control>
          </mc:Choice>
        </mc:AlternateContent>
        <mc:AlternateContent xmlns:mc="http://schemas.openxmlformats.org/markup-compatibility/2006">
          <mc:Choice Requires="x14">
            <control shapeId="104469" r:id="rId24" name="Check Box 21">
              <controlPr defaultSize="0" autoFill="0" autoLine="0" autoPict="0" macro="[0]!CheckBox1_Click" altText="">
                <anchor>
                  <from>
                    <xdr:col>22</xdr:col>
                    <xdr:colOff>66675</xdr:colOff>
                    <xdr:row>60</xdr:row>
                    <xdr:rowOff>161925</xdr:rowOff>
                  </from>
                  <to>
                    <xdr:col>35</xdr:col>
                    <xdr:colOff>47625</xdr:colOff>
                    <xdr:row>62</xdr:row>
                    <xdr:rowOff>19050</xdr:rowOff>
                  </to>
                </anchor>
              </controlPr>
            </control>
          </mc:Choice>
        </mc:AlternateContent>
        <mc:AlternateContent xmlns:mc="http://schemas.openxmlformats.org/markup-compatibility/2006">
          <mc:Choice Requires="x14">
            <control shapeId="104470" r:id="rId25" name="Check Box 22">
              <controlPr defaultSize="0" autoFill="0" autoLine="0" autoPict="0" macro="[0]!CheckBox1_Click" altText="">
                <anchor>
                  <from>
                    <xdr:col>22</xdr:col>
                    <xdr:colOff>66675</xdr:colOff>
                    <xdr:row>54</xdr:row>
                    <xdr:rowOff>161925</xdr:rowOff>
                  </from>
                  <to>
                    <xdr:col>35</xdr:col>
                    <xdr:colOff>47625</xdr:colOff>
                    <xdr:row>56</xdr:row>
                    <xdr:rowOff>19050</xdr:rowOff>
                  </to>
                </anchor>
              </controlPr>
            </control>
          </mc:Choice>
        </mc:AlternateContent>
        <mc:AlternateContent xmlns:mc="http://schemas.openxmlformats.org/markup-compatibility/2006">
          <mc:Choice Requires="x14">
            <control shapeId="104471" r:id="rId26" name="Check Box 23">
              <controlPr defaultSize="0" autoFill="0" autoLine="0" autoPict="0" macro="[0]!CheckBox1_Click" altText="">
                <anchor>
                  <from>
                    <xdr:col>22</xdr:col>
                    <xdr:colOff>66675</xdr:colOff>
                    <xdr:row>55</xdr:row>
                    <xdr:rowOff>161925</xdr:rowOff>
                  </from>
                  <to>
                    <xdr:col>35</xdr:col>
                    <xdr:colOff>47625</xdr:colOff>
                    <xdr:row>57</xdr:row>
                    <xdr:rowOff>19050</xdr:rowOff>
                  </to>
                </anchor>
              </controlPr>
            </control>
          </mc:Choice>
        </mc:AlternateContent>
        <mc:AlternateContent xmlns:mc="http://schemas.openxmlformats.org/markup-compatibility/2006">
          <mc:Choice Requires="x14">
            <control shapeId="104472" r:id="rId27" name="Check Box 24">
              <controlPr defaultSize="0" autoFill="0" autoLine="0" autoPict="0" macro="[0]!CheckBox1_Click" altText="">
                <anchor>
                  <from>
                    <xdr:col>22</xdr:col>
                    <xdr:colOff>66675</xdr:colOff>
                    <xdr:row>61</xdr:row>
                    <xdr:rowOff>161925</xdr:rowOff>
                  </from>
                  <to>
                    <xdr:col>35</xdr:col>
                    <xdr:colOff>47625</xdr:colOff>
                    <xdr:row>63</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7"/>
  <dimension ref="A1:BP483"/>
  <sheetViews>
    <sheetView showRowColHeaders="0" zoomScaleNormal="100" workbookViewId="0"/>
  </sheetViews>
  <sheetFormatPr defaultColWidth="9.140625" defaultRowHeight="11.25" customHeight="1" x14ac:dyDescent="0.2"/>
  <cols>
    <col min="1" max="1" width="2.140625" style="80" customWidth="1"/>
    <col min="2" max="2" width="17.140625" style="80" customWidth="1"/>
    <col min="3" max="3" width="1.42578125" style="80" customWidth="1"/>
    <col min="4" max="8" width="7.42578125" style="80" customWidth="1"/>
    <col min="9" max="9" width="7.7109375" style="80" customWidth="1"/>
    <col min="10" max="10" width="1.42578125" style="106" customWidth="1"/>
    <col min="11" max="15" width="7.42578125" style="80" customWidth="1"/>
    <col min="16" max="16" width="7.140625" style="80" customWidth="1"/>
    <col min="17" max="17" width="1.42578125" style="80" customWidth="1"/>
    <col min="18" max="18" width="7.140625" style="80" customWidth="1"/>
    <col min="19" max="19" width="8.140625" style="80" bestFit="1" customWidth="1"/>
    <col min="20" max="20" width="7.5703125" style="80" customWidth="1"/>
    <col min="21" max="21" width="2.140625" style="80" customWidth="1"/>
    <col min="22" max="22" width="6.42578125" style="87" customWidth="1"/>
    <col min="23" max="23" width="4.85546875" style="87" customWidth="1"/>
    <col min="24" max="24" width="17.85546875" style="88" hidden="1" customWidth="1"/>
    <col min="25" max="25" width="19.42578125" style="88" hidden="1" customWidth="1"/>
    <col min="26" max="26" width="19.85546875" style="88" hidden="1" customWidth="1"/>
    <col min="27" max="28" width="16.7109375" style="88" hidden="1" customWidth="1"/>
    <col min="29" max="29" width="8.5703125" style="88" hidden="1" customWidth="1"/>
    <col min="30" max="30" width="17" style="88" hidden="1" customWidth="1"/>
    <col min="31" max="31" width="8.5703125" style="88" hidden="1" customWidth="1"/>
    <col min="32" max="32" width="14.28515625" style="88" hidden="1" customWidth="1"/>
    <col min="33" max="34" width="6.5703125" style="88" hidden="1" customWidth="1"/>
    <col min="35" max="35" width="6.5703125" style="80" hidden="1" customWidth="1"/>
    <col min="36" max="36" width="31.5703125" style="210" customWidth="1"/>
    <col min="37" max="37" width="17" style="80" hidden="1" customWidth="1"/>
    <col min="38" max="42" width="13.7109375" style="80" hidden="1" customWidth="1"/>
    <col min="43" max="68" width="9.140625" style="80" hidden="1" customWidth="1"/>
    <col min="69" max="69" width="0" style="80" hidden="1" customWidth="1"/>
    <col min="70" max="16384" width="9.140625" style="80"/>
  </cols>
  <sheetData>
    <row r="1" spans="1:44" ht="18.75" customHeight="1" x14ac:dyDescent="0.2">
      <c r="A1" s="129"/>
      <c r="B1" s="130"/>
      <c r="C1" s="130"/>
      <c r="D1" s="130"/>
      <c r="E1" s="130"/>
      <c r="F1" s="130"/>
      <c r="G1" s="130"/>
      <c r="H1" s="130"/>
      <c r="I1" s="130"/>
      <c r="J1" s="131"/>
      <c r="K1" s="130"/>
      <c r="L1" s="130"/>
      <c r="M1" s="130"/>
      <c r="N1" s="130"/>
      <c r="O1" s="130"/>
      <c r="P1" s="130"/>
      <c r="Q1" s="130"/>
      <c r="R1" s="130"/>
      <c r="S1" s="130"/>
      <c r="T1" s="130"/>
      <c r="U1" s="132"/>
      <c r="V1" s="306"/>
      <c r="W1" s="173"/>
      <c r="X1" s="206"/>
      <c r="Y1" s="206"/>
      <c r="Z1" s="206"/>
      <c r="AA1" s="206"/>
      <c r="AB1" s="206"/>
      <c r="AC1" s="206"/>
      <c r="AD1" s="206"/>
      <c r="AE1" s="206"/>
      <c r="AF1" s="206"/>
      <c r="AG1" s="206"/>
      <c r="AH1" s="206"/>
      <c r="AI1" s="207"/>
      <c r="AJ1" s="482"/>
    </row>
    <row r="2" spans="1:44" ht="18.75" customHeight="1" x14ac:dyDescent="0.2">
      <c r="A2" s="135"/>
      <c r="B2" s="145" t="s">
        <v>22</v>
      </c>
      <c r="C2" s="9"/>
      <c r="D2" s="9"/>
      <c r="E2" s="9"/>
      <c r="F2" s="9"/>
      <c r="G2" s="9"/>
      <c r="H2" s="9"/>
      <c r="I2" s="9"/>
      <c r="J2" s="13"/>
      <c r="K2" s="9"/>
      <c r="L2" s="9"/>
      <c r="M2" s="9"/>
      <c r="N2" s="9"/>
      <c r="O2" s="9"/>
      <c r="P2" s="9"/>
      <c r="Q2" s="9"/>
      <c r="R2" s="9"/>
      <c r="S2" s="9"/>
      <c r="T2" s="9"/>
      <c r="U2" s="134"/>
      <c r="V2" s="179"/>
      <c r="W2" s="168"/>
      <c r="AI2" s="210"/>
      <c r="AJ2" s="175"/>
    </row>
    <row r="3" spans="1:44" ht="18.75" customHeight="1" x14ac:dyDescent="0.2">
      <c r="A3" s="141"/>
      <c r="B3" s="142"/>
      <c r="C3" s="142"/>
      <c r="D3" s="142"/>
      <c r="E3" s="142"/>
      <c r="F3" s="142"/>
      <c r="G3" s="142"/>
      <c r="H3" s="142"/>
      <c r="I3" s="298"/>
      <c r="J3" s="143"/>
      <c r="K3" s="142"/>
      <c r="L3" s="142"/>
      <c r="M3" s="142"/>
      <c r="N3" s="142"/>
      <c r="O3" s="142"/>
      <c r="P3" s="142"/>
      <c r="Q3" s="142"/>
      <c r="R3" s="142"/>
      <c r="S3" s="298"/>
      <c r="T3" s="142"/>
      <c r="U3" s="144"/>
      <c r="V3" s="179"/>
      <c r="W3" s="168"/>
      <c r="AI3" s="210"/>
      <c r="AJ3" s="175"/>
    </row>
    <row r="4" spans="1:44" ht="11.25" customHeight="1" x14ac:dyDescent="0.2">
      <c r="A4" s="129"/>
      <c r="B4" s="130"/>
      <c r="C4" s="130"/>
      <c r="D4" s="130"/>
      <c r="E4" s="130"/>
      <c r="F4" s="130"/>
      <c r="G4" s="130"/>
      <c r="H4" s="130"/>
      <c r="I4" s="130"/>
      <c r="J4" s="131"/>
      <c r="K4" s="130"/>
      <c r="L4" s="130"/>
      <c r="M4" s="130"/>
      <c r="N4" s="130"/>
      <c r="O4" s="130"/>
      <c r="P4" s="130"/>
      <c r="Q4" s="130"/>
      <c r="R4" s="130"/>
      <c r="S4" s="130"/>
      <c r="T4" s="130"/>
      <c r="U4" s="132"/>
      <c r="V4" s="152"/>
      <c r="W4" s="168"/>
      <c r="X4" s="212" t="e">
        <f>VLOOKUP(Y4,$X$9:$Y$30,2,FALSE)</f>
        <v>#N/A</v>
      </c>
      <c r="Y4" s="212" t="str">
        <f>Home!$D$10</f>
        <v>(none)</v>
      </c>
      <c r="Z4" s="43" t="str">
        <f>"Selected LA- "&amp;Y4</f>
        <v>Selected LA- (none)</v>
      </c>
      <c r="AI4" s="210"/>
      <c r="AJ4" s="175"/>
    </row>
    <row r="5" spans="1:44" s="82" customFormat="1" ht="15" customHeight="1" x14ac:dyDescent="0.2">
      <c r="A5" s="136"/>
      <c r="B5" s="1087" t="s">
        <v>166</v>
      </c>
      <c r="C5" s="1087"/>
      <c r="D5" s="1087"/>
      <c r="E5" s="1087"/>
      <c r="F5" s="1087"/>
      <c r="G5" s="1087"/>
      <c r="H5" s="1087"/>
      <c r="I5" s="1087"/>
      <c r="J5" s="1087"/>
      <c r="K5" s="1087"/>
      <c r="L5" s="1087"/>
      <c r="M5" s="1087"/>
      <c r="N5" s="1087"/>
      <c r="O5" s="1087"/>
      <c r="P5" s="1087"/>
      <c r="Q5" s="1087"/>
      <c r="R5" s="1087"/>
      <c r="S5" s="1087"/>
      <c r="T5" s="1087"/>
      <c r="U5" s="137"/>
      <c r="V5" s="153"/>
      <c r="W5" s="169"/>
      <c r="X5" s="215"/>
      <c r="Y5" s="215"/>
      <c r="Z5" s="215"/>
      <c r="AA5" s="215"/>
      <c r="AB5" s="215"/>
      <c r="AC5" s="215"/>
      <c r="AD5" s="215"/>
      <c r="AE5" s="215"/>
      <c r="AF5" s="215"/>
      <c r="AG5" s="215"/>
      <c r="AH5" s="215"/>
      <c r="AI5" s="215"/>
      <c r="AJ5" s="176"/>
    </row>
    <row r="6" spans="1:44" ht="13.5" customHeight="1" x14ac:dyDescent="0.2">
      <c r="A6" s="135"/>
      <c r="B6" s="1087"/>
      <c r="C6" s="1087"/>
      <c r="D6" s="1087"/>
      <c r="E6" s="1087"/>
      <c r="F6" s="1087"/>
      <c r="G6" s="1087"/>
      <c r="H6" s="1087"/>
      <c r="I6" s="1087"/>
      <c r="J6" s="1087"/>
      <c r="K6" s="1087"/>
      <c r="L6" s="1087"/>
      <c r="M6" s="1087"/>
      <c r="N6" s="1087"/>
      <c r="O6" s="1087"/>
      <c r="P6" s="1087"/>
      <c r="Q6" s="1087"/>
      <c r="R6" s="1087"/>
      <c r="S6" s="1087"/>
      <c r="T6" s="1087"/>
      <c r="U6" s="134"/>
      <c r="V6" s="152"/>
      <c r="W6" s="168"/>
      <c r="Y6" s="217"/>
      <c r="AI6" s="210"/>
      <c r="AJ6" s="175"/>
    </row>
    <row r="7" spans="1:44" s="101" customFormat="1" ht="21" customHeight="1" x14ac:dyDescent="0.2">
      <c r="A7" s="138"/>
      <c r="B7" s="1050" t="s">
        <v>215</v>
      </c>
      <c r="C7" s="97"/>
      <c r="D7" s="982" t="s">
        <v>88</v>
      </c>
      <c r="E7" s="1042"/>
      <c r="F7" s="1042"/>
      <c r="G7" s="1042"/>
      <c r="H7" s="1043"/>
      <c r="I7" s="1044" t="str">
        <f>"% Change "&amp;E8&amp;"-"&amp;RIGHT(H8,2)</f>
        <v>% Change 2015-18</v>
      </c>
      <c r="J7" s="115"/>
      <c r="K7" s="1046" t="s">
        <v>89</v>
      </c>
      <c r="L7" s="1047"/>
      <c r="M7" s="1047"/>
      <c r="N7" s="1047"/>
      <c r="O7" s="1047"/>
      <c r="P7" s="1048" t="str">
        <f>"SE Rank "&amp;O8</f>
        <v>SE Rank 2018</v>
      </c>
      <c r="Q7" s="70"/>
      <c r="R7" s="1096" t="str">
        <f>"Distance from Expected "&amp;H8</f>
        <v>Distance from Expected 2018</v>
      </c>
      <c r="S7" s="1097"/>
      <c r="T7" s="1098"/>
      <c r="U7" s="139"/>
      <c r="V7" s="154"/>
      <c r="W7" s="170"/>
      <c r="X7" s="232"/>
      <c r="Y7" s="232"/>
      <c r="Z7" s="233" t="s">
        <v>79</v>
      </c>
      <c r="AA7" s="217"/>
      <c r="AB7" s="217"/>
      <c r="AC7" s="226"/>
      <c r="AD7" s="226"/>
      <c r="AE7" s="217"/>
      <c r="AF7" s="234" t="s">
        <v>92</v>
      </c>
      <c r="AG7" s="217"/>
      <c r="AH7" s="217"/>
      <c r="AI7" s="232"/>
      <c r="AJ7" s="178"/>
    </row>
    <row r="8" spans="1:44" s="101" customFormat="1" ht="13.5" customHeight="1" x14ac:dyDescent="0.2">
      <c r="A8" s="138"/>
      <c r="B8" s="1051"/>
      <c r="C8" s="97"/>
      <c r="D8" s="393">
        <v>2014</v>
      </c>
      <c r="E8" s="393">
        <v>2015</v>
      </c>
      <c r="F8" s="393">
        <v>2016</v>
      </c>
      <c r="G8" s="393">
        <v>2017</v>
      </c>
      <c r="H8" s="394">
        <v>2018</v>
      </c>
      <c r="I8" s="1045"/>
      <c r="J8" s="115"/>
      <c r="K8" s="395">
        <f>D8</f>
        <v>2014</v>
      </c>
      <c r="L8" s="395">
        <f t="shared" ref="L8:O8" si="0">E8</f>
        <v>2015</v>
      </c>
      <c r="M8" s="395">
        <f t="shared" si="0"/>
        <v>2016</v>
      </c>
      <c r="N8" s="395">
        <f t="shared" si="0"/>
        <v>2017</v>
      </c>
      <c r="O8" s="396">
        <f t="shared" si="0"/>
        <v>2018</v>
      </c>
      <c r="P8" s="1049"/>
      <c r="Q8" s="70"/>
      <c r="R8" s="328" t="s">
        <v>78</v>
      </c>
      <c r="S8" s="375" t="s">
        <v>131</v>
      </c>
      <c r="T8" s="376" t="s">
        <v>132</v>
      </c>
      <c r="U8" s="139"/>
      <c r="V8" s="154"/>
      <c r="W8" s="170"/>
      <c r="X8" s="232"/>
      <c r="Y8" s="232"/>
      <c r="Z8" s="44">
        <f>K8</f>
        <v>2014</v>
      </c>
      <c r="AA8" s="44">
        <f>L8</f>
        <v>2015</v>
      </c>
      <c r="AB8" s="44">
        <f>M8</f>
        <v>2016</v>
      </c>
      <c r="AC8" s="44">
        <f>N8</f>
        <v>2017</v>
      </c>
      <c r="AD8" s="44">
        <f>O8</f>
        <v>2018</v>
      </c>
      <c r="AE8" s="217"/>
      <c r="AF8" s="217"/>
      <c r="AG8" s="217"/>
      <c r="AH8" s="217"/>
      <c r="AI8" s="232"/>
      <c r="AJ8" s="178"/>
    </row>
    <row r="9" spans="1:44" s="101" customFormat="1" ht="13.5" customHeight="1" x14ac:dyDescent="0.2">
      <c r="A9" s="533">
        <f>VLOOKUP(B9,Sheet1!$B$4:$C$25,2,FALSE)</f>
        <v>0</v>
      </c>
      <c r="B9" s="112" t="s">
        <v>0</v>
      </c>
      <c r="C9" s="97"/>
      <c r="D9" s="113">
        <f>IF(Year1_Bracknell_Forest Year1_LAC="","",Year1_Bracknell_Forest Year1_LAC)</f>
        <v>113</v>
      </c>
      <c r="E9" s="113">
        <f>IF(Year2_Bracknell_Forest Year2_LAC="","",Year2_Bracknell_Forest Year2_LAC)</f>
        <v>104</v>
      </c>
      <c r="F9" s="113">
        <f>IF(Year3_Bracknell_Forest Year3_LAC="","",Year3_Bracknell_Forest Year3_LAC)</f>
        <v>98</v>
      </c>
      <c r="G9" s="113">
        <f>IF(Year4_Bracknell_Forest Year4_LAC="","",Year4_Bracknell_Forest Year4_LAC)</f>
        <v>116</v>
      </c>
      <c r="H9" s="114">
        <f>IF(Year5_Bracknell_Forest Year5_LAC="","",Year5_Bracknell_Forest Year5_LAC)</f>
        <v>138</v>
      </c>
      <c r="I9" s="392">
        <f>IF(ISNUMBER(H9),(H9-E9)/E9,"")</f>
        <v>0.32692307692307693</v>
      </c>
      <c r="J9" s="115"/>
      <c r="K9" s="116">
        <f>IF(ISNUMBER(D9),D9/Population!C8*10000,NA())</f>
        <v>41.697416974169741</v>
      </c>
      <c r="L9" s="116">
        <f>IF(ISNUMBER(E9),E9/Population!D8*10000,NA())</f>
        <v>37.410071942446045</v>
      </c>
      <c r="M9" s="116">
        <f>IF(ISNUMBER(F9),F9/Population!E8*10000,NA())</f>
        <v>34.751773049645394</v>
      </c>
      <c r="N9" s="116">
        <f>IF(ISNUMBER(G9),G9/Population!F8*10000,NA())</f>
        <v>41.172712429899903</v>
      </c>
      <c r="O9" s="117">
        <f>IF(ISNUMBER(H9),H9/Population!G8*10000,NA())</f>
        <v>49.161055893983111</v>
      </c>
      <c r="P9" s="397">
        <f>IF(ISNA(VLOOKUP(B9,$AF$9:$AH$27,3,FALSE)),"--",IF(ISNUMBER(H9),VLOOKUP(B9,$AF$9:$AH$27,3,FALSE),NA()))</f>
        <v>10</v>
      </c>
      <c r="Q9" s="70"/>
      <c r="R9" s="387">
        <f>IDACI!C9</f>
        <v>11</v>
      </c>
      <c r="S9" s="388">
        <f>(R9*$Y$68)+$Z$68</f>
        <v>45.222943780681973</v>
      </c>
      <c r="T9" s="389">
        <f>O9-S9</f>
        <v>3.9381121133011376</v>
      </c>
      <c r="U9" s="139"/>
      <c r="V9" s="154"/>
      <c r="W9" s="170"/>
      <c r="X9" s="72" t="str">
        <f t="shared" ref="X9:X32" si="1">B9</f>
        <v>Bracknell Forest</v>
      </c>
      <c r="Y9" s="235">
        <v>1</v>
      </c>
      <c r="Z9" s="236">
        <f>IF(D9&gt;0,Population!C8,"")</f>
        <v>27100</v>
      </c>
      <c r="AA9" s="236">
        <f>IF(E9&gt;0,Population!D8,"")</f>
        <v>27800</v>
      </c>
      <c r="AB9" s="236">
        <f>IF(F9&gt;0,Population!E8,"")</f>
        <v>28200</v>
      </c>
      <c r="AC9" s="236">
        <f>IF(G9&gt;0,Population!F8,"")</f>
        <v>28174</v>
      </c>
      <c r="AD9" s="236">
        <f>IF(H9&gt;0,Population!G8,"")</f>
        <v>28071</v>
      </c>
      <c r="AE9" s="217"/>
      <c r="AF9" s="112" t="str">
        <f>B9</f>
        <v>Bracknell Forest</v>
      </c>
      <c r="AG9" s="262">
        <f>IFERROR(VLOOKUP(AF9,$B$9:$O$30,14,FALSE),"")</f>
        <v>49.161055893983111</v>
      </c>
      <c r="AH9" s="237">
        <f>RANK(AG9,$AG$9:$AG$27,1)</f>
        <v>10</v>
      </c>
      <c r="AI9" s="232"/>
      <c r="AJ9" s="178"/>
    </row>
    <row r="10" spans="1:44" s="101" customFormat="1" ht="13.5" customHeight="1" x14ac:dyDescent="0.2">
      <c r="A10" s="533">
        <f>VLOOKUP(B10,Sheet1!$B$4:$C$25,2,FALSE)</f>
        <v>0</v>
      </c>
      <c r="B10" s="112" t="s">
        <v>32</v>
      </c>
      <c r="C10" s="97"/>
      <c r="D10" s="113">
        <f>IF(Year1_Brighton_Hove Year1_LAC="","",Year1_Brighton_Hove Year1_LAC)</f>
        <v>462</v>
      </c>
      <c r="E10" s="113">
        <f>IF(Year2_Brighton_Hove Year2_LAC="","",Year2_Brighton_Hove Year2_LAC)</f>
        <v>472</v>
      </c>
      <c r="F10" s="113">
        <f>IF(Year3_Brighton_Hove Year3_LAC="","",Year3_Brighton_Hove Year3_LAC)</f>
        <v>438</v>
      </c>
      <c r="G10" s="113">
        <f>IF(Year4_Brighton_Hove Year4_LAC="","",Year4_Brighton_Hove Year4_LAC)</f>
        <v>456</v>
      </c>
      <c r="H10" s="114">
        <f>IF(Year5_Brighton_Hove Year5_LAC="","",Year5_Brighton_Hove Year5_LAC)</f>
        <v>418</v>
      </c>
      <c r="I10" s="392">
        <f>IF(ISNUMBER(H10),(H10-E10)/E10,"")</f>
        <v>-0.11440677966101695</v>
      </c>
      <c r="J10" s="115"/>
      <c r="K10" s="116">
        <f>IF(ISNUMBER(D10),D10/Population!C9*10000,NA())</f>
        <v>91.485148514851474</v>
      </c>
      <c r="L10" s="116">
        <f>IF(ISNUMBER(E10),E10/Population!D9*10000,NA())</f>
        <v>92.54901960784315</v>
      </c>
      <c r="M10" s="116">
        <f>IF(ISNUMBER(F10),F10/Population!E9*10000,NA())</f>
        <v>85.546875</v>
      </c>
      <c r="N10" s="116">
        <f>IF(ISNUMBER(G10),G10/Population!F9*10000,NA())</f>
        <v>88.921822897369395</v>
      </c>
      <c r="O10" s="117">
        <f>IF(ISNUMBER(H10),H10/Population!G9*10000,NA())</f>
        <v>81.991330103371851</v>
      </c>
      <c r="P10" s="397">
        <f t="shared" ref="P10:P32" si="2">IF(ISNA(VLOOKUP(B10,$AF$9:$AH$27,3,FALSE)),"--",IF(ISNUMBER(H10),VLOOKUP(B10,$AF$9:$AH$27,3,FALSE),NA()))</f>
        <v>16</v>
      </c>
      <c r="Q10" s="70"/>
      <c r="R10" s="387">
        <f>IDACI!C10</f>
        <v>18.3</v>
      </c>
      <c r="S10" s="388">
        <f t="shared" ref="S10:S32" si="3">(R10*$Y$68)+$Z$68</f>
        <v>62.886311571565095</v>
      </c>
      <c r="T10" s="389">
        <f t="shared" ref="T10:T32" si="4">O10-S10</f>
        <v>19.105018531806756</v>
      </c>
      <c r="U10" s="139"/>
      <c r="V10" s="154"/>
      <c r="W10" s="170"/>
      <c r="X10" s="72" t="str">
        <f t="shared" si="1"/>
        <v>Brighton &amp; Hove</v>
      </c>
      <c r="Y10" s="235">
        <v>2</v>
      </c>
      <c r="Z10" s="236">
        <f>IF(D10&gt;0,Population!C9,"")</f>
        <v>50500</v>
      </c>
      <c r="AA10" s="236">
        <f>IF(E10&gt;0,Population!D9,"")</f>
        <v>51000</v>
      </c>
      <c r="AB10" s="236">
        <f>IF(F10&gt;0,Population!E9,"")</f>
        <v>51200</v>
      </c>
      <c r="AC10" s="236">
        <f>IF(G10&gt;0,Population!F9,"")</f>
        <v>51281</v>
      </c>
      <c r="AD10" s="236">
        <f>IF(H10&gt;0,Population!G9,"")</f>
        <v>50981</v>
      </c>
      <c r="AE10" s="217"/>
      <c r="AF10" s="112" t="s">
        <v>32</v>
      </c>
      <c r="AG10" s="262">
        <f t="shared" ref="AG10:AG27" si="5">IFERROR(VLOOKUP(AF10,$B$9:$O$30,14,FALSE),"")</f>
        <v>81.991330103371851</v>
      </c>
      <c r="AH10" s="237">
        <f t="shared" ref="AH10:AH27" si="6">RANK(AG10,$AG$9:$AG$27,1)</f>
        <v>16</v>
      </c>
      <c r="AI10" s="232"/>
      <c r="AJ10" s="178"/>
    </row>
    <row r="11" spans="1:44" s="101" customFormat="1" ht="13.5" customHeight="1" x14ac:dyDescent="0.2">
      <c r="A11" s="533">
        <f>VLOOKUP(B11,Sheet1!$B$4:$C$25,2,FALSE)</f>
        <v>0</v>
      </c>
      <c r="B11" s="112" t="s">
        <v>9</v>
      </c>
      <c r="C11" s="97"/>
      <c r="D11" s="113">
        <f>IF(Year1_Buckinghamshire Year1_LAC="","",Year1_Buckinghamshire Year1_LAC)</f>
        <v>438</v>
      </c>
      <c r="E11" s="113">
        <f>IF(Year2_Buckinghamshire Year2_LAC="","",Year2_Buckinghamshire Year2_LAC)</f>
        <v>435</v>
      </c>
      <c r="F11" s="113">
        <f>IF(Year3_Buckinghamshire Year3_LAC="","",Year3_Buckinghamshire Year3_LAC)</f>
        <v>459</v>
      </c>
      <c r="G11" s="113">
        <f>IF(Year4_Buckinghamshire Year4_LAC="","",Year4_Buckinghamshire Year4_LAC)</f>
        <v>454</v>
      </c>
      <c r="H11" s="114">
        <f>IF(Year5_Buckinghamshire Year5_LAC="","",Year5_Buckinghamshire Year5_LAC)</f>
        <v>475</v>
      </c>
      <c r="I11" s="392">
        <f t="shared" ref="I11:I32" si="7">IF(ISNUMBER(H11),(H11-E11)/E11,"")</f>
        <v>9.1954022988505746E-2</v>
      </c>
      <c r="J11" s="115"/>
      <c r="K11" s="116">
        <f>IF(ISNUMBER(D11),D11/Population!C10*10000,NA())</f>
        <v>37.244897959183675</v>
      </c>
      <c r="L11" s="116">
        <f>IF(ISNUMBER(E11),E11/Population!D10*10000,NA())</f>
        <v>36.585365853658537</v>
      </c>
      <c r="M11" s="116">
        <f>IF(ISNUMBER(F11),F11/Population!E10*10000,NA())</f>
        <v>38.059701492537314</v>
      </c>
      <c r="N11" s="116">
        <f>IF(ISNUMBER(G11),G11/Population!F10*10000,NA())</f>
        <v>37.150689415326703</v>
      </c>
      <c r="O11" s="117">
        <f>IF(ISNUMBER(H11),H11/Population!G10*10000,NA())</f>
        <v>38.594353036766201</v>
      </c>
      <c r="P11" s="397">
        <f t="shared" si="2"/>
        <v>4</v>
      </c>
      <c r="Q11" s="70"/>
      <c r="R11" s="387">
        <f>IDACI!C11</f>
        <v>9.8000000000000007</v>
      </c>
      <c r="S11" s="388">
        <f t="shared" si="3"/>
        <v>42.3193764725916</v>
      </c>
      <c r="T11" s="389">
        <f t="shared" si="4"/>
        <v>-3.7250234358253991</v>
      </c>
      <c r="U11" s="139"/>
      <c r="V11" s="154"/>
      <c r="W11" s="170"/>
      <c r="X11" s="72" t="str">
        <f t="shared" si="1"/>
        <v>Buckinghamshire</v>
      </c>
      <c r="Y11" s="235">
        <v>3</v>
      </c>
      <c r="Z11" s="236">
        <f>IF(D11&gt;0,Population!C10,"")</f>
        <v>117600</v>
      </c>
      <c r="AA11" s="236">
        <f>IF(E11&gt;0,Population!D10,"")</f>
        <v>118900</v>
      </c>
      <c r="AB11" s="236">
        <f>IF(F11&gt;0,Population!E10,"")</f>
        <v>120600</v>
      </c>
      <c r="AC11" s="236">
        <f>IF(G11&gt;0,Population!F10,"")</f>
        <v>122205</v>
      </c>
      <c r="AD11" s="236">
        <f>IF(H11&gt;0,Population!G10,"")</f>
        <v>123075</v>
      </c>
      <c r="AE11" s="217"/>
      <c r="AF11" s="112" t="s">
        <v>9</v>
      </c>
      <c r="AG11" s="262">
        <f t="shared" si="5"/>
        <v>38.594353036766201</v>
      </c>
      <c r="AH11" s="237">
        <f t="shared" si="6"/>
        <v>4</v>
      </c>
      <c r="AI11" s="232"/>
      <c r="AJ11" s="178"/>
    </row>
    <row r="12" spans="1:44" s="101" customFormat="1" ht="13.5" customHeight="1" x14ac:dyDescent="0.2">
      <c r="A12" s="533">
        <f>VLOOKUP(B12,Sheet1!$B$4:$C$25,2,FALSE)</f>
        <v>0</v>
      </c>
      <c r="B12" s="112" t="s">
        <v>4</v>
      </c>
      <c r="C12" s="97"/>
      <c r="D12" s="113">
        <f>IF(Year1_East_Sussex Year1_LAC="","",Year1_East_Sussex Year1_LAC)</f>
        <v>574</v>
      </c>
      <c r="E12" s="118">
        <f>IF(Year2_East_Sussex Year2_LAC="","",Year2_East_Sussex Year2_LAC)</f>
        <v>546</v>
      </c>
      <c r="F12" s="113">
        <f>IF(Year3_East_Sussex Year3_LAC="","",Year3_East_Sussex Year3_LAC)</f>
        <v>543</v>
      </c>
      <c r="G12" s="113">
        <f>IF(Year4_East_Sussex Year4_LAC="","",Year4_East_Sussex Year4_LAC)</f>
        <v>555</v>
      </c>
      <c r="H12" s="114">
        <f>IF(Year5_East_Sussex Year5_LAC="","",Year5_East_Sussex Year5_LAC)</f>
        <v>603</v>
      </c>
      <c r="I12" s="392">
        <f t="shared" si="7"/>
        <v>0.1043956043956044</v>
      </c>
      <c r="J12" s="115"/>
      <c r="K12" s="116">
        <f>IF(ISNUMBER(D12),D12/Population!C11*10000,NA())</f>
        <v>54.770992366412216</v>
      </c>
      <c r="L12" s="116">
        <f>IF(ISNUMBER(E12),E12/Population!D11*10000,NA())</f>
        <v>51.802656546489565</v>
      </c>
      <c r="M12" s="116">
        <f>IF(ISNUMBER(F12),F12/Population!E11*10000,NA())</f>
        <v>51.274787535410766</v>
      </c>
      <c r="N12" s="116">
        <f>IF(ISNUMBER(G12),G12/Population!F11*10000,NA())</f>
        <v>52.396552212456221</v>
      </c>
      <c r="O12" s="117">
        <f>IF(ISNUMBER(H12),H12/Population!G11*10000,NA())</f>
        <v>56.862652647460983</v>
      </c>
      <c r="P12" s="397">
        <f t="shared" si="2"/>
        <v>12</v>
      </c>
      <c r="Q12" s="70"/>
      <c r="R12" s="387">
        <f>IDACI!C12</f>
        <v>17.399999999999999</v>
      </c>
      <c r="S12" s="388">
        <f t="shared" si="3"/>
        <v>60.708636090497308</v>
      </c>
      <c r="T12" s="389">
        <f t="shared" si="4"/>
        <v>-3.8459834430363244</v>
      </c>
      <c r="U12" s="139"/>
      <c r="V12" s="154"/>
      <c r="W12" s="170"/>
      <c r="X12" s="72" t="str">
        <f t="shared" si="1"/>
        <v>East Sussex</v>
      </c>
      <c r="Y12" s="235">
        <v>4</v>
      </c>
      <c r="Z12" s="236">
        <f>IF(D12&gt;0,Population!C11,"")</f>
        <v>104800</v>
      </c>
      <c r="AA12" s="236">
        <f>IF(E12&gt;0,Population!D11,"")</f>
        <v>105400</v>
      </c>
      <c r="AB12" s="236">
        <f>IF(F12&gt;0,Population!E11,"")</f>
        <v>105900</v>
      </c>
      <c r="AC12" s="236">
        <f>IF(G12&gt;0,Population!F11,"")</f>
        <v>105923</v>
      </c>
      <c r="AD12" s="236">
        <f>IF(H12&gt;0,Population!G11,"")</f>
        <v>106045</v>
      </c>
      <c r="AE12" s="217"/>
      <c r="AF12" s="112" t="s">
        <v>4</v>
      </c>
      <c r="AG12" s="262">
        <f t="shared" si="5"/>
        <v>56.862652647460983</v>
      </c>
      <c r="AH12" s="237">
        <f t="shared" si="6"/>
        <v>12</v>
      </c>
      <c r="AI12" s="232"/>
      <c r="AJ12" s="178"/>
    </row>
    <row r="13" spans="1:44" s="101" customFormat="1" ht="13.5" customHeight="1" x14ac:dyDescent="0.2">
      <c r="A13" s="533">
        <f>VLOOKUP(B13,Sheet1!$B$4:$C$25,2,FALSE)</f>
        <v>0</v>
      </c>
      <c r="B13" s="112" t="s">
        <v>6</v>
      </c>
      <c r="C13" s="97"/>
      <c r="D13" s="113">
        <f>IF(Year1_Hampshire Year1_LAC="","",Year1_Hampshire Year1_LAC)</f>
        <v>1265</v>
      </c>
      <c r="E13" s="113">
        <f>IF(Year2_Hampshire Year2_LAC="","",Year2_Hampshire Year2_LAC)</f>
        <v>1333</v>
      </c>
      <c r="F13" s="119">
        <f>IF(Year3_Hampshire Year3_LAC="","",Year3_Hampshire Year3_LAC)</f>
        <v>1305</v>
      </c>
      <c r="G13" s="119">
        <f>IF(Year4_Hampshire Year4_LAC="","",Year4_Hampshire Year4_LAC)</f>
        <v>1440</v>
      </c>
      <c r="H13" s="114">
        <f>IF(Year5_Hampshire Year5_LAC="","",Year5_Hampshire Year5_LAC)</f>
        <v>1594</v>
      </c>
      <c r="I13" s="392">
        <f t="shared" si="7"/>
        <v>0.19579894973743436</v>
      </c>
      <c r="J13" s="115"/>
      <c r="K13" s="116">
        <f>IF(ISNUMBER(D13),D13/Population!C12*10000,NA())</f>
        <v>44.874068818730045</v>
      </c>
      <c r="L13" s="116">
        <f>IF(ISNUMBER(E13),E13/Population!D12*10000,NA())</f>
        <v>47.353463587921851</v>
      </c>
      <c r="M13" s="116">
        <f>IF(ISNUMBER(F13),F13/Population!E12*10000,NA())</f>
        <v>46.293011706278826</v>
      </c>
      <c r="N13" s="116">
        <f>IF(ISNUMBER(G13),G13/Population!F12*10000,NA())</f>
        <v>50.920998193011798</v>
      </c>
      <c r="O13" s="117">
        <f>IF(ISNUMBER(H13),H13/Population!G12*10000,NA())</f>
        <v>56.262662628744074</v>
      </c>
      <c r="P13" s="397">
        <f t="shared" si="2"/>
        <v>11</v>
      </c>
      <c r="Q13" s="70"/>
      <c r="R13" s="387">
        <f>IDACI!C13</f>
        <v>11.799999999999999</v>
      </c>
      <c r="S13" s="388">
        <f t="shared" si="3"/>
        <v>47.158655319408886</v>
      </c>
      <c r="T13" s="389">
        <f t="shared" si="4"/>
        <v>9.1040073093351879</v>
      </c>
      <c r="U13" s="139"/>
      <c r="V13" s="154"/>
      <c r="W13" s="170"/>
      <c r="X13" s="72" t="str">
        <f t="shared" si="1"/>
        <v>Hampshire</v>
      </c>
      <c r="Y13" s="235">
        <v>5</v>
      </c>
      <c r="Z13" s="236">
        <f>IF(D13&gt;0,Population!C12,"")</f>
        <v>281900</v>
      </c>
      <c r="AA13" s="236">
        <f>IF(E13&gt;0,Population!D12,"")</f>
        <v>281500</v>
      </c>
      <c r="AB13" s="236">
        <f>IF(F13&gt;0,Population!E12,"")</f>
        <v>281900</v>
      </c>
      <c r="AC13" s="236">
        <f>IF(G13&gt;0,Population!F12,"")</f>
        <v>282791</v>
      </c>
      <c r="AD13" s="236">
        <f>IF(H13&gt;0,Population!G12,"")</f>
        <v>283314</v>
      </c>
      <c r="AE13" s="217"/>
      <c r="AF13" s="112" t="s">
        <v>6</v>
      </c>
      <c r="AG13" s="262">
        <f t="shared" si="5"/>
        <v>56.262662628744074</v>
      </c>
      <c r="AH13" s="237">
        <f t="shared" si="6"/>
        <v>11</v>
      </c>
      <c r="AI13" s="232"/>
      <c r="AJ13" s="178"/>
    </row>
    <row r="14" spans="1:44" s="101" customFormat="1" ht="13.5" customHeight="1" x14ac:dyDescent="0.2">
      <c r="A14" s="533">
        <f>VLOOKUP(B14,Sheet1!$B$4:$C$25,2,FALSE)</f>
        <v>0</v>
      </c>
      <c r="B14" s="112" t="s">
        <v>1</v>
      </c>
      <c r="C14" s="97"/>
      <c r="D14" s="113">
        <f>IF(Year1_Isle_of_Wight Year1_LAC="","",Year1_Isle_of_Wight Year1_LAC)</f>
        <v>191</v>
      </c>
      <c r="E14" s="113">
        <f>IF(Year2_Isle_of_Wight Year2_LAC="","",Year2_Isle_of_Wight Year2_LAC)</f>
        <v>202</v>
      </c>
      <c r="F14" s="113">
        <f>IF(Year3_Isle_of_Wight Year3_LAC="","",Year3_Isle_of_Wight Year3_LAC)</f>
        <v>204</v>
      </c>
      <c r="G14" s="113">
        <f>IF(Year4_Isle_of_Wight Year4_LAC="","",Year4_Isle_of_Wight Year4_LAC)</f>
        <v>228</v>
      </c>
      <c r="H14" s="114">
        <f>IF(Year5_Isle_of_Wight Year5_LAC="","",Year5_Isle_of_Wight Year5_LAC)</f>
        <v>226</v>
      </c>
      <c r="I14" s="392">
        <f t="shared" si="7"/>
        <v>0.11881188118811881</v>
      </c>
      <c r="J14" s="115"/>
      <c r="K14" s="116">
        <f>IF(ISNUMBER(D14),D14/Population!C13*10000,NA())</f>
        <v>74.031007751937977</v>
      </c>
      <c r="L14" s="116">
        <f>IF(ISNUMBER(E14),E14/Population!D13*10000,NA())</f>
        <v>79.215686274509807</v>
      </c>
      <c r="M14" s="116">
        <f>IF(ISNUMBER(F14),F14/Population!E13*10000,NA())</f>
        <v>80.632411067193686</v>
      </c>
      <c r="N14" s="116">
        <f>IF(ISNUMBER(G14),G14/Population!F13*10000,NA())</f>
        <v>90.476190476190467</v>
      </c>
      <c r="O14" s="117">
        <f>IF(ISNUMBER(H14),H14/Population!G13*10000,NA())</f>
        <v>90.201556575533814</v>
      </c>
      <c r="P14" s="397">
        <f>IF(ISNA(VLOOKUP(B14,$AF$9:$AH$27,3,FALSE)),"--",IF(ISNUMBER(H14),VLOOKUP(B14,$AF$9:$AH$27,3,FALSE),NA()))</f>
        <v>17</v>
      </c>
      <c r="Q14" s="70"/>
      <c r="R14" s="387">
        <f>IDACI!C14</f>
        <v>20.399999999999999</v>
      </c>
      <c r="S14" s="388">
        <f t="shared" si="3"/>
        <v>67.967554360723256</v>
      </c>
      <c r="T14" s="389">
        <f t="shared" si="4"/>
        <v>22.234002214810559</v>
      </c>
      <c r="U14" s="139"/>
      <c r="V14" s="154"/>
      <c r="W14" s="170"/>
      <c r="X14" s="72" t="str">
        <f t="shared" si="1"/>
        <v>Isle of Wight</v>
      </c>
      <c r="Y14" s="235">
        <v>6</v>
      </c>
      <c r="Z14" s="236">
        <f>IF(D14&gt;0,Population!C13,"")</f>
        <v>25800</v>
      </c>
      <c r="AA14" s="236">
        <f>IF(E14&gt;0,Population!D13,"")</f>
        <v>25500</v>
      </c>
      <c r="AB14" s="236">
        <f>IF(F14&gt;0,Population!E13,"")</f>
        <v>25300</v>
      </c>
      <c r="AC14" s="236">
        <f>IF(G14&gt;0,Population!F13,"")</f>
        <v>25200</v>
      </c>
      <c r="AD14" s="236">
        <f>IF(H14&gt;0,Population!G13,"")</f>
        <v>25055</v>
      </c>
      <c r="AE14" s="217"/>
      <c r="AF14" s="112" t="s">
        <v>1</v>
      </c>
      <c r="AG14" s="262">
        <f t="shared" si="5"/>
        <v>90.201556575533814</v>
      </c>
      <c r="AH14" s="237">
        <f t="shared" si="6"/>
        <v>17</v>
      </c>
      <c r="AI14" s="232"/>
      <c r="AJ14" s="178"/>
      <c r="AR14" s="101" t="s">
        <v>104</v>
      </c>
    </row>
    <row r="15" spans="1:44" s="101" customFormat="1" ht="13.5" customHeight="1" x14ac:dyDescent="0.2">
      <c r="A15" s="533">
        <f>VLOOKUP(B15,Sheet1!$B$4:$C$25,2,FALSE)</f>
        <v>0</v>
      </c>
      <c r="B15" s="112" t="s">
        <v>10</v>
      </c>
      <c r="C15" s="97"/>
      <c r="D15" s="113">
        <f>IF(Year1_Kent Year1_LAC="","",Year1_Kent Year1_LAC)</f>
        <v>1820</v>
      </c>
      <c r="E15" s="113">
        <f>IF(Year2_Kent Year2_LAC="","",Year2_Kent Year2_LAC)</f>
        <v>1867</v>
      </c>
      <c r="F15" s="113">
        <f>IF(Year3_Kent Year3_LAC="","",Year3_Kent Year3_LAC)</f>
        <v>2314</v>
      </c>
      <c r="G15" s="113">
        <f>IF(Year4_Kent Year4_LAC="","",Year4_Kent Year4_LAC)</f>
        <v>1902</v>
      </c>
      <c r="H15" s="114">
        <f>IF(Year5_Kent Year5_LAC="","",Year5_Kent Year5_LAC)</f>
        <v>1645</v>
      </c>
      <c r="I15" s="392">
        <f t="shared" si="7"/>
        <v>-0.11890733797536154</v>
      </c>
      <c r="J15" s="115"/>
      <c r="K15" s="116">
        <f>IF(ISNUMBER(D15),D15/Population!C14*10000,NA())</f>
        <v>55.896805896805894</v>
      </c>
      <c r="L15" s="116">
        <f>IF(ISNUMBER(E15),E15/Population!D14*10000,NA())</f>
        <v>56.868717636308254</v>
      </c>
      <c r="M15" s="116">
        <f>IF(ISNUMBER(F15),F15/Population!E14*10000,NA())</f>
        <v>70.036319612590802</v>
      </c>
      <c r="N15" s="116">
        <f>IF(ISNUMBER(G15),G15/Population!F14*10000,NA())</f>
        <v>57.109399630680542</v>
      </c>
      <c r="O15" s="117">
        <f>IF(ISNUMBER(H15),H15/Population!G14*10000,NA())</f>
        <v>48.945223005742513</v>
      </c>
      <c r="P15" s="397">
        <f t="shared" si="2"/>
        <v>9</v>
      </c>
      <c r="Q15" s="70"/>
      <c r="R15" s="387">
        <f>IDACI!C15</f>
        <v>17.8</v>
      </c>
      <c r="S15" s="388">
        <f t="shared" si="3"/>
        <v>61.676491859860775</v>
      </c>
      <c r="T15" s="389">
        <f t="shared" si="4"/>
        <v>-12.731268854118262</v>
      </c>
      <c r="U15" s="139"/>
      <c r="V15" s="154"/>
      <c r="W15" s="170"/>
      <c r="X15" s="72" t="str">
        <f t="shared" si="1"/>
        <v>Kent</v>
      </c>
      <c r="Y15" s="235">
        <v>7</v>
      </c>
      <c r="Z15" s="236">
        <f>IF(D15&gt;0,Population!C14,"")</f>
        <v>325600</v>
      </c>
      <c r="AA15" s="236">
        <f>IF(E15&gt;0,Population!D14,"")</f>
        <v>328300</v>
      </c>
      <c r="AB15" s="236">
        <f>IF(F15&gt;0,Population!E14,"")</f>
        <v>330400</v>
      </c>
      <c r="AC15" s="236">
        <f>IF(G15&gt;0,Population!F14,"")</f>
        <v>333045</v>
      </c>
      <c r="AD15" s="236">
        <f>IF(H15&gt;0,Population!G14,"")</f>
        <v>336090</v>
      </c>
      <c r="AE15" s="217"/>
      <c r="AF15" s="112" t="s">
        <v>10</v>
      </c>
      <c r="AG15" s="262">
        <f t="shared" si="5"/>
        <v>48.945223005742513</v>
      </c>
      <c r="AH15" s="237">
        <f t="shared" si="6"/>
        <v>9</v>
      </c>
      <c r="AI15" s="232"/>
      <c r="AJ15" s="178"/>
    </row>
    <row r="16" spans="1:44" s="101" customFormat="1" ht="13.5" customHeight="1" x14ac:dyDescent="0.2">
      <c r="A16" s="533">
        <f>VLOOKUP(B16,Sheet1!$B$4:$C$25,2,FALSE)</f>
        <v>0</v>
      </c>
      <c r="B16" s="112" t="s">
        <v>2</v>
      </c>
      <c r="C16" s="97"/>
      <c r="D16" s="113">
        <f>IF(Year1_Medway Year1_LAC="","",Year1_Medway Year1_LAC)</f>
        <v>379</v>
      </c>
      <c r="E16" s="329">
        <f>IF(Year2_Medway Year2_LAC="","",Year2_Medway Year2_LAC)</f>
        <v>426</v>
      </c>
      <c r="F16" s="329">
        <f>IF(Year3_Medway Year3_LAC="","",Year3_Medway Year3_LAC)</f>
        <v>430</v>
      </c>
      <c r="G16" s="329">
        <f>IF(Year4_Medway Year4_LAC="","",Year4_Medway Year4_LAC)</f>
        <v>390</v>
      </c>
      <c r="H16" s="330">
        <f>IF(Year5_Medway Year5_LAC="","",Year5_Medway Year5_LAC)</f>
        <v>414</v>
      </c>
      <c r="I16" s="392">
        <f t="shared" si="7"/>
        <v>-2.8169014084507043E-2</v>
      </c>
      <c r="J16" s="115"/>
      <c r="K16" s="116">
        <f>IF(ISNUMBER(D16),D16/Population!C15*10000,NA())</f>
        <v>61.525974025974023</v>
      </c>
      <c r="L16" s="116">
        <f>IF(ISNUMBER(E16),E16/Population!D15*10000,NA())</f>
        <v>68.16</v>
      </c>
      <c r="M16" s="116">
        <f>IF(ISNUMBER(F16),F16/Population!E15*10000,NA())</f>
        <v>68.037974683544306</v>
      </c>
      <c r="N16" s="116">
        <f>IF(ISNUMBER(G16),G16/Population!F15*10000,NA())</f>
        <v>61.227373345683468</v>
      </c>
      <c r="O16" s="117">
        <f>IF(ISNUMBER(H16),H16/Population!G15*10000,NA())</f>
        <v>64.745163661385916</v>
      </c>
      <c r="P16" s="397">
        <f t="shared" si="2"/>
        <v>14</v>
      </c>
      <c r="Q16" s="70"/>
      <c r="R16" s="387">
        <f>IDACI!C16</f>
        <v>22</v>
      </c>
      <c r="S16" s="388">
        <f t="shared" si="3"/>
        <v>71.838977438177096</v>
      </c>
      <c r="T16" s="389">
        <f t="shared" si="4"/>
        <v>-7.0938137767911797</v>
      </c>
      <c r="U16" s="139"/>
      <c r="V16" s="154"/>
      <c r="W16" s="170"/>
      <c r="X16" s="72" t="str">
        <f t="shared" si="1"/>
        <v>Medway</v>
      </c>
      <c r="Y16" s="235">
        <v>8</v>
      </c>
      <c r="Z16" s="236">
        <f>IF(D16&gt;0,Population!C15,"")</f>
        <v>61600</v>
      </c>
      <c r="AA16" s="236">
        <f>IF(E16&gt;0,Population!D15,"")</f>
        <v>62500</v>
      </c>
      <c r="AB16" s="236">
        <f>IF(F16&gt;0,Population!E15,"")</f>
        <v>63200</v>
      </c>
      <c r="AC16" s="236">
        <f>IF(G16&gt;0,Population!F15,"")</f>
        <v>63697</v>
      </c>
      <c r="AD16" s="236">
        <f>IF(H16&gt;0,Population!G15,"")</f>
        <v>63943</v>
      </c>
      <c r="AE16" s="217"/>
      <c r="AF16" s="112" t="s">
        <v>2</v>
      </c>
      <c r="AG16" s="262">
        <f t="shared" si="5"/>
        <v>64.745163661385916</v>
      </c>
      <c r="AH16" s="237">
        <f t="shared" si="6"/>
        <v>14</v>
      </c>
      <c r="AI16" s="232"/>
      <c r="AJ16" s="178"/>
    </row>
    <row r="17" spans="1:36" s="101" customFormat="1" ht="13.5" customHeight="1" x14ac:dyDescent="0.2">
      <c r="A17" s="533">
        <f>VLOOKUP(B17,Sheet1!$B$4:$C$25,2,FALSE)</f>
        <v>0</v>
      </c>
      <c r="B17" s="112" t="s">
        <v>11</v>
      </c>
      <c r="C17" s="97"/>
      <c r="D17" s="113">
        <f>IF(Year1_Milton_Keynes Year1_LAC="","",Year1_Milton_Keynes Year1_LAC)</f>
        <v>303</v>
      </c>
      <c r="E17" s="113">
        <f>IF(Year2_Milton_Keynes Year2_LAC="","",Year2_Milton_Keynes Year2_LAC)</f>
        <v>339</v>
      </c>
      <c r="F17" s="113">
        <f>IF(Year3_Milton_Keynes Year3_LAC="","",Year3_Milton_Keynes Year3_LAC)</f>
        <v>345</v>
      </c>
      <c r="G17" s="113">
        <f>IF(Year4_Milton_Keynes Year4_LAC="","",Year4_Milton_Keynes Year4_LAC)</f>
        <v>396</v>
      </c>
      <c r="H17" s="114">
        <f>IF(Year5_Milton_Keynes Year5_LAC="","",Year5_Milton_Keynes Year5_LAC)</f>
        <v>391</v>
      </c>
      <c r="I17" s="392">
        <f t="shared" si="7"/>
        <v>0.15339233038348082</v>
      </c>
      <c r="J17" s="115"/>
      <c r="K17" s="116">
        <f>IF(ISNUMBER(D17),D17/Population!C16*10000,NA())</f>
        <v>47.34375</v>
      </c>
      <c r="L17" s="116">
        <f>IF(ISNUMBER(E17),E17/Population!D16*10000,NA())</f>
        <v>51.993865030674847</v>
      </c>
      <c r="M17" s="116">
        <f>IF(ISNUMBER(F17),F17/Population!E16*10000,NA())</f>
        <v>52.193645990922839</v>
      </c>
      <c r="N17" s="116">
        <f>IF(ISNUMBER(G17),G17/Population!F16*10000,NA())</f>
        <v>58.975962827271914</v>
      </c>
      <c r="O17" s="117">
        <f>IF(ISNUMBER(H17),H17/Population!G16*10000,NA())</f>
        <v>57.800050260913274</v>
      </c>
      <c r="P17" s="397">
        <f t="shared" si="2"/>
        <v>13</v>
      </c>
      <c r="Q17" s="70"/>
      <c r="R17" s="387">
        <f>IDACI!C17</f>
        <v>19.7</v>
      </c>
      <c r="S17" s="388">
        <f t="shared" si="3"/>
        <v>66.273806764337195</v>
      </c>
      <c r="T17" s="389">
        <f t="shared" si="4"/>
        <v>-8.4737565034239211</v>
      </c>
      <c r="U17" s="139"/>
      <c r="V17" s="154"/>
      <c r="W17" s="170"/>
      <c r="X17" s="72" t="str">
        <f t="shared" si="1"/>
        <v>Milton Keynes</v>
      </c>
      <c r="Y17" s="235">
        <v>9</v>
      </c>
      <c r="Z17" s="236">
        <f>IF(D17&gt;0,Population!C16,"")</f>
        <v>64000</v>
      </c>
      <c r="AA17" s="236">
        <f>IF(E17&gt;0,Population!D16,"")</f>
        <v>65200</v>
      </c>
      <c r="AB17" s="236">
        <f>IF(F17&gt;0,Population!E16,"")</f>
        <v>66100</v>
      </c>
      <c r="AC17" s="236">
        <f>IF(G17&gt;0,Population!F16,"")</f>
        <v>67146</v>
      </c>
      <c r="AD17" s="236">
        <f>IF(H17&gt;0,Population!G16,"")</f>
        <v>67647</v>
      </c>
      <c r="AE17" s="217"/>
      <c r="AF17" s="112" t="s">
        <v>11</v>
      </c>
      <c r="AG17" s="262">
        <f t="shared" si="5"/>
        <v>57.800050260913274</v>
      </c>
      <c r="AH17" s="237">
        <f t="shared" si="6"/>
        <v>13</v>
      </c>
      <c r="AI17" s="232"/>
      <c r="AJ17" s="178"/>
    </row>
    <row r="18" spans="1:36" s="101" customFormat="1" ht="13.5" customHeight="1" x14ac:dyDescent="0.2">
      <c r="A18" s="533">
        <f>VLOOKUP(B18,Sheet1!$B$4:$C$25,2,FALSE)</f>
        <v>0</v>
      </c>
      <c r="B18" s="112" t="s">
        <v>12</v>
      </c>
      <c r="C18" s="97"/>
      <c r="D18" s="113">
        <f>IF(Year1_Oxfordshire Year1_LAC="","",Year1_Oxfordshire Year1_LAC)</f>
        <v>462</v>
      </c>
      <c r="E18" s="113">
        <f>IF(Year2_Oxfordshire Year2_LAC="","",Year2_Oxfordshire Year2_LAC)</f>
        <v>510</v>
      </c>
      <c r="F18" s="113">
        <f>IF(Year3_Oxfordshire Year3_LAC="","",Year3_Oxfordshire Year3_LAC)</f>
        <v>593</v>
      </c>
      <c r="G18" s="113">
        <f>IF(Year4_Oxfordshire Year4_LAC="","",Year4_Oxfordshire Year4_LAC)</f>
        <v>666</v>
      </c>
      <c r="H18" s="114">
        <f>IF(Year5_Oxfordshire Year5_LAC="","",Year5_Oxfordshire Year5_LAC)</f>
        <v>685</v>
      </c>
      <c r="I18" s="392">
        <f t="shared" si="7"/>
        <v>0.34313725490196079</v>
      </c>
      <c r="J18" s="115"/>
      <c r="K18" s="116">
        <f>IF(ISNUMBER(D18),D18/Population!C17*10000,NA())</f>
        <v>32.929436920883816</v>
      </c>
      <c r="L18" s="116">
        <f>IF(ISNUMBER(E18),E18/Population!D17*10000,NA())</f>
        <v>36.118980169971671</v>
      </c>
      <c r="M18" s="116">
        <f>IF(ISNUMBER(F18),F18/Population!E17*10000,NA())</f>
        <v>41.819464033850494</v>
      </c>
      <c r="N18" s="116">
        <f>IF(ISNUMBER(G18),G18/Population!F17*10000,NA())</f>
        <v>46.606996647935219</v>
      </c>
      <c r="O18" s="117">
        <f>IF(ISNUMBER(H18),H18/Population!G17*10000,NA())</f>
        <v>47.753827277543856</v>
      </c>
      <c r="P18" s="397">
        <f t="shared" si="2"/>
        <v>7</v>
      </c>
      <c r="Q18" s="70"/>
      <c r="R18" s="387">
        <f>IDACI!C18</f>
        <v>11.799999999999999</v>
      </c>
      <c r="S18" s="388">
        <f t="shared" si="3"/>
        <v>47.158655319408886</v>
      </c>
      <c r="T18" s="389">
        <f t="shared" si="4"/>
        <v>0.59517195813496926</v>
      </c>
      <c r="U18" s="139"/>
      <c r="V18" s="154"/>
      <c r="W18" s="170"/>
      <c r="X18" s="72" t="str">
        <f t="shared" si="1"/>
        <v>Oxfordshire</v>
      </c>
      <c r="Y18" s="235">
        <v>10</v>
      </c>
      <c r="Z18" s="236">
        <f>IF(D18&gt;0,Population!C17,"")</f>
        <v>140300</v>
      </c>
      <c r="AA18" s="236">
        <f>IF(E18&gt;0,Population!D17,"")</f>
        <v>141200</v>
      </c>
      <c r="AB18" s="236">
        <f>IF(F18&gt;0,Population!E17,"")</f>
        <v>141800</v>
      </c>
      <c r="AC18" s="236">
        <f>IF(G18&gt;0,Population!F17,"")</f>
        <v>142897</v>
      </c>
      <c r="AD18" s="236">
        <f>IF(H18&gt;0,Population!G17,"")</f>
        <v>143444</v>
      </c>
      <c r="AE18" s="217"/>
      <c r="AF18" s="112" t="s">
        <v>12</v>
      </c>
      <c r="AG18" s="262">
        <f t="shared" si="5"/>
        <v>47.753827277543856</v>
      </c>
      <c r="AH18" s="237">
        <f t="shared" si="6"/>
        <v>7</v>
      </c>
      <c r="AI18" s="232"/>
      <c r="AJ18" s="178"/>
    </row>
    <row r="19" spans="1:36" s="101" customFormat="1" ht="13.5" customHeight="1" x14ac:dyDescent="0.2">
      <c r="A19" s="533">
        <f>VLOOKUP(B19,Sheet1!$B$4:$C$25,2,FALSE)</f>
        <v>0</v>
      </c>
      <c r="B19" s="112" t="s">
        <v>13</v>
      </c>
      <c r="C19" s="97"/>
      <c r="D19" s="113">
        <f>IF(Year1_Portsmouth Year1_LAC="","",Year1_Portsmouth Year1_LAC)</f>
        <v>318</v>
      </c>
      <c r="E19" s="113">
        <f>IF(Year2_Portsmouth Year2_LAC="","",Year2_Portsmouth Year2_LAC)</f>
        <v>320</v>
      </c>
      <c r="F19" s="113">
        <f>IF(Year3_Portsmouth Year3_LAC="","",Year3_Portsmouth Year3_LAC)</f>
        <v>322</v>
      </c>
      <c r="G19" s="113">
        <f>IF(Year4_Portsmouth Year4_LAC="","",Year4_Portsmouth Year4_LAC)</f>
        <v>358</v>
      </c>
      <c r="H19" s="114">
        <f>IF(Year5_Portsmouth Year5_LAC="","",Year5_Portsmouth Year5_LAC)</f>
        <v>415</v>
      </c>
      <c r="I19" s="392">
        <f t="shared" si="7"/>
        <v>0.296875</v>
      </c>
      <c r="J19" s="115"/>
      <c r="K19" s="116">
        <f>IF(ISNUMBER(D19),D19/Population!C18*10000,NA())</f>
        <v>74.647887323943664</v>
      </c>
      <c r="L19" s="116">
        <f>IF(ISNUMBER(E19),E19/Population!D18*10000,NA())</f>
        <v>73.73271889400921</v>
      </c>
      <c r="M19" s="116">
        <f>IF(ISNUMBER(F19),F19/Population!E18*10000,NA())</f>
        <v>73.515981735159826</v>
      </c>
      <c r="N19" s="116">
        <f>IF(ISNUMBER(G19),G19/Population!F18*10000,NA())</f>
        <v>81.36363636363636</v>
      </c>
      <c r="O19" s="117">
        <f>IF(ISNUMBER(H19),H19/Population!G18*10000,NA())</f>
        <v>93.908399710354814</v>
      </c>
      <c r="P19" s="397">
        <f t="shared" si="2"/>
        <v>18</v>
      </c>
      <c r="Q19" s="70"/>
      <c r="R19" s="387">
        <f>IDACI!C19</f>
        <v>23.799999999999997</v>
      </c>
      <c r="S19" s="388">
        <f t="shared" si="3"/>
        <v>76.194328400312656</v>
      </c>
      <c r="T19" s="389">
        <f t="shared" si="4"/>
        <v>17.714071310042158</v>
      </c>
      <c r="U19" s="139"/>
      <c r="V19" s="154"/>
      <c r="W19" s="170"/>
      <c r="X19" s="72" t="str">
        <f t="shared" si="1"/>
        <v>Portsmouth</v>
      </c>
      <c r="Y19" s="235">
        <v>11</v>
      </c>
      <c r="Z19" s="236">
        <f>IF(D19&gt;0,Population!C18,"")</f>
        <v>42600</v>
      </c>
      <c r="AA19" s="236">
        <f>IF(E19&gt;0,Population!D18,"")</f>
        <v>43400</v>
      </c>
      <c r="AB19" s="236">
        <f>IF(F19&gt;0,Population!E18,"")</f>
        <v>43800</v>
      </c>
      <c r="AC19" s="236">
        <f>IF(G19&gt;0,Population!F18,"")</f>
        <v>44000</v>
      </c>
      <c r="AD19" s="236">
        <f>IF(H19&gt;0,Population!G18,"")</f>
        <v>44192</v>
      </c>
      <c r="AE19" s="217"/>
      <c r="AF19" s="112" t="s">
        <v>13</v>
      </c>
      <c r="AG19" s="262">
        <f t="shared" si="5"/>
        <v>93.908399710354814</v>
      </c>
      <c r="AH19" s="237">
        <f t="shared" si="6"/>
        <v>18</v>
      </c>
      <c r="AI19" s="232"/>
      <c r="AJ19" s="178"/>
    </row>
    <row r="20" spans="1:36" s="101" customFormat="1" ht="13.5" customHeight="1" x14ac:dyDescent="0.2">
      <c r="A20" s="533">
        <f>VLOOKUP(B20,Sheet1!$B$4:$C$25,2,FALSE)</f>
        <v>0</v>
      </c>
      <c r="B20" s="112" t="s">
        <v>3</v>
      </c>
      <c r="C20" s="97"/>
      <c r="D20" s="113">
        <f>IF(Year1_Reading Year1_LAC="","",Year1_Reading Year1_LAC)</f>
        <v>207</v>
      </c>
      <c r="E20" s="113">
        <f>IF(Year2_Reading Year2_LAC="","",Year2_Reading Year2_LAC)</f>
        <v>209</v>
      </c>
      <c r="F20" s="113">
        <f>IF(Year3_Reading Year3_LAC="","",Year3_Reading Year3_LAC)</f>
        <v>220</v>
      </c>
      <c r="G20" s="113">
        <f>IF(Year4_Reading Year4_LAC="","",Year4_Reading Year4_LAC)</f>
        <v>263</v>
      </c>
      <c r="H20" s="114">
        <f>IF(Year5_Reading Year5_LAC="","",Year5_Reading Year5_LAC)</f>
        <v>278</v>
      </c>
      <c r="I20" s="392">
        <f t="shared" si="7"/>
        <v>0.33014354066985646</v>
      </c>
      <c r="J20" s="115"/>
      <c r="K20" s="116">
        <f>IF(ISNUMBER(D20),D20/Population!C19*10000,NA())</f>
        <v>59.654178674351584</v>
      </c>
      <c r="L20" s="116">
        <f>IF(ISNUMBER(E20),E20/Population!D19*10000,NA())</f>
        <v>58.217270194986071</v>
      </c>
      <c r="M20" s="116">
        <f>IF(ISNUMBER(F20),F20/Population!E19*10000,NA())</f>
        <v>60.439560439560445</v>
      </c>
      <c r="N20" s="116">
        <f>IF(ISNUMBER(G20),G20/Population!F19*10000,NA())</f>
        <v>71.77751698916515</v>
      </c>
      <c r="O20" s="117">
        <f>IF(ISNUMBER(H20),H20/Population!G19*10000,NA())</f>
        <v>74.946755452511255</v>
      </c>
      <c r="P20" s="397">
        <f t="shared" si="2"/>
        <v>15</v>
      </c>
      <c r="Q20" s="70"/>
      <c r="R20" s="387">
        <f>IDACI!C20</f>
        <v>19.8</v>
      </c>
      <c r="S20" s="388">
        <f t="shared" si="3"/>
        <v>66.515770706678069</v>
      </c>
      <c r="T20" s="389">
        <f t="shared" si="4"/>
        <v>8.4309847458331859</v>
      </c>
      <c r="U20" s="139"/>
      <c r="V20" s="154"/>
      <c r="W20" s="170"/>
      <c r="X20" s="72" t="str">
        <f t="shared" si="1"/>
        <v>Reading</v>
      </c>
      <c r="Y20" s="235">
        <v>12</v>
      </c>
      <c r="Z20" s="236">
        <f>IF(D20&gt;0,Population!C19,"")</f>
        <v>34700</v>
      </c>
      <c r="AA20" s="236">
        <f>IF(E20&gt;0,Population!D19,"")</f>
        <v>35900</v>
      </c>
      <c r="AB20" s="236">
        <f>IF(F20&gt;0,Population!E19,"")</f>
        <v>36400</v>
      </c>
      <c r="AC20" s="236">
        <f>IF(G20&gt;0,Population!F19,"")</f>
        <v>36641</v>
      </c>
      <c r="AD20" s="236">
        <f>IF(H20&gt;0,Population!G19,"")</f>
        <v>37093</v>
      </c>
      <c r="AE20" s="217"/>
      <c r="AF20" s="112" t="s">
        <v>3</v>
      </c>
      <c r="AG20" s="262">
        <f t="shared" si="5"/>
        <v>74.946755452511255</v>
      </c>
      <c r="AH20" s="237">
        <f t="shared" si="6"/>
        <v>15</v>
      </c>
      <c r="AI20" s="232"/>
      <c r="AJ20" s="178"/>
    </row>
    <row r="21" spans="1:36" s="101" customFormat="1" ht="13.5" customHeight="1" x14ac:dyDescent="0.2">
      <c r="A21" s="533">
        <f>VLOOKUP(B21,Sheet1!$B$4:$C$25,2,FALSE)</f>
        <v>0</v>
      </c>
      <c r="B21" s="112" t="s">
        <v>14</v>
      </c>
      <c r="C21" s="97"/>
      <c r="D21" s="113">
        <f>IF(Year1_Slough Year1_LAC="","",Year1_Slough Year1_LAC)</f>
        <v>189</v>
      </c>
      <c r="E21" s="113">
        <f>IF(Year2_Slough Year2_LAC="","",Year2_Slough Year2_LAC)</f>
        <v>196</v>
      </c>
      <c r="F21" s="113">
        <f>IF(Year3_Slough Year3_LAC="","",Year3_Slough Year3_LAC)</f>
        <v>179</v>
      </c>
      <c r="G21" s="113">
        <f>IF(Year4_Slough Year4_LAC="","",Year4_Slough Year4_LAC)</f>
        <v>190</v>
      </c>
      <c r="H21" s="114">
        <f>IF(Year5_Slough Year5_LAC="","",Year5_Slough Year5_LAC)</f>
        <v>206</v>
      </c>
      <c r="I21" s="392">
        <f t="shared" si="7"/>
        <v>5.1020408163265307E-2</v>
      </c>
      <c r="J21" s="115"/>
      <c r="K21" s="116">
        <f>IF(ISNUMBER(D21),D21/Population!C20*10000,NA())</f>
        <v>48.586118251928021</v>
      </c>
      <c r="L21" s="116">
        <f>IF(ISNUMBER(E21),E21/Population!D20*10000,NA())</f>
        <v>49.122807017543863</v>
      </c>
      <c r="M21" s="116">
        <f>IF(ISNUMBER(F21),F21/Population!E20*10000,NA())</f>
        <v>44.088669950738911</v>
      </c>
      <c r="N21" s="116">
        <f>IF(ISNUMBER(G21),G21/Population!F20*10000,NA())</f>
        <v>45.887069506834763</v>
      </c>
      <c r="O21" s="117">
        <f>IF(ISNUMBER(H21),H21/Population!G20*10000,NA())</f>
        <v>48.838311996206734</v>
      </c>
      <c r="P21" s="397">
        <f t="shared" si="2"/>
        <v>8</v>
      </c>
      <c r="Q21" s="70"/>
      <c r="R21" s="387">
        <f>IDACI!C21</f>
        <v>19.5</v>
      </c>
      <c r="S21" s="388">
        <f t="shared" si="3"/>
        <v>65.789878879655475</v>
      </c>
      <c r="T21" s="389">
        <f t="shared" si="4"/>
        <v>-16.951566883448741</v>
      </c>
      <c r="U21" s="139"/>
      <c r="V21" s="154"/>
      <c r="W21" s="170"/>
      <c r="X21" s="72" t="str">
        <f t="shared" si="1"/>
        <v>Slough</v>
      </c>
      <c r="Y21" s="235">
        <v>13</v>
      </c>
      <c r="Z21" s="236">
        <f>IF(D21&gt;0,Population!C20,"")</f>
        <v>38900</v>
      </c>
      <c r="AA21" s="236">
        <f>IF(E21&gt;0,Population!D20,"")</f>
        <v>39900</v>
      </c>
      <c r="AB21" s="236">
        <f>IF(F21&gt;0,Population!E20,"")</f>
        <v>40600</v>
      </c>
      <c r="AC21" s="236">
        <f>IF(G21&gt;0,Population!F20,"")</f>
        <v>41406</v>
      </c>
      <c r="AD21" s="236">
        <f>IF(H21&gt;0,Population!G20,"")</f>
        <v>42180</v>
      </c>
      <c r="AE21" s="217"/>
      <c r="AF21" s="112" t="s">
        <v>14</v>
      </c>
      <c r="AG21" s="262">
        <f t="shared" si="5"/>
        <v>48.838311996206734</v>
      </c>
      <c r="AH21" s="237">
        <f t="shared" si="6"/>
        <v>8</v>
      </c>
      <c r="AI21" s="232"/>
      <c r="AJ21" s="178"/>
    </row>
    <row r="22" spans="1:36" s="101" customFormat="1" ht="13.5" customHeight="1" x14ac:dyDescent="0.2">
      <c r="A22" s="533">
        <f>VLOOKUP(B22,Sheet1!$B$4:$C$25,2,FALSE)</f>
        <v>0</v>
      </c>
      <c r="B22" s="112" t="s">
        <v>93</v>
      </c>
      <c r="C22" s="97"/>
      <c r="D22" s="113">
        <f>IF(Year1_Somerset Year1_LAC="","",Year1_Somerset Year1_LAC)</f>
        <v>488</v>
      </c>
      <c r="E22" s="113">
        <f>IF(Year2_Somerset Year2_LAC="","",Year2_Somerset Year2_LAC)</f>
        <v>487</v>
      </c>
      <c r="F22" s="113">
        <f>IF(Year3_Somerset Year3_LAC="","",Year3_Somerset Year3_LAC)</f>
        <v>501</v>
      </c>
      <c r="G22" s="113">
        <f>IF(Year4_Somerset Year4_LAC="","",Year4_Somerset Year4_LAC)</f>
        <v>476</v>
      </c>
      <c r="H22" s="114">
        <f>IF(Year5_Somerset Year5_LAC="","",Year5_Somerset Year5_LAC)</f>
        <v>522</v>
      </c>
      <c r="I22" s="392">
        <f t="shared" si="7"/>
        <v>7.1868583162217656E-2</v>
      </c>
      <c r="J22" s="115"/>
      <c r="K22" s="116">
        <f>IF(ISNUMBER(D22),D22/Population!C21*10000,NA())</f>
        <v>44.852941176470587</v>
      </c>
      <c r="L22" s="116">
        <f>IF(ISNUMBER(E22),E22/Population!D21*10000,NA())</f>
        <v>44.719926538108353</v>
      </c>
      <c r="M22" s="116">
        <f>IF(ISNUMBER(F22),F22/Population!E21*10000,NA())</f>
        <v>45.879120879120876</v>
      </c>
      <c r="N22" s="116">
        <f>IF(ISNUMBER(G22),G22/Population!F21*10000,NA())</f>
        <v>43.408081563420488</v>
      </c>
      <c r="O22" s="117">
        <f>IF(ISNUMBER(H22),H22/Population!G21*10000,NA())</f>
        <v>47.418335089567968</v>
      </c>
      <c r="P22" s="422" t="str">
        <f t="shared" si="2"/>
        <v>--</v>
      </c>
      <c r="Q22" s="70"/>
      <c r="R22" s="387">
        <f>IDACI!C22</f>
        <v>14.8</v>
      </c>
      <c r="S22" s="388">
        <f t="shared" si="3"/>
        <v>54.417573589634834</v>
      </c>
      <c r="T22" s="389">
        <f t="shared" si="4"/>
        <v>-6.9992385000668662</v>
      </c>
      <c r="U22" s="139"/>
      <c r="V22" s="154"/>
      <c r="W22" s="170"/>
      <c r="X22" s="72" t="str">
        <f t="shared" si="1"/>
        <v>Somerset</v>
      </c>
      <c r="Y22" s="235">
        <v>14</v>
      </c>
      <c r="Z22" s="236">
        <f>IF(D22&gt;0,Population!C21,"")</f>
        <v>108800</v>
      </c>
      <c r="AA22" s="236">
        <f>IF(E22&gt;0,Population!D21,"")</f>
        <v>108900</v>
      </c>
      <c r="AB22" s="236">
        <f>IF(F22&gt;0,Population!E21,"")</f>
        <v>109200</v>
      </c>
      <c r="AC22" s="236">
        <f>IF(G22&gt;0,Population!F21,"")</f>
        <v>109657</v>
      </c>
      <c r="AD22" s="236">
        <f>IF(H22&gt;0,Population!G21,"")</f>
        <v>110084</v>
      </c>
      <c r="AE22" s="217"/>
      <c r="AF22" s="112" t="s">
        <v>15</v>
      </c>
      <c r="AG22" s="262">
        <f t="shared" si="5"/>
        <v>103.76702117085776</v>
      </c>
      <c r="AH22" s="237">
        <f t="shared" si="6"/>
        <v>19</v>
      </c>
      <c r="AI22" s="232"/>
      <c r="AJ22" s="178"/>
    </row>
    <row r="23" spans="1:36" s="101" customFormat="1" ht="13.5" customHeight="1" x14ac:dyDescent="0.2">
      <c r="A23" s="533">
        <f>VLOOKUP(B23,Sheet1!$B$4:$C$25,2,FALSE)</f>
        <v>0</v>
      </c>
      <c r="B23" s="112" t="s">
        <v>15</v>
      </c>
      <c r="C23" s="97"/>
      <c r="D23" s="113">
        <f>IF(Year1_Southampton Year1_LAC="","",Year1_Southampton Year1_LAC)</f>
        <v>500</v>
      </c>
      <c r="E23" s="113">
        <f>IF(Year2_Southampton Year2_LAC="","",Year2_Southampton Year2_LAC)</f>
        <v>582</v>
      </c>
      <c r="F23" s="113">
        <f>IF(Year3_Southampton Year3_LAC="","",Year3_Southampton Year3_LAC)</f>
        <v>591</v>
      </c>
      <c r="G23" s="113">
        <f>IF(Year4_Southampton Year4_LAC="","",Year4_Southampton Year4_LAC)</f>
        <v>540</v>
      </c>
      <c r="H23" s="114">
        <f>IF(Year5_Southampton Year5_LAC="","",Year5_Southampton Year5_LAC)</f>
        <v>522</v>
      </c>
      <c r="I23" s="392">
        <f t="shared" si="7"/>
        <v>-0.10309278350515463</v>
      </c>
      <c r="J23" s="115"/>
      <c r="K23" s="116">
        <f>IF(ISNUMBER(D23),D23/Population!C22*10000,NA())</f>
        <v>105.48523206751054</v>
      </c>
      <c r="L23" s="116">
        <f>IF(ISNUMBER(E23),E23/Population!D22*10000,NA())</f>
        <v>119.75308641975309</v>
      </c>
      <c r="M23" s="116">
        <f>IF(ISNUMBER(F23),F23/Population!E22*10000,NA())</f>
        <v>120.1219512195122</v>
      </c>
      <c r="N23" s="116">
        <f>IF(ISNUMBER(G23),G23/Population!F22*10000,NA())</f>
        <v>108.21426424320154</v>
      </c>
      <c r="O23" s="117">
        <f>IF(ISNUMBER(H23),H23/Population!G22*10000,NA())</f>
        <v>103.76702117085776</v>
      </c>
      <c r="P23" s="397">
        <f t="shared" si="2"/>
        <v>19</v>
      </c>
      <c r="Q23" s="70"/>
      <c r="R23" s="387">
        <f>IDACI!C23</f>
        <v>25</v>
      </c>
      <c r="S23" s="388">
        <f t="shared" si="3"/>
        <v>79.09789570840303</v>
      </c>
      <c r="T23" s="389">
        <f t="shared" si="4"/>
        <v>24.66912546245473</v>
      </c>
      <c r="U23" s="139"/>
      <c r="V23" s="154"/>
      <c r="W23" s="170"/>
      <c r="X23" s="72" t="str">
        <f t="shared" si="1"/>
        <v>Southampton</v>
      </c>
      <c r="Y23" s="235">
        <v>15</v>
      </c>
      <c r="Z23" s="236">
        <f>IF(D23&gt;0,Population!C22,"")</f>
        <v>47400</v>
      </c>
      <c r="AA23" s="236">
        <f>IF(E23&gt;0,Population!D22,"")</f>
        <v>48600</v>
      </c>
      <c r="AB23" s="236">
        <f>IF(F23&gt;0,Population!E22,"")</f>
        <v>49200</v>
      </c>
      <c r="AC23" s="236">
        <f>IF(G23&gt;0,Population!F22,"")</f>
        <v>49901</v>
      </c>
      <c r="AD23" s="236">
        <f>IF(H23&gt;0,Population!G22,"")</f>
        <v>50305</v>
      </c>
      <c r="AE23" s="217"/>
      <c r="AF23" s="112" t="s">
        <v>7</v>
      </c>
      <c r="AG23" s="262">
        <f t="shared" si="5"/>
        <v>35.650486928795068</v>
      </c>
      <c r="AH23" s="237">
        <f t="shared" si="6"/>
        <v>3</v>
      </c>
      <c r="AI23" s="232"/>
      <c r="AJ23" s="178"/>
    </row>
    <row r="24" spans="1:36" s="101" customFormat="1" ht="13.5" customHeight="1" x14ac:dyDescent="0.2">
      <c r="A24" s="533">
        <f>VLOOKUP(B24,Sheet1!$B$4:$C$25,2,FALSE)</f>
        <v>0</v>
      </c>
      <c r="B24" s="112" t="s">
        <v>7</v>
      </c>
      <c r="C24" s="97"/>
      <c r="D24" s="113">
        <f>IF(Year1_Surrey Year1_LAC="","",Year1_Surrey Year1_LAC)</f>
        <v>793</v>
      </c>
      <c r="E24" s="113">
        <f>IF(Year2_Surrey Year2_LAC="","",Year2_Surrey Year2_LAC)</f>
        <v>779</v>
      </c>
      <c r="F24" s="113">
        <f>IF(Year3_Surrey Year3_LAC="","",Year3_Surrey Year3_LAC)</f>
        <v>867</v>
      </c>
      <c r="G24" s="113">
        <f>IF(Year4_Surrey Year4_LAC="","",Year4_Surrey Year4_LAC)</f>
        <v>869</v>
      </c>
      <c r="H24" s="114">
        <f>IF(Year5_Surrey Year5_LAC="","",Year5_Surrey Year5_LAC)</f>
        <v>928</v>
      </c>
      <c r="I24" s="392">
        <f t="shared" si="7"/>
        <v>0.19127086007702182</v>
      </c>
      <c r="J24" s="115"/>
      <c r="K24" s="116">
        <f>IF(ISNUMBER(D24),D24/Population!C23*10000,NA())</f>
        <v>31.468253968253968</v>
      </c>
      <c r="L24" s="116">
        <f>IF(ISNUMBER(E24),E24/Population!D23*10000,NA())</f>
        <v>30.597014925373138</v>
      </c>
      <c r="M24" s="116">
        <f>IF(ISNUMBER(F24),F24/Population!E23*10000,NA())</f>
        <v>33.814352574102962</v>
      </c>
      <c r="N24" s="116">
        <f>IF(ISNUMBER(G24),G24/Population!F23*10000,NA())</f>
        <v>33.552253097502309</v>
      </c>
      <c r="O24" s="117">
        <f>IF(ISNUMBER(H24),H24/Population!G23*10000,NA())</f>
        <v>35.650486928795068</v>
      </c>
      <c r="P24" s="397">
        <f t="shared" si="2"/>
        <v>3</v>
      </c>
      <c r="Q24" s="70"/>
      <c r="R24" s="387">
        <f>IDACI!C24</f>
        <v>9.7000000000000011</v>
      </c>
      <c r="S24" s="388">
        <f t="shared" si="3"/>
        <v>42.07741253025074</v>
      </c>
      <c r="T24" s="389">
        <f t="shared" si="4"/>
        <v>-6.4269256014556717</v>
      </c>
      <c r="U24" s="139"/>
      <c r="V24" s="154"/>
      <c r="W24" s="170"/>
      <c r="X24" s="72" t="str">
        <f t="shared" si="1"/>
        <v>Surrey</v>
      </c>
      <c r="Y24" s="235">
        <v>16</v>
      </c>
      <c r="Z24" s="236">
        <f>IF(D24&gt;0,Population!C23,"")</f>
        <v>252000</v>
      </c>
      <c r="AA24" s="236">
        <f>IF(E24&gt;0,Population!D23,"")</f>
        <v>254600</v>
      </c>
      <c r="AB24" s="236">
        <f>IF(F24&gt;0,Population!E23,"")</f>
        <v>256400</v>
      </c>
      <c r="AC24" s="236">
        <f>IF(G24&gt;0,Population!F23,"")</f>
        <v>258999</v>
      </c>
      <c r="AD24" s="236">
        <f>IF(H24&gt;0,Population!G23,"")</f>
        <v>260305</v>
      </c>
      <c r="AE24" s="217"/>
      <c r="AF24" s="112" t="s">
        <v>16</v>
      </c>
      <c r="AG24" s="262">
        <f t="shared" si="5"/>
        <v>40.51411008661637</v>
      </c>
      <c r="AH24" s="237">
        <f t="shared" si="6"/>
        <v>5</v>
      </c>
      <c r="AI24" s="232"/>
      <c r="AJ24" s="178"/>
    </row>
    <row r="25" spans="1:36" s="101" customFormat="1" ht="13.5" customHeight="1" x14ac:dyDescent="0.2">
      <c r="A25" s="533">
        <f>VLOOKUP(B25,Sheet1!$B$4:$C$25,2,FALSE)</f>
        <v>0</v>
      </c>
      <c r="B25" s="112" t="s">
        <v>116</v>
      </c>
      <c r="C25" s="97"/>
      <c r="D25" s="113">
        <f>IF(Year1_Swindon Year1_LAC="","",Year1_Swindon Year1_LAC)</f>
        <v>253</v>
      </c>
      <c r="E25" s="113">
        <f>IF(Year2_Swindon Year2_LAC="","",Year2_Swindon Year2_LAC)</f>
        <v>250</v>
      </c>
      <c r="F25" s="113">
        <f>IF(Year3_Swindon Year3_LAC="","",Year3_Swindon Year3_LAC)</f>
        <v>293</v>
      </c>
      <c r="G25" s="113">
        <f>IF(Year4_Swindon Year4_LAC="","",Year4_Swindon Year4_LAC)</f>
        <v>330</v>
      </c>
      <c r="H25" s="114">
        <f>IF(Year5_Swindon Year5_LAC="","",Year5_Swindon Year5_LAC)</f>
        <v>360</v>
      </c>
      <c r="I25" s="392">
        <f t="shared" si="7"/>
        <v>0.44</v>
      </c>
      <c r="J25" s="115"/>
      <c r="K25" s="116">
        <f>IF(ISNUMBER(D25),D25/Population!C24*10000,NA())</f>
        <v>52.818371607515658</v>
      </c>
      <c r="L25" s="116">
        <f>IF(ISNUMBER(E25),E25/Population!D24*10000,NA())</f>
        <v>51.440329218106996</v>
      </c>
      <c r="M25" s="116">
        <f>IF(ISNUMBER(F25),F25/Population!E24*10000,NA())</f>
        <v>59.795918367346943</v>
      </c>
      <c r="N25" s="116">
        <f>IF(ISNUMBER(G25),G25/Population!F24*10000,NA())</f>
        <v>66.717884436537148</v>
      </c>
      <c r="O25" s="117">
        <f>IF(ISNUMBER(H25),H25/Population!G24*10000,NA())</f>
        <v>72.1096066020351</v>
      </c>
      <c r="P25" s="422" t="str">
        <f t="shared" si="2"/>
        <v>--</v>
      </c>
      <c r="Q25" s="70"/>
      <c r="R25" s="387">
        <f>IDACI!C25</f>
        <v>17.2</v>
      </c>
      <c r="S25" s="388">
        <f t="shared" si="3"/>
        <v>60.224708205815581</v>
      </c>
      <c r="T25" s="389">
        <f t="shared" si="4"/>
        <v>11.884898396219519</v>
      </c>
      <c r="U25" s="139"/>
      <c r="V25" s="154"/>
      <c r="W25" s="170"/>
      <c r="X25" s="72" t="str">
        <f t="shared" si="1"/>
        <v>Swindon</v>
      </c>
      <c r="Y25" s="235">
        <v>17</v>
      </c>
      <c r="Z25" s="236">
        <f>IF(D25&gt;0,Population!C24,"")</f>
        <v>47900</v>
      </c>
      <c r="AA25" s="236">
        <f>IF(E25&gt;0,Population!D24,"")</f>
        <v>48600</v>
      </c>
      <c r="AB25" s="236">
        <f>IF(F25&gt;0,Population!E24,"")</f>
        <v>49000</v>
      </c>
      <c r="AC25" s="236">
        <f>IF(G25&gt;0,Population!F24,"")</f>
        <v>49462</v>
      </c>
      <c r="AD25" s="236">
        <f>IF(H25&gt;0,Population!G24,"")</f>
        <v>49924</v>
      </c>
      <c r="AE25" s="217"/>
      <c r="AF25" s="112" t="s">
        <v>5</v>
      </c>
      <c r="AG25" s="262">
        <f t="shared" si="5"/>
        <v>40.627651040795008</v>
      </c>
      <c r="AH25" s="237">
        <f t="shared" si="6"/>
        <v>6</v>
      </c>
      <c r="AI25" s="232"/>
      <c r="AJ25" s="178"/>
    </row>
    <row r="26" spans="1:36" s="101" customFormat="1" ht="13.5" customHeight="1" x14ac:dyDescent="0.2">
      <c r="A26" s="533">
        <f>VLOOKUP(B26,Sheet1!$B$4:$C$25,2,FALSE)</f>
        <v>0</v>
      </c>
      <c r="B26" s="112" t="s">
        <v>117</v>
      </c>
      <c r="C26" s="97"/>
      <c r="D26" s="113">
        <f>IF(Year1_Torbay Year1_LAC="","",Year1_Torbay Year1_LAC)</f>
        <v>314</v>
      </c>
      <c r="E26" s="113">
        <f>IF(Year2_Torbay Year2_LAC="","",Year2_Torbay Year2_LAC)</f>
        <v>306</v>
      </c>
      <c r="F26" s="113">
        <f>IF(Year3_Torbay Year3_LAC="","",Year3_Torbay Year3_LAC)</f>
        <v>279</v>
      </c>
      <c r="G26" s="113">
        <f>IF(Year4_Torbay Year4_LAC="","",Year4_Torbay Year4_LAC)</f>
        <v>288</v>
      </c>
      <c r="H26" s="114">
        <f>IF(Year5_Torbay Year5_LAC="","",Year5_Torbay Year5_LAC)</f>
        <v>327</v>
      </c>
      <c r="I26" s="392">
        <f t="shared" si="7"/>
        <v>6.8627450980392163E-2</v>
      </c>
      <c r="J26" s="115"/>
      <c r="K26" s="116">
        <f>IF(ISNUMBER(D26),D26/Population!C25*10000,NA())</f>
        <v>126.61290322580645</v>
      </c>
      <c r="L26" s="116">
        <f>IF(ISNUMBER(E26),E26/Population!D25*10000,NA())</f>
        <v>121.91235059760956</v>
      </c>
      <c r="M26" s="116">
        <f>IF(ISNUMBER(F26),F26/Population!E25*10000,NA())</f>
        <v>110.71428571428571</v>
      </c>
      <c r="N26" s="116">
        <f>IF(ISNUMBER(G26),G26/Population!F25*10000,NA())</f>
        <v>113.50648326961732</v>
      </c>
      <c r="O26" s="117">
        <f>IF(ISNUMBER(H26),H26/Population!G25*10000,NA())</f>
        <v>128.65405043868276</v>
      </c>
      <c r="P26" s="422" t="str">
        <f t="shared" si="2"/>
        <v>--</v>
      </c>
      <c r="Q26" s="70"/>
      <c r="R26" s="387">
        <f>IDACI!C26</f>
        <v>24.1</v>
      </c>
      <c r="S26" s="388">
        <f t="shared" si="3"/>
        <v>76.92022022733525</v>
      </c>
      <c r="T26" s="389">
        <f t="shared" si="4"/>
        <v>51.733830211347509</v>
      </c>
      <c r="U26" s="139"/>
      <c r="V26" s="154"/>
      <c r="W26" s="170"/>
      <c r="X26" s="72" t="str">
        <f t="shared" si="1"/>
        <v>Torbay</v>
      </c>
      <c r="Y26" s="235">
        <v>18</v>
      </c>
      <c r="Z26" s="236">
        <f>IF(D26&gt;0,Population!C25,"")</f>
        <v>24800</v>
      </c>
      <c r="AA26" s="236">
        <f>IF(E26&gt;0,Population!D25,"")</f>
        <v>25100</v>
      </c>
      <c r="AB26" s="236">
        <f>IF(F26&gt;0,Population!E25,"")</f>
        <v>25200</v>
      </c>
      <c r="AC26" s="236">
        <f>IF(G26&gt;0,Population!F25,"")</f>
        <v>25373</v>
      </c>
      <c r="AD26" s="236">
        <f>IF(H26&gt;0,Population!G25,"")</f>
        <v>25417</v>
      </c>
      <c r="AE26" s="217"/>
      <c r="AF26" s="112" t="s">
        <v>31</v>
      </c>
      <c r="AG26" s="262">
        <f t="shared" si="5"/>
        <v>31.148113646949231</v>
      </c>
      <c r="AH26" s="237">
        <f t="shared" si="6"/>
        <v>2</v>
      </c>
      <c r="AI26" s="232"/>
      <c r="AJ26" s="178"/>
    </row>
    <row r="27" spans="1:36" s="101" customFormat="1" ht="13.5" customHeight="1" x14ac:dyDescent="0.2">
      <c r="A27" s="533">
        <f>VLOOKUP(B27,Sheet1!$B$4:$C$25,2,FALSE)</f>
        <v>0</v>
      </c>
      <c r="B27" s="112" t="s">
        <v>16</v>
      </c>
      <c r="C27" s="97"/>
      <c r="D27" s="113">
        <f>IF(Year1_West_Berkshire Year1_LAC="","",Year1_West_Berkshire Year1_LAC)</f>
        <v>156</v>
      </c>
      <c r="E27" s="118">
        <f>IF(Year2_West_Berkshire Year2_LAC="","",Year2_West_Berkshire Year2_LAC)</f>
        <v>171</v>
      </c>
      <c r="F27" s="113">
        <f>IF(Year3_West_Berkshire Year3_LAC="","",Year3_West_Berkshire Year3_LAC)</f>
        <v>157</v>
      </c>
      <c r="G27" s="113">
        <f>IF(Year4_West_Berkshire Year4_LAC="","",Year4_West_Berkshire Year4_LAC)</f>
        <v>161</v>
      </c>
      <c r="H27" s="114">
        <f>IF(Year5_West_Berkshire Year5_LAC="","",Year5_West_Berkshire Year5_LAC)</f>
        <v>145</v>
      </c>
      <c r="I27" s="392">
        <f t="shared" si="7"/>
        <v>-0.15204678362573099</v>
      </c>
      <c r="J27" s="115"/>
      <c r="K27" s="116">
        <f>IF(ISNUMBER(D27),D27/Population!C26*10000,NA())</f>
        <v>43.697478991596633</v>
      </c>
      <c r="L27" s="116">
        <f>IF(ISNUMBER(E27),E27/Population!D26*10000,NA())</f>
        <v>48.033707865168537</v>
      </c>
      <c r="M27" s="116">
        <f>IF(ISNUMBER(F27),F27/Population!E26*10000,NA())</f>
        <v>43.977591036414566</v>
      </c>
      <c r="N27" s="116">
        <f>IF(ISNUMBER(G27),G27/Population!F26*10000,NA())</f>
        <v>44.808104422365084</v>
      </c>
      <c r="O27" s="117">
        <f>IF(ISNUMBER(H27),H27/Population!G26*10000,NA())</f>
        <v>40.51411008661637</v>
      </c>
      <c r="P27" s="397">
        <f t="shared" si="2"/>
        <v>5</v>
      </c>
      <c r="Q27" s="70"/>
      <c r="R27" s="387">
        <f>IDACI!C27</f>
        <v>10.4</v>
      </c>
      <c r="S27" s="388">
        <f t="shared" si="3"/>
        <v>43.771160126636786</v>
      </c>
      <c r="T27" s="389">
        <f t="shared" si="4"/>
        <v>-3.2570500400204168</v>
      </c>
      <c r="U27" s="139"/>
      <c r="V27" s="154"/>
      <c r="W27" s="170"/>
      <c r="X27" s="72" t="str">
        <f t="shared" si="1"/>
        <v>West Berkshire</v>
      </c>
      <c r="Y27" s="235">
        <v>19</v>
      </c>
      <c r="Z27" s="236">
        <f>IF(D27&gt;0,Population!C26,"")</f>
        <v>35700</v>
      </c>
      <c r="AA27" s="236">
        <f>IF(E27&gt;0,Population!D26,"")</f>
        <v>35600</v>
      </c>
      <c r="AB27" s="236">
        <f>IF(F27&gt;0,Population!E26,"")</f>
        <v>35700</v>
      </c>
      <c r="AC27" s="236">
        <f>IF(G27&gt;0,Population!F26,"")</f>
        <v>35931</v>
      </c>
      <c r="AD27" s="236">
        <f>IF(H27&gt;0,Population!G26,"")</f>
        <v>35790</v>
      </c>
      <c r="AE27" s="232"/>
      <c r="AF27" s="112" t="s">
        <v>17</v>
      </c>
      <c r="AG27" s="262">
        <f t="shared" si="5"/>
        <v>27.388765438478632</v>
      </c>
      <c r="AH27" s="237">
        <f t="shared" si="6"/>
        <v>1</v>
      </c>
      <c r="AI27" s="232"/>
      <c r="AJ27" s="178"/>
    </row>
    <row r="28" spans="1:36" s="101" customFormat="1" ht="13.5" customHeight="1" x14ac:dyDescent="0.2">
      <c r="A28" s="533">
        <f>VLOOKUP(B28,Sheet1!$B$4:$C$25,2,FALSE)</f>
        <v>0</v>
      </c>
      <c r="B28" s="112" t="s">
        <v>5</v>
      </c>
      <c r="C28" s="97"/>
      <c r="D28" s="113">
        <f>IF(Year1_West_Sussex Year1_LAC="","",Year1_West_Sussex Year1_LAC)</f>
        <v>602</v>
      </c>
      <c r="E28" s="118">
        <f>IF(Year2_West_Sussex Year2_LAC="","",Year2_West_Sussex Year2_LAC)</f>
        <v>644</v>
      </c>
      <c r="F28" s="113">
        <f>IF(Year3_West_Sussex Year3_LAC="","",Year3_West_Sussex Year3_LAC)</f>
        <v>639</v>
      </c>
      <c r="G28" s="113">
        <f>IF(Year4_West_Sussex Year4_LAC="","",Year4_West_Sussex Year4_LAC)</f>
        <v>663</v>
      </c>
      <c r="H28" s="114">
        <f>IF(Year5_West_Sussex Year5_LAC="","",Year5_West_Sussex Year5_LAC)</f>
        <v>704</v>
      </c>
      <c r="I28" s="392">
        <f t="shared" si="7"/>
        <v>9.3167701863354033E-2</v>
      </c>
      <c r="J28" s="115"/>
      <c r="K28" s="116">
        <f>IF(ISNUMBER(D28),D28/Population!C27*10000,NA())</f>
        <v>36.047904191616766</v>
      </c>
      <c r="L28" s="116">
        <f>IF(ISNUMBER(E28),E28/Population!D27*10000,NA())</f>
        <v>38.15165876777251</v>
      </c>
      <c r="M28" s="116">
        <f>IF(ISNUMBER(F28),F28/Population!E27*10000,NA())</f>
        <v>37.5</v>
      </c>
      <c r="N28" s="116">
        <f>IF(ISNUMBER(G28),G28/Population!F27*10000,NA())</f>
        <v>38.600147879902885</v>
      </c>
      <c r="O28" s="117">
        <f>IF(ISNUMBER(H28),H28/Population!G27*10000,NA())</f>
        <v>40.627651040795008</v>
      </c>
      <c r="P28" s="397">
        <f t="shared" si="2"/>
        <v>6</v>
      </c>
      <c r="Q28" s="70"/>
      <c r="R28" s="387">
        <f>IDACI!C28</f>
        <v>12.9</v>
      </c>
      <c r="S28" s="388">
        <f t="shared" si="3"/>
        <v>49.820258685158407</v>
      </c>
      <c r="T28" s="389">
        <f t="shared" si="4"/>
        <v>-9.1926076443633988</v>
      </c>
      <c r="U28" s="139"/>
      <c r="V28" s="154"/>
      <c r="W28" s="170"/>
      <c r="X28" s="72" t="str">
        <f t="shared" si="1"/>
        <v>West Sussex</v>
      </c>
      <c r="Y28" s="235">
        <v>20</v>
      </c>
      <c r="Z28" s="236">
        <f>IF(D28&gt;0,Population!C27,"")</f>
        <v>167000</v>
      </c>
      <c r="AA28" s="236">
        <f>IF(E28&gt;0,Population!D27,"")</f>
        <v>168800</v>
      </c>
      <c r="AB28" s="236">
        <f>IF(F28&gt;0,Population!E27,"")</f>
        <v>170400</v>
      </c>
      <c r="AC28" s="236">
        <f>IF(G28&gt;0,Population!F27,"")</f>
        <v>171761</v>
      </c>
      <c r="AD28" s="236">
        <f>IF(H28&gt;0,Population!G27,"")</f>
        <v>173281</v>
      </c>
      <c r="AE28" s="232"/>
      <c r="AF28" s="232"/>
      <c r="AG28" s="232"/>
      <c r="AH28" s="217"/>
      <c r="AI28" s="232"/>
      <c r="AJ28" s="178"/>
    </row>
    <row r="29" spans="1:36" s="101" customFormat="1" ht="13.5" customHeight="1" x14ac:dyDescent="0.2">
      <c r="A29" s="533">
        <f>VLOOKUP(B29,Sheet1!$B$4:$C$25,2,FALSE)</f>
        <v>0</v>
      </c>
      <c r="B29" s="112" t="s">
        <v>31</v>
      </c>
      <c r="C29" s="97"/>
      <c r="D29" s="118">
        <f>IF(Year1_Windsor_Maidenhead Year1_LAC="","",Year1_Windsor_Maidenhead Year1_LAC)</f>
        <v>106</v>
      </c>
      <c r="E29" s="113">
        <f>IF(Year2_Windsor_Maidenhead Year2_LAC="","",Year2_Windsor_Maidenhead Year2_LAC)</f>
        <v>99</v>
      </c>
      <c r="F29" s="113">
        <f>IF(Year3_Windsor_Maidenhead Year3_LAC="","",Year3_Windsor_Maidenhead Year3_LAC)</f>
        <v>89</v>
      </c>
      <c r="G29" s="113">
        <f>IF(Year4_Windsor_Maidenhead Year4_LAC="","",Year4_Windsor_Maidenhead Year4_LAC)</f>
        <v>109</v>
      </c>
      <c r="H29" s="114">
        <f>IF(Year5_Windsor_Maidenhead Year5_LAC="","",Year5_Windsor_Maidenhead Year5_LAC)</f>
        <v>107</v>
      </c>
      <c r="I29" s="392">
        <f t="shared" si="7"/>
        <v>8.0808080808080815E-2</v>
      </c>
      <c r="J29" s="115"/>
      <c r="K29" s="116">
        <f>IF(ISNUMBER(D29),D29/Population!C28*10000,NA())</f>
        <v>31.831831831831831</v>
      </c>
      <c r="L29" s="116">
        <f>IF(ISNUMBER(E29),E29/Population!D28*10000,NA())</f>
        <v>29.640718562874252</v>
      </c>
      <c r="M29" s="116">
        <f>IF(ISNUMBER(F29),F29/Population!E28*10000,NA())</f>
        <v>26.409495548961427</v>
      </c>
      <c r="N29" s="116">
        <f>IF(ISNUMBER(G29),G29/Population!F28*10000,NA())</f>
        <v>31.893726591760299</v>
      </c>
      <c r="O29" s="117">
        <f>IF(ISNUMBER(H29),H29/Population!G28*10000,NA())</f>
        <v>31.148113646949231</v>
      </c>
      <c r="P29" s="397">
        <f t="shared" si="2"/>
        <v>2</v>
      </c>
      <c r="Q29" s="70"/>
      <c r="R29" s="387">
        <f>IDACI!C29</f>
        <v>8.4</v>
      </c>
      <c r="S29" s="388">
        <f t="shared" si="3"/>
        <v>38.931881279819493</v>
      </c>
      <c r="T29" s="389">
        <f t="shared" si="4"/>
        <v>-7.7837676328702621</v>
      </c>
      <c r="U29" s="139"/>
      <c r="V29" s="154"/>
      <c r="W29" s="170"/>
      <c r="X29" s="72" t="str">
        <f t="shared" si="1"/>
        <v>Windsor &amp; Maidenhead</v>
      </c>
      <c r="Y29" s="235">
        <v>21</v>
      </c>
      <c r="Z29" s="236">
        <f>IF(D29&gt;0,Population!C28,"")</f>
        <v>33300</v>
      </c>
      <c r="AA29" s="236">
        <f>IF(E29&gt;0,Population!D28,"")</f>
        <v>33400</v>
      </c>
      <c r="AB29" s="236">
        <f>IF(F29&gt;0,Population!E28,"")</f>
        <v>33700</v>
      </c>
      <c r="AC29" s="236">
        <f>IF(G29&gt;0,Population!F28,"")</f>
        <v>34176</v>
      </c>
      <c r="AD29" s="236">
        <f>IF(H29&gt;0,Population!G28,"")</f>
        <v>34352</v>
      </c>
      <c r="AE29" s="232"/>
      <c r="AF29" s="232"/>
      <c r="AG29" s="232"/>
      <c r="AH29" s="217"/>
      <c r="AI29" s="232"/>
      <c r="AJ29" s="178"/>
    </row>
    <row r="30" spans="1:36" s="101" customFormat="1" ht="13.5" customHeight="1" x14ac:dyDescent="0.2">
      <c r="A30" s="533">
        <f>VLOOKUP(B30,Sheet1!$B$4:$C$25,2,FALSE)</f>
        <v>0</v>
      </c>
      <c r="B30" s="112" t="s">
        <v>17</v>
      </c>
      <c r="C30" s="97"/>
      <c r="D30" s="118">
        <f>IF(Year1_Wokingham Year1_LAC="","",Year1_Wokingham Year1_LAC)</f>
        <v>72</v>
      </c>
      <c r="E30" s="113">
        <f>IF(Year2_Wokingham Year2_LAC="","",Year2_Wokingham Year2_LAC)</f>
        <v>75</v>
      </c>
      <c r="F30" s="113">
        <f>IF(Year3_Wokingham Year3_LAC="","",Year3_Wokingham Year3_LAC)</f>
        <v>81</v>
      </c>
      <c r="G30" s="113">
        <f>IF(Year4_Wokingham Year4_LAC="","",Year4_Wokingham Year4_LAC)</f>
        <v>75</v>
      </c>
      <c r="H30" s="114">
        <f>IF(Year5_Wokingham Year5_LAC="","",Year5_Wokingham Year5_LAC)</f>
        <v>106</v>
      </c>
      <c r="I30" s="392">
        <f t="shared" si="7"/>
        <v>0.41333333333333333</v>
      </c>
      <c r="J30" s="115"/>
      <c r="K30" s="116">
        <f>IF(ISNUMBER(D30),D30/Population!C29*10000,NA())</f>
        <v>19.88950276243094</v>
      </c>
      <c r="L30" s="116">
        <f>IF(ISNUMBER(E30),E30/Population!D29*10000,NA())</f>
        <v>20.325203252032523</v>
      </c>
      <c r="M30" s="116">
        <f>IF(ISNUMBER(F30),F30/Population!E29*10000,NA())</f>
        <v>21.715817694369974</v>
      </c>
      <c r="N30" s="116">
        <f>IF(ISNUMBER(G30),G30/Population!F29*10000,NA())</f>
        <v>19.726978615955179</v>
      </c>
      <c r="O30" s="117">
        <f>IF(ISNUMBER(H30),H30/Population!G29*10000,NA())</f>
        <v>27.388765438478632</v>
      </c>
      <c r="P30" s="397">
        <f t="shared" si="2"/>
        <v>1</v>
      </c>
      <c r="Q30" s="70"/>
      <c r="R30" s="387">
        <f>IDACI!C30</f>
        <v>6.8000000000000007</v>
      </c>
      <c r="S30" s="388">
        <f t="shared" si="3"/>
        <v>35.060458202365659</v>
      </c>
      <c r="T30" s="389">
        <f t="shared" si="4"/>
        <v>-7.6716927638870267</v>
      </c>
      <c r="U30" s="139"/>
      <c r="V30" s="154"/>
      <c r="W30" s="170"/>
      <c r="X30" s="72" t="str">
        <f t="shared" si="1"/>
        <v>Wokingham</v>
      </c>
      <c r="Y30" s="235">
        <v>22</v>
      </c>
      <c r="Z30" s="236">
        <f>IF(D30&gt;0,Population!C29,"")</f>
        <v>36200</v>
      </c>
      <c r="AA30" s="236">
        <f>IF(E30&gt;0,Population!D29,"")</f>
        <v>36900</v>
      </c>
      <c r="AB30" s="236">
        <f>IF(F30&gt;0,Population!E29,"")</f>
        <v>37300</v>
      </c>
      <c r="AC30" s="236">
        <f>IF(G30&gt;0,Population!F29,"")</f>
        <v>38019</v>
      </c>
      <c r="AD30" s="236">
        <f>IF(H30&gt;0,Population!G29,"")</f>
        <v>38702</v>
      </c>
      <c r="AE30" s="232"/>
      <c r="AF30" s="232"/>
      <c r="AG30" s="232"/>
      <c r="AH30" s="217"/>
      <c r="AI30" s="232"/>
      <c r="AJ30" s="178"/>
    </row>
    <row r="31" spans="1:36" s="101" customFormat="1" ht="13.5" customHeight="1" x14ac:dyDescent="0.2">
      <c r="A31" s="138"/>
      <c r="B31" s="146" t="s">
        <v>74</v>
      </c>
      <c r="C31" s="97"/>
      <c r="D31" s="147">
        <f>IF(Year1_SouthEast Year1_LAC="","",Year1_SouthEast Year1_LAC)</f>
        <v>8950</v>
      </c>
      <c r="E31" s="147">
        <f>IF(Year2_SouthEast Year2_LAC="","",Year2_SouthEast Year2_LAC)</f>
        <v>9310</v>
      </c>
      <c r="F31" s="147">
        <f>IF(Year3_SouthEast Year3_LAC="","",Year3_SouthEast Year3_LAC)</f>
        <v>9870</v>
      </c>
      <c r="G31" s="147">
        <f>IF(Year4_SouthEast Year4_LAC="","",Year4_SouthEast Year4_LAC)</f>
        <v>9830</v>
      </c>
      <c r="H31" s="148">
        <f>IF(Year5_SouthEast Year5_LAC="","",Year5_SouthEast Year5_LAC)</f>
        <v>10000</v>
      </c>
      <c r="I31" s="407">
        <f t="shared" si="7"/>
        <v>7.4113856068743281E-2</v>
      </c>
      <c r="J31" s="115"/>
      <c r="K31" s="149">
        <f>IF(ISNUMBER(D31),D31/Z31*10000,NA())</f>
        <v>47.434810260758958</v>
      </c>
      <c r="L31" s="149">
        <f>IF(ISNUMBER(E31),E31/AA31*10000,NA())</f>
        <v>48.891923117319614</v>
      </c>
      <c r="M31" s="149">
        <f t="shared" ref="M31:O31" si="8">IF(ISNUMBER(F31),F31/AB31*10000,NA())</f>
        <v>51.45717115895939</v>
      </c>
      <c r="N31" s="149">
        <f t="shared" si="8"/>
        <v>50.8485184872902</v>
      </c>
      <c r="O31" s="150">
        <f t="shared" si="8"/>
        <v>51.443901711281391</v>
      </c>
      <c r="P31" s="383" t="str">
        <f t="shared" si="2"/>
        <v>--</v>
      </c>
      <c r="Q31" s="70"/>
      <c r="R31" s="385">
        <f>IDACI!C31</f>
        <v>14.45223640702325</v>
      </c>
      <c r="S31" s="149">
        <f t="shared" si="3"/>
        <v>53.576111090042048</v>
      </c>
      <c r="T31" s="390">
        <f t="shared" si="4"/>
        <v>-2.1322093787606562</v>
      </c>
      <c r="U31" s="139"/>
      <c r="V31" s="154"/>
      <c r="W31" s="170"/>
      <c r="X31" s="72" t="str">
        <f t="shared" si="1"/>
        <v>South East</v>
      </c>
      <c r="Y31" s="235">
        <v>23</v>
      </c>
      <c r="Z31" s="236">
        <f>IF(D31&gt;0,Population!C30,"")</f>
        <v>1886800</v>
      </c>
      <c r="AA31" s="236">
        <f>IF(E31&gt;0,Population!D30,"")</f>
        <v>1904200</v>
      </c>
      <c r="AB31" s="236">
        <f>IF(F31&gt;0,Population!E30,"")</f>
        <v>1918100</v>
      </c>
      <c r="AC31" s="236">
        <f>IF(G31&gt;0,Population!F30,"")</f>
        <v>1933193</v>
      </c>
      <c r="AD31" s="236">
        <f>IF(H31&gt;0,Population!G30,"")</f>
        <v>1943865</v>
      </c>
      <c r="AE31" s="232"/>
      <c r="AF31" s="232"/>
      <c r="AG31" s="232"/>
      <c r="AH31" s="217"/>
      <c r="AI31" s="232"/>
      <c r="AJ31" s="178"/>
    </row>
    <row r="32" spans="1:36" s="101" customFormat="1" ht="13.5" customHeight="1" x14ac:dyDescent="0.2">
      <c r="A32" s="324"/>
      <c r="B32" s="370" t="s">
        <v>130</v>
      </c>
      <c r="C32" s="97"/>
      <c r="D32" s="371">
        <f>IF(Year1_England Year1_LAC="","",Year1_England Year1_LAC)</f>
        <v>68810</v>
      </c>
      <c r="E32" s="371">
        <f>IF(Year2_England Year2_LAC="","",Year2_England Year2_LAC)</f>
        <v>69470</v>
      </c>
      <c r="F32" s="371">
        <f>IF(Year3_England Year3_LAC="","",Year3_England Year3_LAC)</f>
        <v>70400</v>
      </c>
      <c r="G32" s="371">
        <f>IF(Year4_England Year4_LAC="","",Year4_England Year4_LAC)</f>
        <v>72590</v>
      </c>
      <c r="H32" s="372">
        <f>IF(Year5_England Year5_LAC="","",Year5_England Year5_LAC)</f>
        <v>75420</v>
      </c>
      <c r="I32" s="408">
        <f t="shared" si="7"/>
        <v>8.564848135885994E-2</v>
      </c>
      <c r="J32" s="115"/>
      <c r="K32" s="373">
        <f>IF(ISNUMBER(D32),D32/Population!C31*10000,NA())</f>
        <v>59.944768226920701</v>
      </c>
      <c r="L32" s="373">
        <f>IF(ISNUMBER(E32),E32/Population!D31*10000,NA())</f>
        <v>59.930812564162288</v>
      </c>
      <c r="M32" s="373">
        <f>IF(ISNUMBER(F32),F32/Population!E31*10000,NA())</f>
        <v>60.284811481516371</v>
      </c>
      <c r="N32" s="373">
        <f>IF(ISNUMBER(G32),G32/Population!F31*10000,NA())</f>
        <v>61.593800468160396</v>
      </c>
      <c r="O32" s="474">
        <f>IF(ISNUMBER(H32),H32/Population!G31*10000,NA())</f>
        <v>63.554624829263311</v>
      </c>
      <c r="P32" s="384" t="str">
        <f t="shared" si="2"/>
        <v>--</v>
      </c>
      <c r="Q32" s="70"/>
      <c r="R32" s="386">
        <f>IDACI!C32</f>
        <v>19.902611588091716</v>
      </c>
      <c r="S32" s="373">
        <f t="shared" si="3"/>
        <v>66.764053750523345</v>
      </c>
      <c r="T32" s="474">
        <f t="shared" si="4"/>
        <v>-3.2094289212600344</v>
      </c>
      <c r="U32" s="139"/>
      <c r="V32" s="154"/>
      <c r="W32" s="170"/>
      <c r="X32" s="72" t="str">
        <f t="shared" si="1"/>
        <v>England</v>
      </c>
      <c r="Y32" s="235">
        <v>24</v>
      </c>
      <c r="Z32" s="236">
        <f>IF(D32&gt;0,Population!C31,"")</f>
        <v>11478900</v>
      </c>
      <c r="AA32" s="236">
        <f>IF(E32&gt;0,Population!D31,"")</f>
        <v>11591700</v>
      </c>
      <c r="AB32" s="236">
        <f>IF(F32&gt;0,Population!E31,"")</f>
        <v>11677900</v>
      </c>
      <c r="AC32" s="236">
        <f>IF(G32&gt;0,Population!F31,"")</f>
        <v>11785277</v>
      </c>
      <c r="AD32" s="236">
        <f>IF(H32&gt;0,Population!G31,"")</f>
        <v>11866957</v>
      </c>
      <c r="AE32" s="232"/>
      <c r="AF32" s="232"/>
      <c r="AG32" s="232"/>
      <c r="AH32" s="217"/>
      <c r="AI32" s="232"/>
      <c r="AJ32" s="178"/>
    </row>
    <row r="33" spans="1:68" s="88" customFormat="1" ht="13.5" customHeight="1" x14ac:dyDescent="0.2">
      <c r="A33" s="135"/>
      <c r="B33" s="140" t="s">
        <v>90</v>
      </c>
      <c r="C33" s="64"/>
      <c r="D33" s="64"/>
      <c r="E33" s="64"/>
      <c r="F33" s="64"/>
      <c r="G33" s="64"/>
      <c r="H33" s="64"/>
      <c r="I33" s="64"/>
      <c r="J33" s="64"/>
      <c r="K33" s="64"/>
      <c r="L33" s="64"/>
      <c r="M33" s="64"/>
      <c r="N33" s="64"/>
      <c r="O33" s="64"/>
      <c r="P33" s="151" t="s">
        <v>111</v>
      </c>
      <c r="R33" s="64"/>
      <c r="S33" s="64"/>
      <c r="T33" s="64"/>
      <c r="U33" s="134"/>
      <c r="V33" s="152"/>
      <c r="W33" s="168"/>
      <c r="X33" s="87"/>
      <c r="Y33" s="210"/>
      <c r="Z33" s="210"/>
      <c r="AA33" s="210"/>
      <c r="AB33" s="210"/>
      <c r="AC33" s="210"/>
      <c r="AD33" s="210"/>
      <c r="AE33" s="210"/>
      <c r="AF33" s="210"/>
      <c r="AG33" s="210"/>
      <c r="AI33" s="210"/>
      <c r="AJ33" s="179"/>
    </row>
    <row r="34" spans="1:68" s="88" customFormat="1" ht="29.25" customHeight="1" x14ac:dyDescent="0.2">
      <c r="A34" s="135"/>
      <c r="B34" s="1024"/>
      <c r="C34" s="1025"/>
      <c r="D34" s="1025"/>
      <c r="E34" s="1025"/>
      <c r="F34" s="1025"/>
      <c r="G34" s="1025"/>
      <c r="H34" s="1025"/>
      <c r="I34" s="1025"/>
      <c r="J34" s="1025"/>
      <c r="K34" s="1025"/>
      <c r="L34" s="1025"/>
      <c r="M34" s="1025"/>
      <c r="N34" s="1025"/>
      <c r="O34" s="1025"/>
      <c r="P34" s="1025"/>
      <c r="Q34" s="1025"/>
      <c r="R34" s="1025"/>
      <c r="S34" s="1025"/>
      <c r="T34" s="1026"/>
      <c r="U34" s="134"/>
      <c r="V34" s="152"/>
      <c r="W34" s="168"/>
      <c r="X34" s="87"/>
      <c r="Y34" s="210"/>
      <c r="Z34" s="210"/>
      <c r="AA34" s="210"/>
      <c r="AB34" s="210"/>
      <c r="AC34" s="210"/>
      <c r="AD34" s="210"/>
      <c r="AE34" s="210"/>
      <c r="AF34" s="210"/>
      <c r="AG34" s="210"/>
      <c r="AI34" s="210"/>
      <c r="AJ34" s="175"/>
      <c r="AK34" s="80"/>
      <c r="AL34" s="80"/>
      <c r="AM34" s="80"/>
      <c r="AN34" s="80"/>
      <c r="AO34" s="80"/>
      <c r="AP34" s="80"/>
      <c r="AQ34" s="80"/>
    </row>
    <row r="35" spans="1:68" s="88" customFormat="1" ht="7.5" customHeight="1" x14ac:dyDescent="0.2">
      <c r="A35" s="135"/>
      <c r="B35" s="18"/>
      <c r="C35" s="18"/>
      <c r="D35" s="17"/>
      <c r="E35" s="17"/>
      <c r="F35" s="17"/>
      <c r="G35" s="17"/>
      <c r="H35" s="17"/>
      <c r="I35" s="17"/>
      <c r="J35" s="13"/>
      <c r="K35" s="19"/>
      <c r="L35" s="19"/>
      <c r="M35" s="19"/>
      <c r="N35" s="19"/>
      <c r="O35" s="19"/>
      <c r="P35" s="19"/>
      <c r="Q35" s="19"/>
      <c r="R35" s="19"/>
      <c r="S35" s="19"/>
      <c r="T35" s="20"/>
      <c r="U35" s="134"/>
      <c r="V35" s="152"/>
      <c r="W35" s="168"/>
      <c r="Y35" s="217"/>
      <c r="AI35" s="210"/>
      <c r="AJ35" s="175"/>
      <c r="AK35" s="80"/>
      <c r="AL35" s="80"/>
      <c r="AM35" s="80"/>
      <c r="AN35" s="80"/>
      <c r="AO35" s="80"/>
      <c r="AP35" s="80"/>
      <c r="AQ35" s="80"/>
    </row>
    <row r="36" spans="1:68" s="88" customFormat="1" ht="15" customHeight="1" x14ac:dyDescent="0.2">
      <c r="A36" s="1010"/>
      <c r="B36" s="1018"/>
      <c r="C36" s="1018"/>
      <c r="D36" s="1018"/>
      <c r="E36" s="1018"/>
      <c r="F36" s="1018"/>
      <c r="G36" s="1018"/>
      <c r="H36" s="1018"/>
      <c r="I36" s="1018"/>
      <c r="J36" s="1018"/>
      <c r="K36" s="1018"/>
      <c r="L36" s="1018"/>
      <c r="M36" s="1018"/>
      <c r="N36" s="1018"/>
      <c r="O36" s="1018"/>
      <c r="P36" s="1018"/>
      <c r="Q36" s="1018"/>
      <c r="R36" s="1018"/>
      <c r="S36" s="1018"/>
      <c r="T36" s="1018"/>
      <c r="U36" s="1019"/>
      <c r="V36" s="152"/>
      <c r="W36" s="168"/>
      <c r="Y36" s="217"/>
      <c r="AJ36" s="179"/>
      <c r="AL36" s="88">
        <v>10</v>
      </c>
      <c r="AM36" s="88">
        <v>11</v>
      </c>
      <c r="AN36" s="88">
        <v>12</v>
      </c>
      <c r="AO36" s="88">
        <v>13</v>
      </c>
      <c r="AP36" s="88">
        <v>14</v>
      </c>
      <c r="AR36" s="88">
        <v>3</v>
      </c>
      <c r="AS36" s="25">
        <v>4</v>
      </c>
      <c r="AT36" s="25">
        <v>5</v>
      </c>
      <c r="AU36" s="25">
        <v>6</v>
      </c>
      <c r="AV36" s="24">
        <v>7</v>
      </c>
      <c r="AW36" s="88">
        <v>3</v>
      </c>
      <c r="AX36" s="25">
        <v>4</v>
      </c>
      <c r="AY36" s="25">
        <v>5</v>
      </c>
      <c r="AZ36" s="25">
        <v>6</v>
      </c>
      <c r="BA36" s="24">
        <v>7</v>
      </c>
      <c r="BB36" s="88">
        <v>3</v>
      </c>
      <c r="BC36" s="25">
        <v>4</v>
      </c>
      <c r="BD36" s="25">
        <v>5</v>
      </c>
      <c r="BE36" s="25">
        <v>6</v>
      </c>
      <c r="BF36" s="24">
        <v>7</v>
      </c>
      <c r="BG36" s="88">
        <v>3</v>
      </c>
      <c r="BH36" s="25">
        <v>4</v>
      </c>
      <c r="BI36" s="25">
        <v>5</v>
      </c>
      <c r="BJ36" s="25">
        <v>6</v>
      </c>
      <c r="BK36" s="24">
        <v>7</v>
      </c>
      <c r="BL36" s="88">
        <v>3</v>
      </c>
      <c r="BM36" s="25">
        <v>4</v>
      </c>
      <c r="BN36" s="25">
        <v>5</v>
      </c>
      <c r="BO36" s="25">
        <v>6</v>
      </c>
      <c r="BP36" s="24">
        <v>7</v>
      </c>
    </row>
    <row r="37" spans="1:68" s="88" customFormat="1" ht="11.25" customHeight="1" x14ac:dyDescent="0.2">
      <c r="A37" s="1020" t="str">
        <f>Home!$A$35</f>
        <v>LA's provide quarterly data on the condition that it is used by the benchmarking group for internal reporting only. Please DO NOT share other LA's data with any external partners or the public</v>
      </c>
      <c r="B37" s="1021"/>
      <c r="C37" s="1021"/>
      <c r="D37" s="1021"/>
      <c r="E37" s="1021"/>
      <c r="F37" s="1021"/>
      <c r="G37" s="1021"/>
      <c r="H37" s="1021"/>
      <c r="I37" s="1022"/>
      <c r="J37" s="1021"/>
      <c r="K37" s="1021"/>
      <c r="L37" s="1021"/>
      <c r="M37" s="1021"/>
      <c r="N37" s="1021"/>
      <c r="O37" s="1021"/>
      <c r="P37" s="1021"/>
      <c r="Q37" s="1021"/>
      <c r="R37" s="1021"/>
      <c r="S37" s="1022"/>
      <c r="T37" s="1021"/>
      <c r="U37" s="1023"/>
      <c r="V37" s="152"/>
      <c r="W37" s="168"/>
      <c r="Y37" s="217"/>
      <c r="AI37" s="210"/>
      <c r="AJ37" s="178"/>
      <c r="AK37" s="101"/>
      <c r="AL37" s="431" t="s">
        <v>89</v>
      </c>
      <c r="AM37" s="432"/>
      <c r="AN37" s="432"/>
      <c r="AO37" s="432"/>
      <c r="AP37" s="432"/>
      <c r="AQ37" s="431" t="s">
        <v>95</v>
      </c>
      <c r="AR37" s="56" t="s">
        <v>193</v>
      </c>
      <c r="AS37" s="25"/>
      <c r="AT37" s="25"/>
      <c r="AU37" s="25"/>
      <c r="AV37" s="24"/>
      <c r="AW37" s="56" t="s">
        <v>194</v>
      </c>
      <c r="AX37" s="25"/>
      <c r="AY37" s="25"/>
      <c r="AZ37" s="25"/>
      <c r="BA37" s="24"/>
      <c r="BB37" s="56" t="s">
        <v>195</v>
      </c>
      <c r="BC37" s="25"/>
      <c r="BD37" s="25"/>
      <c r="BE37" s="25"/>
      <c r="BF37" s="24"/>
      <c r="BG37" s="56" t="s">
        <v>197</v>
      </c>
      <c r="BH37" s="25"/>
      <c r="BI37" s="25"/>
      <c r="BJ37" s="25"/>
      <c r="BK37" s="24"/>
      <c r="BL37" s="255" t="s">
        <v>200</v>
      </c>
    </row>
    <row r="38" spans="1:68" s="88" customFormat="1" ht="11.25" customHeight="1" x14ac:dyDescent="0.2">
      <c r="A38" s="129"/>
      <c r="B38" s="130"/>
      <c r="C38" s="130"/>
      <c r="D38" s="130"/>
      <c r="E38" s="130"/>
      <c r="F38" s="130"/>
      <c r="G38" s="130"/>
      <c r="H38" s="130"/>
      <c r="I38" s="130"/>
      <c r="J38" s="131"/>
      <c r="K38" s="130"/>
      <c r="L38" s="130"/>
      <c r="M38" s="130"/>
      <c r="N38" s="130"/>
      <c r="O38" s="130"/>
      <c r="P38" s="130"/>
      <c r="Q38" s="130"/>
      <c r="R38" s="130"/>
      <c r="S38" s="130"/>
      <c r="T38" s="130"/>
      <c r="U38" s="132"/>
      <c r="V38" s="152"/>
      <c r="W38" s="167" t="s">
        <v>102</v>
      </c>
      <c r="X38" s="224"/>
      <c r="Y38" s="224"/>
      <c r="Z38" s="224"/>
      <c r="AA38" s="224"/>
      <c r="AB38" s="224"/>
      <c r="AI38" s="210"/>
      <c r="AJ38" s="178"/>
      <c r="AK38" s="101"/>
      <c r="AL38" s="431"/>
      <c r="AM38" s="431"/>
      <c r="AN38" s="431"/>
      <c r="AO38" s="431"/>
      <c r="AP38" s="431"/>
      <c r="AQ38" s="432"/>
      <c r="AR38" s="431"/>
      <c r="AS38" s="431"/>
      <c r="AT38" s="431"/>
      <c r="AU38" s="431"/>
      <c r="AV38" s="431"/>
      <c r="AW38" s="431"/>
      <c r="AX38" s="431"/>
      <c r="AY38" s="431"/>
      <c r="AZ38" s="431"/>
      <c r="BA38" s="431"/>
      <c r="BB38" s="431"/>
      <c r="BC38" s="431"/>
      <c r="BD38" s="431"/>
      <c r="BE38" s="431"/>
      <c r="BF38" s="431"/>
      <c r="BG38" s="478"/>
      <c r="BH38" s="478"/>
      <c r="BI38" s="478"/>
      <c r="BJ38" s="478"/>
      <c r="BK38" s="478"/>
    </row>
    <row r="39" spans="1:68" s="88" customFormat="1" ht="7.5" customHeight="1" x14ac:dyDescent="0.25">
      <c r="A39" s="133"/>
      <c r="B39" s="9"/>
      <c r="C39" s="9"/>
      <c r="D39" s="9"/>
      <c r="E39" s="9"/>
      <c r="F39" s="9"/>
      <c r="G39" s="9"/>
      <c r="H39" s="9"/>
      <c r="I39" s="9"/>
      <c r="J39" s="13"/>
      <c r="K39" s="9"/>
      <c r="L39" s="9"/>
      <c r="M39" s="9"/>
      <c r="N39" s="9"/>
      <c r="O39" s="9"/>
      <c r="P39" s="9"/>
      <c r="Q39" s="9"/>
      <c r="R39" s="9"/>
      <c r="S39" s="9"/>
      <c r="T39" s="9"/>
      <c r="U39" s="134"/>
      <c r="V39" s="152"/>
      <c r="W39" s="326"/>
      <c r="X39" s="646" t="s">
        <v>30</v>
      </c>
      <c r="Y39" s="259" t="s">
        <v>8</v>
      </c>
      <c r="Z39" s="259" t="s">
        <v>103</v>
      </c>
      <c r="AA39" s="1033" t="s">
        <v>76</v>
      </c>
      <c r="AB39" s="1033" t="s">
        <v>77</v>
      </c>
      <c r="AJ39" s="178"/>
      <c r="AK39" s="101"/>
      <c r="AL39" s="431">
        <f>D8</f>
        <v>2014</v>
      </c>
      <c r="AM39" s="431">
        <f>E8</f>
        <v>2015</v>
      </c>
      <c r="AN39" s="431">
        <f>F8</f>
        <v>2016</v>
      </c>
      <c r="AO39" s="431">
        <f>G8</f>
        <v>2017</v>
      </c>
      <c r="AP39" s="431">
        <f>H8</f>
        <v>2018</v>
      </c>
      <c r="AQ39" s="432"/>
      <c r="AR39" s="431">
        <f>K8</f>
        <v>2014</v>
      </c>
      <c r="AS39" s="431">
        <f>L8</f>
        <v>2015</v>
      </c>
      <c r="AT39" s="431">
        <f>M8</f>
        <v>2016</v>
      </c>
      <c r="AU39" s="431">
        <f>N8</f>
        <v>2017</v>
      </c>
      <c r="AV39" s="431">
        <f>O8</f>
        <v>2018</v>
      </c>
      <c r="AW39" s="431">
        <f>AR39</f>
        <v>2014</v>
      </c>
      <c r="AX39" s="431">
        <f t="shared" ref="AX39:BA39" si="9">AS39</f>
        <v>2015</v>
      </c>
      <c r="AY39" s="431">
        <f t="shared" si="9"/>
        <v>2016</v>
      </c>
      <c r="AZ39" s="431">
        <f t="shared" si="9"/>
        <v>2017</v>
      </c>
      <c r="BA39" s="431">
        <f t="shared" si="9"/>
        <v>2018</v>
      </c>
      <c r="BB39" s="431">
        <f>AW39</f>
        <v>2014</v>
      </c>
      <c r="BC39" s="431">
        <f t="shared" ref="BC39:BF39" si="10">AX39</f>
        <v>2015</v>
      </c>
      <c r="BD39" s="431">
        <f t="shared" si="10"/>
        <v>2016</v>
      </c>
      <c r="BE39" s="431">
        <f t="shared" si="10"/>
        <v>2017</v>
      </c>
      <c r="BF39" s="431">
        <f t="shared" si="10"/>
        <v>2018</v>
      </c>
      <c r="BG39" s="478">
        <f>BB39</f>
        <v>2014</v>
      </c>
      <c r="BH39" s="478">
        <f t="shared" ref="BH39" si="11">BC39</f>
        <v>2015</v>
      </c>
      <c r="BI39" s="478">
        <f t="shared" ref="BI39" si="12">BD39</f>
        <v>2016</v>
      </c>
      <c r="BJ39" s="478">
        <f t="shared" ref="BJ39" si="13">BE39</f>
        <v>2017</v>
      </c>
      <c r="BK39" s="478">
        <f t="shared" ref="BK39" si="14">BF39</f>
        <v>2018</v>
      </c>
      <c r="BL39" s="478">
        <f>BG39</f>
        <v>2014</v>
      </c>
      <c r="BM39" s="478">
        <f t="shared" ref="BM39" si="15">BH39</f>
        <v>2015</v>
      </c>
      <c r="BN39" s="478">
        <f t="shared" ref="BN39" si="16">BI39</f>
        <v>2016</v>
      </c>
      <c r="BO39" s="478">
        <f t="shared" ref="BO39" si="17">BJ39</f>
        <v>2017</v>
      </c>
      <c r="BP39" s="478">
        <f t="shared" ref="BP39" si="18">BK39</f>
        <v>2018</v>
      </c>
    </row>
    <row r="40" spans="1:68" s="88" customFormat="1" ht="14.25" customHeight="1" x14ac:dyDescent="0.2">
      <c r="A40" s="135"/>
      <c r="B40" s="9"/>
      <c r="C40" s="9"/>
      <c r="D40" s="9"/>
      <c r="E40" s="9"/>
      <c r="F40" s="9"/>
      <c r="G40" s="9"/>
      <c r="H40" s="9"/>
      <c r="I40" s="9"/>
      <c r="J40" s="13"/>
      <c r="K40" s="9"/>
      <c r="L40" s="9"/>
      <c r="M40" s="9"/>
      <c r="N40" s="9"/>
      <c r="O40" s="9"/>
      <c r="P40" s="9"/>
      <c r="Q40" s="9"/>
      <c r="R40" s="9"/>
      <c r="S40" s="9"/>
      <c r="T40" s="9"/>
      <c r="U40" s="134"/>
      <c r="V40" s="152"/>
      <c r="W40" s="326"/>
      <c r="X40" s="647" t="e">
        <f ca="1">OFFSET(B8,$X$4,0)</f>
        <v>#N/A</v>
      </c>
      <c r="Y40" s="238" t="e">
        <f ca="1">OFFSET(R7,(VLOOKUP(X40,$Y$41:$Z$62,2,FALSE)),0)</f>
        <v>#N/A</v>
      </c>
      <c r="Z40" s="238" t="e">
        <f ca="1">(OFFSET(O7,(VLOOKUP(X40,$Y$41:$Z$62,2,FALSE)),0))</f>
        <v>#N/A</v>
      </c>
      <c r="AA40" s="1034"/>
      <c r="AB40" s="1034"/>
      <c r="AI40" s="642" t="b">
        <v>1</v>
      </c>
      <c r="AJ40" s="178" t="s">
        <v>0</v>
      </c>
      <c r="AK40" s="101" t="str">
        <f t="shared" ref="AK40:AK63" si="19">IF(AI40=TRUE,B9,"")</f>
        <v>Bracknell Forest</v>
      </c>
      <c r="AL40" s="164">
        <f t="shared" ref="AL40:AP62" si="20">VLOOKUP($AK40,$B$9:$O$32,AL$36,FALSE)</f>
        <v>41.697416974169741</v>
      </c>
      <c r="AM40" s="164">
        <f t="shared" si="20"/>
        <v>37.410071942446045</v>
      </c>
      <c r="AN40" s="164">
        <f t="shared" si="20"/>
        <v>34.751773049645394</v>
      </c>
      <c r="AO40" s="164">
        <f t="shared" si="20"/>
        <v>41.172712429899903</v>
      </c>
      <c r="AP40" s="164">
        <f t="shared" si="20"/>
        <v>49.161055893983111</v>
      </c>
      <c r="AQ40" s="165">
        <f>VLOOKUP(AK40,$B$9:$T$32,17,FALSE)</f>
        <v>11</v>
      </c>
      <c r="AR40" s="398">
        <f>VLOOKUP($AK40,$B$110:$H$133,AR$36,FALSE)</f>
        <v>0.33333333333333331</v>
      </c>
      <c r="AS40" s="398" t="e">
        <f t="shared" ref="AS40:AV55" si="21">VLOOKUP($AK40,$B$110:$H$133,AS$36,FALSE)</f>
        <v>#N/A</v>
      </c>
      <c r="AT40" s="398">
        <f t="shared" si="21"/>
        <v>0.41666666666666669</v>
      </c>
      <c r="AU40" s="398">
        <f t="shared" si="21"/>
        <v>0.42168674698795183</v>
      </c>
      <c r="AV40" s="398">
        <f t="shared" si="21"/>
        <v>0.24271844660194175</v>
      </c>
      <c r="AW40" s="398">
        <f>VLOOKUP($AK40,$B$145:$H$168,AW$36,FALSE)</f>
        <v>0.5</v>
      </c>
      <c r="AX40" s="398" t="e">
        <f t="shared" ref="AX40:BA40" si="22">VLOOKUP($AK40,$B$145:$H$168,AX$36,FALSE)</f>
        <v>#N/A</v>
      </c>
      <c r="AY40" s="398">
        <f t="shared" si="22"/>
        <v>0.6</v>
      </c>
      <c r="AZ40" s="398">
        <f t="shared" si="22"/>
        <v>0.5714285714285714</v>
      </c>
      <c r="BA40" s="398">
        <f t="shared" si="22"/>
        <v>0.56000000000000005</v>
      </c>
      <c r="BB40" s="398">
        <f>VLOOKUP($AK40,$B$180:$H$203,BB$36,FALSE)</f>
        <v>0.13274336283185842</v>
      </c>
      <c r="BC40" s="398" t="e">
        <f t="shared" ref="BC40:BF55" si="23">VLOOKUP($AK40,$B$180:$H$203,BC$36,FALSE)</f>
        <v>#N/A</v>
      </c>
      <c r="BD40" s="398">
        <f t="shared" si="23"/>
        <v>0.15306122448979592</v>
      </c>
      <c r="BE40" s="398">
        <f t="shared" si="23"/>
        <v>8.6206896551724144E-2</v>
      </c>
      <c r="BF40" s="398">
        <f t="shared" si="23"/>
        <v>0.13768115942028986</v>
      </c>
      <c r="BG40" s="398" t="e">
        <f t="shared" ref="BG40:BK49" si="24">VLOOKUP($AK40,$B$215:$H$238,BG$36,FALSE)</f>
        <v>#N/A</v>
      </c>
      <c r="BH40" s="398" t="e">
        <f t="shared" si="24"/>
        <v>#N/A</v>
      </c>
      <c r="BI40" s="398" t="e">
        <f t="shared" si="24"/>
        <v>#N/A</v>
      </c>
      <c r="BJ40" s="398" t="e">
        <f t="shared" si="24"/>
        <v>#N/A</v>
      </c>
      <c r="BK40" s="398" t="e">
        <f t="shared" si="24"/>
        <v>#N/A</v>
      </c>
      <c r="BL40" s="398" t="e">
        <f>VLOOKUP($AK40,#REF!,BL$36,FALSE)</f>
        <v>#REF!</v>
      </c>
      <c r="BM40" s="398" t="e">
        <f>VLOOKUP($AK40,#REF!,BM$36,FALSE)</f>
        <v>#REF!</v>
      </c>
      <c r="BN40" s="398" t="e">
        <f>VLOOKUP($AK40,#REF!,BN$36,FALSE)</f>
        <v>#REF!</v>
      </c>
      <c r="BO40" s="398" t="e">
        <f>VLOOKUP($AK40,#REF!,BO$36,FALSE)</f>
        <v>#REF!</v>
      </c>
      <c r="BP40" s="398" t="e">
        <f>VLOOKUP($AK40,#REF!,BP$36,FALSE)</f>
        <v>#REF!</v>
      </c>
    </row>
    <row r="41" spans="1:68" s="88" customFormat="1" ht="14.25" customHeight="1" x14ac:dyDescent="0.2">
      <c r="A41" s="135"/>
      <c r="B41" s="9"/>
      <c r="C41" s="9"/>
      <c r="D41" s="9"/>
      <c r="E41" s="9"/>
      <c r="F41" s="9"/>
      <c r="G41" s="9"/>
      <c r="H41" s="9"/>
      <c r="I41" s="9"/>
      <c r="J41" s="13"/>
      <c r="K41" s="9"/>
      <c r="L41" s="9"/>
      <c r="M41" s="9"/>
      <c r="N41" s="9"/>
      <c r="O41" s="9"/>
      <c r="P41" s="9"/>
      <c r="Q41" s="9"/>
      <c r="R41" s="9"/>
      <c r="S41" s="9"/>
      <c r="T41" s="9"/>
      <c r="U41" s="134"/>
      <c r="V41" s="152"/>
      <c r="W41" s="326"/>
      <c r="X41" s="647">
        <v>1</v>
      </c>
      <c r="Y41" s="50" t="str">
        <f t="shared" ref="Y41:Y64" si="25">B9</f>
        <v>Bracknell Forest</v>
      </c>
      <c r="Z41" s="45">
        <v>2</v>
      </c>
      <c r="AA41" s="46">
        <f>IF(H9&gt;0,IDACI!D9,0)</f>
        <v>23799</v>
      </c>
      <c r="AB41" s="46">
        <f>IF(H9&gt;0,IDACI!E9,0)</f>
        <v>2617.89</v>
      </c>
      <c r="AI41" s="642" t="b">
        <v>1</v>
      </c>
      <c r="AJ41" s="178" t="s">
        <v>32</v>
      </c>
      <c r="AK41" s="101" t="str">
        <f t="shared" si="19"/>
        <v>Brighton &amp; Hove</v>
      </c>
      <c r="AL41" s="164">
        <f t="shared" si="20"/>
        <v>91.485148514851474</v>
      </c>
      <c r="AM41" s="164">
        <f t="shared" si="20"/>
        <v>92.54901960784315</v>
      </c>
      <c r="AN41" s="164">
        <f t="shared" si="20"/>
        <v>85.546875</v>
      </c>
      <c r="AO41" s="164">
        <f t="shared" si="20"/>
        <v>88.921822897369395</v>
      </c>
      <c r="AP41" s="164">
        <f t="shared" si="20"/>
        <v>81.991330103371851</v>
      </c>
      <c r="AQ41" s="165">
        <f t="shared" ref="AQ41:AQ63" si="26">VLOOKUP(AK41,$B$9:$T$31,17,FALSE)</f>
        <v>18.3</v>
      </c>
      <c r="AR41" s="398">
        <f t="shared" ref="AR41:AV63" si="27">VLOOKUP($AK41,$B$110:$H$133,AR$36,FALSE)</f>
        <v>0.44444444444444442</v>
      </c>
      <c r="AS41" s="398" t="e">
        <f t="shared" si="21"/>
        <v>#N/A</v>
      </c>
      <c r="AT41" s="398">
        <f t="shared" si="21"/>
        <v>0.4375</v>
      </c>
      <c r="AU41" s="398">
        <f t="shared" si="21"/>
        <v>0.40123456790123457</v>
      </c>
      <c r="AV41" s="398">
        <f t="shared" si="21"/>
        <v>0.40531561461794019</v>
      </c>
      <c r="AW41" s="398">
        <f t="shared" ref="AW41:BA63" si="28">VLOOKUP($AK41,$B$145:$H$168,AW$36,FALSE)</f>
        <v>0.625</v>
      </c>
      <c r="AX41" s="398" t="e">
        <f t="shared" si="28"/>
        <v>#N/A</v>
      </c>
      <c r="AY41" s="398">
        <f t="shared" si="28"/>
        <v>0.6428571428571429</v>
      </c>
      <c r="AZ41" s="398">
        <f t="shared" si="28"/>
        <v>0.73076923076923073</v>
      </c>
      <c r="BA41" s="398">
        <f t="shared" si="28"/>
        <v>0.68852459016393441</v>
      </c>
      <c r="BB41" s="398">
        <f t="shared" ref="BB41:BF63" si="29">VLOOKUP($AK41,$B$180:$H$203,BB$36,FALSE)</f>
        <v>0.15151515151515152</v>
      </c>
      <c r="BC41" s="398" t="e">
        <f t="shared" si="23"/>
        <v>#N/A</v>
      </c>
      <c r="BD41" s="398">
        <f t="shared" si="23"/>
        <v>0.14840182648401826</v>
      </c>
      <c r="BE41" s="398">
        <f t="shared" si="23"/>
        <v>0.1206140350877193</v>
      </c>
      <c r="BF41" s="398">
        <f t="shared" si="23"/>
        <v>9.569377990430622E-2</v>
      </c>
      <c r="BG41" s="398">
        <f t="shared" si="24"/>
        <v>1.948051948051948E-2</v>
      </c>
      <c r="BH41" s="398">
        <f t="shared" si="24"/>
        <v>2.1186440677966101E-2</v>
      </c>
      <c r="BI41" s="398">
        <f t="shared" si="24"/>
        <v>7.7625570776255703E-2</v>
      </c>
      <c r="BJ41" s="398">
        <f t="shared" si="24"/>
        <v>8.3333333333333329E-2</v>
      </c>
      <c r="BK41" s="398">
        <f t="shared" si="24"/>
        <v>6.9377990430622011E-2</v>
      </c>
      <c r="BL41" s="398" t="e">
        <f>VLOOKUP($AK41,#REF!,BL$36,FALSE)</f>
        <v>#REF!</v>
      </c>
      <c r="BM41" s="398" t="e">
        <f>VLOOKUP($AK41,#REF!,BM$36,FALSE)</f>
        <v>#REF!</v>
      </c>
      <c r="BN41" s="398" t="e">
        <f>VLOOKUP($AK41,#REF!,BN$36,FALSE)</f>
        <v>#REF!</v>
      </c>
      <c r="BO41" s="398" t="e">
        <f>VLOOKUP($AK41,#REF!,BO$36,FALSE)</f>
        <v>#REF!</v>
      </c>
      <c r="BP41" s="398" t="e">
        <f>VLOOKUP($AK41,#REF!,BP$36,FALSE)</f>
        <v>#REF!</v>
      </c>
    </row>
    <row r="42" spans="1:68" ht="14.25" customHeight="1" x14ac:dyDescent="0.2">
      <c r="A42" s="135"/>
      <c r="B42" s="9"/>
      <c r="C42" s="9"/>
      <c r="D42" s="9"/>
      <c r="E42" s="9"/>
      <c r="F42" s="9"/>
      <c r="G42" s="9"/>
      <c r="H42" s="9"/>
      <c r="I42" s="9"/>
      <c r="J42" s="13"/>
      <c r="K42" s="9"/>
      <c r="L42" s="9"/>
      <c r="M42" s="9"/>
      <c r="N42" s="9"/>
      <c r="O42" s="9"/>
      <c r="P42" s="9"/>
      <c r="Q42" s="9"/>
      <c r="R42" s="9"/>
      <c r="S42" s="9"/>
      <c r="T42" s="9"/>
      <c r="U42" s="134"/>
      <c r="V42" s="152"/>
      <c r="W42" s="326"/>
      <c r="X42" s="647">
        <v>2</v>
      </c>
      <c r="Y42" s="50" t="str">
        <f t="shared" si="25"/>
        <v>Brighton &amp; Hove</v>
      </c>
      <c r="Z42" s="45">
        <v>3</v>
      </c>
      <c r="AA42" s="46">
        <f>IF(H10&gt;0,IDACI!D10,0)</f>
        <v>44814</v>
      </c>
      <c r="AB42" s="46">
        <f>IF(H10&gt;0,IDACI!E10,0)</f>
        <v>8200.9619999999995</v>
      </c>
      <c r="AI42" s="642" t="b">
        <v>1</v>
      </c>
      <c r="AJ42" s="178" t="s">
        <v>9</v>
      </c>
      <c r="AK42" s="101" t="str">
        <f t="shared" si="19"/>
        <v>Buckinghamshire</v>
      </c>
      <c r="AL42" s="164">
        <f t="shared" si="20"/>
        <v>37.244897959183675</v>
      </c>
      <c r="AM42" s="164">
        <f t="shared" si="20"/>
        <v>36.585365853658537</v>
      </c>
      <c r="AN42" s="164">
        <f t="shared" si="20"/>
        <v>38.059701492537314</v>
      </c>
      <c r="AO42" s="164">
        <f t="shared" si="20"/>
        <v>37.150689415326703</v>
      </c>
      <c r="AP42" s="164">
        <f t="shared" si="20"/>
        <v>38.594353036766201</v>
      </c>
      <c r="AQ42" s="165">
        <f t="shared" si="26"/>
        <v>9.8000000000000007</v>
      </c>
      <c r="AR42" s="398">
        <f t="shared" si="27"/>
        <v>0.44776119402985076</v>
      </c>
      <c r="AS42" s="398" t="e">
        <f t="shared" si="21"/>
        <v>#N/A</v>
      </c>
      <c r="AT42" s="398">
        <f t="shared" si="21"/>
        <v>0.42253521126760563</v>
      </c>
      <c r="AU42" s="398">
        <f t="shared" si="21"/>
        <v>0.39660056657223797</v>
      </c>
      <c r="AV42" s="398">
        <f t="shared" si="21"/>
        <v>0.39943342776203966</v>
      </c>
      <c r="AW42" s="398">
        <f t="shared" si="28"/>
        <v>0.6333333333333333</v>
      </c>
      <c r="AX42" s="398" t="e">
        <f t="shared" si="28"/>
        <v>#N/A</v>
      </c>
      <c r="AY42" s="398">
        <f t="shared" si="28"/>
        <v>0.6333333333333333</v>
      </c>
      <c r="AZ42" s="398">
        <f t="shared" si="28"/>
        <v>0.7142857142857143</v>
      </c>
      <c r="BA42" s="398">
        <f t="shared" si="28"/>
        <v>0.7021276595744681</v>
      </c>
      <c r="BB42" s="398">
        <f t="shared" si="29"/>
        <v>5.7077625570776253E-2</v>
      </c>
      <c r="BC42" s="398" t="e">
        <f t="shared" si="23"/>
        <v>#N/A</v>
      </c>
      <c r="BD42" s="398">
        <f t="shared" si="23"/>
        <v>7.6252723311546838E-2</v>
      </c>
      <c r="BE42" s="398">
        <f t="shared" si="23"/>
        <v>7.7092511013215861E-2</v>
      </c>
      <c r="BF42" s="398">
        <f t="shared" si="23"/>
        <v>5.894736842105263E-2</v>
      </c>
      <c r="BG42" s="398">
        <f t="shared" si="24"/>
        <v>3.8812785388127852E-2</v>
      </c>
      <c r="BH42" s="398">
        <f t="shared" si="24"/>
        <v>4.1379310344827586E-2</v>
      </c>
      <c r="BI42" s="398">
        <f t="shared" si="24"/>
        <v>4.1394335511982572E-2</v>
      </c>
      <c r="BJ42" s="398">
        <f t="shared" si="24"/>
        <v>5.2863436123348019E-2</v>
      </c>
      <c r="BK42" s="398">
        <f t="shared" si="24"/>
        <v>7.3684210526315783E-2</v>
      </c>
      <c r="BL42" s="398" t="e">
        <f>VLOOKUP($AK42,#REF!,BL$36,FALSE)</f>
        <v>#REF!</v>
      </c>
      <c r="BM42" s="398" t="e">
        <f>VLOOKUP($AK42,#REF!,BM$36,FALSE)</f>
        <v>#REF!</v>
      </c>
      <c r="BN42" s="398" t="e">
        <f>VLOOKUP($AK42,#REF!,BN$36,FALSE)</f>
        <v>#REF!</v>
      </c>
      <c r="BO42" s="398" t="e">
        <f>VLOOKUP($AK42,#REF!,BO$36,FALSE)</f>
        <v>#REF!</v>
      </c>
      <c r="BP42" s="398" t="e">
        <f>VLOOKUP($AK42,#REF!,BP$36,FALSE)</f>
        <v>#REF!</v>
      </c>
    </row>
    <row r="43" spans="1:68" ht="14.25" customHeight="1" x14ac:dyDescent="0.2">
      <c r="A43" s="135"/>
      <c r="B43" s="9"/>
      <c r="C43" s="9"/>
      <c r="D43" s="9"/>
      <c r="E43" s="9"/>
      <c r="F43" s="9"/>
      <c r="G43" s="9"/>
      <c r="H43" s="9"/>
      <c r="I43" s="9"/>
      <c r="J43" s="13"/>
      <c r="K43" s="14"/>
      <c r="L43" s="14"/>
      <c r="M43" s="14"/>
      <c r="N43" s="14"/>
      <c r="O43" s="15"/>
      <c r="P43" s="15"/>
      <c r="Q43" s="15"/>
      <c r="R43" s="15"/>
      <c r="S43" s="15"/>
      <c r="T43" s="15"/>
      <c r="U43" s="134"/>
      <c r="V43" s="152"/>
      <c r="W43" s="326"/>
      <c r="X43" s="647">
        <v>3</v>
      </c>
      <c r="Y43" s="50" t="str">
        <f t="shared" si="25"/>
        <v>Buckinghamshire</v>
      </c>
      <c r="Z43" s="45">
        <v>4</v>
      </c>
      <c r="AA43" s="46">
        <f>IF(H11&gt;0,IDACI!D11,0)</f>
        <v>103548</v>
      </c>
      <c r="AB43" s="46">
        <f>IF(H11&gt;0,IDACI!E11,0)</f>
        <v>10147.704</v>
      </c>
      <c r="AI43" s="642" t="b">
        <v>1</v>
      </c>
      <c r="AJ43" s="178" t="s">
        <v>4</v>
      </c>
      <c r="AK43" s="101" t="str">
        <f t="shared" si="19"/>
        <v>East Sussex</v>
      </c>
      <c r="AL43" s="164">
        <f t="shared" si="20"/>
        <v>54.770992366412216</v>
      </c>
      <c r="AM43" s="164">
        <f t="shared" si="20"/>
        <v>51.802656546489565</v>
      </c>
      <c r="AN43" s="164">
        <f t="shared" si="20"/>
        <v>51.274787535410766</v>
      </c>
      <c r="AO43" s="164">
        <f t="shared" si="20"/>
        <v>52.396552212456221</v>
      </c>
      <c r="AP43" s="164">
        <f t="shared" si="20"/>
        <v>56.862652647460983</v>
      </c>
      <c r="AQ43" s="165">
        <f t="shared" si="26"/>
        <v>17.399999999999999</v>
      </c>
      <c r="AR43" s="398">
        <f t="shared" si="27"/>
        <v>0.48958333333333331</v>
      </c>
      <c r="AS43" s="398" t="e">
        <f t="shared" si="21"/>
        <v>#N/A</v>
      </c>
      <c r="AT43" s="398">
        <f t="shared" si="21"/>
        <v>0.53333333333333333</v>
      </c>
      <c r="AU43" s="398">
        <f t="shared" si="21"/>
        <v>0.51044083526682138</v>
      </c>
      <c r="AV43" s="398">
        <f t="shared" si="21"/>
        <v>0.44420600858369097</v>
      </c>
      <c r="AW43" s="398">
        <f t="shared" si="28"/>
        <v>0.57446808510638303</v>
      </c>
      <c r="AX43" s="398" t="e">
        <f t="shared" si="28"/>
        <v>#N/A</v>
      </c>
      <c r="AY43" s="398">
        <f t="shared" si="28"/>
        <v>0.64583333333333337</v>
      </c>
      <c r="AZ43" s="398">
        <f t="shared" si="28"/>
        <v>0.70454545454545459</v>
      </c>
      <c r="BA43" s="398">
        <f t="shared" si="28"/>
        <v>0.70531400966183577</v>
      </c>
      <c r="BB43" s="398">
        <f t="shared" si="29"/>
        <v>8.7108013937282236E-2</v>
      </c>
      <c r="BC43" s="398" t="e">
        <f t="shared" si="23"/>
        <v>#N/A</v>
      </c>
      <c r="BD43" s="398">
        <f t="shared" si="23"/>
        <v>0.11049723756906077</v>
      </c>
      <c r="BE43" s="398">
        <f t="shared" si="23"/>
        <v>0.13513513513513514</v>
      </c>
      <c r="BF43" s="398">
        <f t="shared" si="23"/>
        <v>0.1111111111111111</v>
      </c>
      <c r="BG43" s="398" t="e">
        <f t="shared" si="24"/>
        <v>#N/A</v>
      </c>
      <c r="BH43" s="398">
        <f t="shared" si="24"/>
        <v>1.098901098901099E-2</v>
      </c>
      <c r="BI43" s="398">
        <f t="shared" si="24"/>
        <v>3.1307550644567222E-2</v>
      </c>
      <c r="BJ43" s="398">
        <f t="shared" si="24"/>
        <v>4.3243243243243246E-2</v>
      </c>
      <c r="BK43" s="398">
        <f t="shared" si="24"/>
        <v>3.316749585406302E-2</v>
      </c>
      <c r="BL43" s="398" t="e">
        <f>VLOOKUP($AK43,#REF!,BL$36,FALSE)</f>
        <v>#REF!</v>
      </c>
      <c r="BM43" s="398" t="e">
        <f>VLOOKUP($AK43,#REF!,BM$36,FALSE)</f>
        <v>#REF!</v>
      </c>
      <c r="BN43" s="398" t="e">
        <f>VLOOKUP($AK43,#REF!,BN$36,FALSE)</f>
        <v>#REF!</v>
      </c>
      <c r="BO43" s="398" t="e">
        <f>VLOOKUP($AK43,#REF!,BO$36,FALSE)</f>
        <v>#REF!</v>
      </c>
      <c r="BP43" s="398" t="e">
        <f>VLOOKUP($AK43,#REF!,BP$36,FALSE)</f>
        <v>#REF!</v>
      </c>
    </row>
    <row r="44" spans="1:68" s="82" customFormat="1" ht="14.25" customHeight="1" x14ac:dyDescent="0.2">
      <c r="A44" s="136"/>
      <c r="B44" s="256"/>
      <c r="C44" s="256"/>
      <c r="D44" s="257"/>
      <c r="E44" s="257"/>
      <c r="F44" s="257"/>
      <c r="G44" s="257"/>
      <c r="H44" s="257"/>
      <c r="I44" s="257"/>
      <c r="J44" s="16"/>
      <c r="K44" s="9"/>
      <c r="L44" s="9"/>
      <c r="M44" s="9"/>
      <c r="N44" s="9"/>
      <c r="O44" s="9"/>
      <c r="P44" s="9"/>
      <c r="Q44" s="9"/>
      <c r="R44" s="9"/>
      <c r="S44" s="9"/>
      <c r="T44" s="9"/>
      <c r="U44" s="137"/>
      <c r="V44" s="153"/>
      <c r="W44" s="327"/>
      <c r="X44" s="647">
        <v>4</v>
      </c>
      <c r="Y44" s="50" t="str">
        <f t="shared" si="25"/>
        <v>East Sussex</v>
      </c>
      <c r="Z44" s="45">
        <v>5</v>
      </c>
      <c r="AA44" s="46">
        <f>IF(H12&gt;0,IDACI!D12,0)</f>
        <v>91918</v>
      </c>
      <c r="AB44" s="46">
        <f>IF(H12&gt;0,IDACI!E12,0)</f>
        <v>15993.731999999998</v>
      </c>
      <c r="AC44" s="88"/>
      <c r="AD44" s="88"/>
      <c r="AE44" s="88"/>
      <c r="AF44" s="88"/>
      <c r="AG44" s="88"/>
      <c r="AH44" s="88"/>
      <c r="AI44" s="642" t="b">
        <v>1</v>
      </c>
      <c r="AJ44" s="178" t="s">
        <v>6</v>
      </c>
      <c r="AK44" s="101" t="str">
        <f t="shared" si="19"/>
        <v>Hampshire</v>
      </c>
      <c r="AL44" s="164">
        <f t="shared" si="20"/>
        <v>44.874068818730045</v>
      </c>
      <c r="AM44" s="164">
        <f t="shared" si="20"/>
        <v>47.353463587921851</v>
      </c>
      <c r="AN44" s="164">
        <f t="shared" si="20"/>
        <v>46.293011706278826</v>
      </c>
      <c r="AO44" s="164">
        <f t="shared" si="20"/>
        <v>50.920998193011798</v>
      </c>
      <c r="AP44" s="164">
        <f t="shared" si="20"/>
        <v>56.262662628744074</v>
      </c>
      <c r="AQ44" s="165">
        <f t="shared" si="26"/>
        <v>11.799999999999999</v>
      </c>
      <c r="AR44" s="398">
        <f t="shared" si="27"/>
        <v>0.35</v>
      </c>
      <c r="AS44" s="398" t="e">
        <f t="shared" si="21"/>
        <v>#N/A</v>
      </c>
      <c r="AT44" s="398">
        <f t="shared" si="21"/>
        <v>0.40191387559808611</v>
      </c>
      <c r="AU44" s="398">
        <f t="shared" si="21"/>
        <v>0.4144851657940663</v>
      </c>
      <c r="AV44" s="398">
        <f t="shared" si="21"/>
        <v>0.4095315024232633</v>
      </c>
      <c r="AW44" s="398">
        <f t="shared" si="28"/>
        <v>0.61428571428571432</v>
      </c>
      <c r="AX44" s="398" t="e">
        <f t="shared" si="28"/>
        <v>#N/A</v>
      </c>
      <c r="AY44" s="398">
        <f t="shared" si="28"/>
        <v>0.66666666666666663</v>
      </c>
      <c r="AZ44" s="398">
        <f t="shared" si="28"/>
        <v>0.68421052631578949</v>
      </c>
      <c r="BA44" s="398">
        <f t="shared" si="28"/>
        <v>0.72386587771203159</v>
      </c>
      <c r="BB44" s="398">
        <f t="shared" si="29"/>
        <v>0.16996047430830039</v>
      </c>
      <c r="BC44" s="398" t="e">
        <f t="shared" si="23"/>
        <v>#N/A</v>
      </c>
      <c r="BD44" s="398">
        <f t="shared" si="23"/>
        <v>0.17241379310344829</v>
      </c>
      <c r="BE44" s="398">
        <f t="shared" si="23"/>
        <v>0.15625</v>
      </c>
      <c r="BF44" s="398">
        <f t="shared" si="23"/>
        <v>0.16436637390213299</v>
      </c>
      <c r="BG44" s="398">
        <f t="shared" si="24"/>
        <v>2.1343873517786563E-2</v>
      </c>
      <c r="BH44" s="398">
        <f t="shared" si="24"/>
        <v>1.5003750937734433E-2</v>
      </c>
      <c r="BI44" s="398">
        <f t="shared" si="24"/>
        <v>2.2222222222222223E-2</v>
      </c>
      <c r="BJ44" s="398">
        <f t="shared" si="24"/>
        <v>5.5555555555555552E-2</v>
      </c>
      <c r="BK44" s="398">
        <f t="shared" si="24"/>
        <v>7.0263488080301126E-2</v>
      </c>
      <c r="BL44" s="398" t="e">
        <f>VLOOKUP($AK44,#REF!,BL$36,FALSE)</f>
        <v>#REF!</v>
      </c>
      <c r="BM44" s="398" t="e">
        <f>VLOOKUP($AK44,#REF!,BM$36,FALSE)</f>
        <v>#REF!</v>
      </c>
      <c r="BN44" s="398" t="e">
        <f>VLOOKUP($AK44,#REF!,BN$36,FALSE)</f>
        <v>#REF!</v>
      </c>
      <c r="BO44" s="398" t="e">
        <f>VLOOKUP($AK44,#REF!,BO$36,FALSE)</f>
        <v>#REF!</v>
      </c>
      <c r="BP44" s="398" t="e">
        <f>VLOOKUP($AK44,#REF!,BP$36,FALSE)</f>
        <v>#REF!</v>
      </c>
    </row>
    <row r="45" spans="1:68" ht="14.25" customHeight="1" x14ac:dyDescent="0.2">
      <c r="A45" s="135"/>
      <c r="B45" s="257"/>
      <c r="C45" s="257"/>
      <c r="D45" s="257"/>
      <c r="E45" s="257"/>
      <c r="F45" s="257"/>
      <c r="G45" s="257"/>
      <c r="H45" s="257"/>
      <c r="I45" s="257"/>
      <c r="J45" s="13"/>
      <c r="K45" s="15"/>
      <c r="L45" s="15"/>
      <c r="M45" s="15"/>
      <c r="N45" s="15"/>
      <c r="O45" s="9"/>
      <c r="P45" s="9"/>
      <c r="Q45" s="9"/>
      <c r="R45" s="9"/>
      <c r="S45" s="9"/>
      <c r="T45" s="9"/>
      <c r="U45" s="134"/>
      <c r="V45" s="152"/>
      <c r="W45" s="326"/>
      <c r="X45" s="647">
        <v>5</v>
      </c>
      <c r="Y45" s="50" t="str">
        <f t="shared" si="25"/>
        <v>Hampshire</v>
      </c>
      <c r="Z45" s="45">
        <v>6</v>
      </c>
      <c r="AA45" s="46">
        <f>IF(H13&gt;0,IDACI!D13,0)</f>
        <v>247800</v>
      </c>
      <c r="AB45" s="46">
        <f>IF(H13&gt;0,IDACI!E13,0)</f>
        <v>29240.399999999998</v>
      </c>
      <c r="AI45" s="642" t="b">
        <v>1</v>
      </c>
      <c r="AJ45" s="178" t="s">
        <v>1</v>
      </c>
      <c r="AK45" s="101" t="str">
        <f t="shared" si="19"/>
        <v>Isle of Wight</v>
      </c>
      <c r="AL45" s="164">
        <f t="shared" si="20"/>
        <v>74.031007751937977</v>
      </c>
      <c r="AM45" s="164">
        <f t="shared" si="20"/>
        <v>79.215686274509807</v>
      </c>
      <c r="AN45" s="164">
        <f t="shared" si="20"/>
        <v>80.632411067193686</v>
      </c>
      <c r="AO45" s="164">
        <f t="shared" si="20"/>
        <v>90.476190476190467</v>
      </c>
      <c r="AP45" s="164">
        <f t="shared" si="20"/>
        <v>90.201556575533814</v>
      </c>
      <c r="AQ45" s="165">
        <f t="shared" si="26"/>
        <v>20.399999999999999</v>
      </c>
      <c r="AR45" s="398">
        <f t="shared" si="27"/>
        <v>0.2857142857142857</v>
      </c>
      <c r="AS45" s="398" t="e">
        <f t="shared" si="21"/>
        <v>#N/A</v>
      </c>
      <c r="AT45" s="398">
        <f t="shared" si="21"/>
        <v>0.41379310344827586</v>
      </c>
      <c r="AU45" s="398">
        <f t="shared" si="21"/>
        <v>0.3235294117647059</v>
      </c>
      <c r="AV45" s="398">
        <f t="shared" si="21"/>
        <v>0.34946236559139787</v>
      </c>
      <c r="AW45" s="398">
        <f t="shared" si="28"/>
        <v>0.625</v>
      </c>
      <c r="AX45" s="398" t="e">
        <f t="shared" si="28"/>
        <v>#N/A</v>
      </c>
      <c r="AY45" s="398">
        <f t="shared" si="28"/>
        <v>0.66666666666666663</v>
      </c>
      <c r="AZ45" s="398">
        <f t="shared" si="28"/>
        <v>0.63636363636363635</v>
      </c>
      <c r="BA45" s="398">
        <f t="shared" si="28"/>
        <v>0.7384615384615385</v>
      </c>
      <c r="BB45" s="398">
        <f t="shared" si="29"/>
        <v>0.13089005235602094</v>
      </c>
      <c r="BC45" s="398" t="e">
        <f t="shared" si="23"/>
        <v>#N/A</v>
      </c>
      <c r="BD45" s="398">
        <f t="shared" si="23"/>
        <v>0.12254901960784313</v>
      </c>
      <c r="BE45" s="398">
        <f t="shared" si="23"/>
        <v>0.10964912280701754</v>
      </c>
      <c r="BF45" s="398">
        <f t="shared" si="23"/>
        <v>0.18141592920353983</v>
      </c>
      <c r="BG45" s="398">
        <f t="shared" si="24"/>
        <v>0</v>
      </c>
      <c r="BH45" s="398">
        <f t="shared" si="24"/>
        <v>0</v>
      </c>
      <c r="BI45" s="398">
        <f t="shared" si="24"/>
        <v>0</v>
      </c>
      <c r="BJ45" s="398">
        <f t="shared" si="24"/>
        <v>3.0701754385964911E-2</v>
      </c>
      <c r="BK45" s="398">
        <f t="shared" si="24"/>
        <v>3.0973451327433628E-2</v>
      </c>
      <c r="BL45" s="398" t="e">
        <f>VLOOKUP($AK45,#REF!,BL$36,FALSE)</f>
        <v>#REF!</v>
      </c>
      <c r="BM45" s="398" t="e">
        <f>VLOOKUP($AK45,#REF!,BM$36,FALSE)</f>
        <v>#REF!</v>
      </c>
      <c r="BN45" s="398" t="e">
        <f>VLOOKUP($AK45,#REF!,BN$36,FALSE)</f>
        <v>#REF!</v>
      </c>
      <c r="BO45" s="398" t="e">
        <f>VLOOKUP($AK45,#REF!,BO$36,FALSE)</f>
        <v>#REF!</v>
      </c>
      <c r="BP45" s="398" t="e">
        <f>VLOOKUP($AK45,#REF!,BP$36,FALSE)</f>
        <v>#REF!</v>
      </c>
    </row>
    <row r="46" spans="1:68" ht="14.25" customHeight="1" x14ac:dyDescent="0.2">
      <c r="A46" s="135"/>
      <c r="B46" s="257"/>
      <c r="C46" s="257"/>
      <c r="D46" s="257"/>
      <c r="E46" s="257"/>
      <c r="F46" s="257"/>
      <c r="G46" s="257"/>
      <c r="H46" s="257"/>
      <c r="I46" s="257"/>
      <c r="J46" s="13"/>
      <c r="K46" s="15"/>
      <c r="L46" s="15"/>
      <c r="M46" s="15"/>
      <c r="N46" s="15"/>
      <c r="O46" s="9"/>
      <c r="P46" s="9"/>
      <c r="Q46" s="9"/>
      <c r="R46" s="9"/>
      <c r="S46" s="9"/>
      <c r="T46" s="9"/>
      <c r="U46" s="134"/>
      <c r="V46" s="152"/>
      <c r="W46" s="326"/>
      <c r="X46" s="647">
        <v>6</v>
      </c>
      <c r="Y46" s="50" t="str">
        <f t="shared" si="25"/>
        <v>Isle of Wight</v>
      </c>
      <c r="Z46" s="45">
        <v>7</v>
      </c>
      <c r="AA46" s="46">
        <f>IF(H14&gt;0,IDACI!D14,0)</f>
        <v>22502</v>
      </c>
      <c r="AB46" s="46">
        <f>IF(H14&gt;0,IDACI!E14,0)</f>
        <v>4590.4079999999994</v>
      </c>
      <c r="AC46" s="239"/>
      <c r="AI46" s="642" t="b">
        <v>1</v>
      </c>
      <c r="AJ46" s="178" t="s">
        <v>10</v>
      </c>
      <c r="AK46" s="101" t="str">
        <f t="shared" si="19"/>
        <v>Kent</v>
      </c>
      <c r="AL46" s="164">
        <f t="shared" si="20"/>
        <v>55.896805896805894</v>
      </c>
      <c r="AM46" s="164">
        <f t="shared" si="20"/>
        <v>56.868717636308254</v>
      </c>
      <c r="AN46" s="164">
        <f t="shared" si="20"/>
        <v>70.036319612590802</v>
      </c>
      <c r="AO46" s="164">
        <f t="shared" si="20"/>
        <v>57.109399630680542</v>
      </c>
      <c r="AP46" s="164">
        <f t="shared" si="20"/>
        <v>48.945223005742513</v>
      </c>
      <c r="AQ46" s="165">
        <f t="shared" si="26"/>
        <v>17.8</v>
      </c>
      <c r="AR46" s="398">
        <f t="shared" si="27"/>
        <v>0.40530303030303028</v>
      </c>
      <c r="AS46" s="398" t="e">
        <f t="shared" si="21"/>
        <v>#N/A</v>
      </c>
      <c r="AT46" s="398">
        <f t="shared" si="21"/>
        <v>0.43129770992366412</v>
      </c>
      <c r="AU46" s="398">
        <f t="shared" si="21"/>
        <v>0.46179680940386231</v>
      </c>
      <c r="AV46" s="398">
        <f t="shared" si="21"/>
        <v>0.5122171945701357</v>
      </c>
      <c r="AW46" s="398">
        <f t="shared" si="28"/>
        <v>0.65420560747663548</v>
      </c>
      <c r="AX46" s="398" t="e">
        <f t="shared" si="28"/>
        <v>#N/A</v>
      </c>
      <c r="AY46" s="398">
        <f t="shared" si="28"/>
        <v>0.69026548672566368</v>
      </c>
      <c r="AZ46" s="398">
        <f t="shared" si="28"/>
        <v>0.69090909090909092</v>
      </c>
      <c r="BA46" s="398">
        <f t="shared" si="28"/>
        <v>0.67844522968197885</v>
      </c>
      <c r="BB46" s="398">
        <f t="shared" si="29"/>
        <v>0.13461538461538461</v>
      </c>
      <c r="BC46" s="398" t="e">
        <f t="shared" si="23"/>
        <v>#N/A</v>
      </c>
      <c r="BD46" s="398">
        <f t="shared" si="23"/>
        <v>0.12532411408815902</v>
      </c>
      <c r="BE46" s="398">
        <f t="shared" si="23"/>
        <v>0.12618296529968454</v>
      </c>
      <c r="BF46" s="398">
        <f t="shared" si="23"/>
        <v>0.11732522796352583</v>
      </c>
      <c r="BG46" s="398">
        <f t="shared" si="24"/>
        <v>0.11758241758241758</v>
      </c>
      <c r="BH46" s="398">
        <f t="shared" si="24"/>
        <v>0.19657204070701662</v>
      </c>
      <c r="BI46" s="398">
        <f t="shared" si="24"/>
        <v>0.37510803802938636</v>
      </c>
      <c r="BJ46" s="398">
        <f t="shared" si="24"/>
        <v>0.25499474237644587</v>
      </c>
      <c r="BK46" s="398">
        <f t="shared" si="24"/>
        <v>0.14285714285714285</v>
      </c>
      <c r="BL46" s="398" t="e">
        <f>VLOOKUP($AK46,#REF!,BL$36,FALSE)</f>
        <v>#REF!</v>
      </c>
      <c r="BM46" s="398" t="e">
        <f>VLOOKUP($AK46,#REF!,BM$36,FALSE)</f>
        <v>#REF!</v>
      </c>
      <c r="BN46" s="398" t="e">
        <f>VLOOKUP($AK46,#REF!,BN$36,FALSE)</f>
        <v>#REF!</v>
      </c>
      <c r="BO46" s="398" t="e">
        <f>VLOOKUP($AK46,#REF!,BO$36,FALSE)</f>
        <v>#REF!</v>
      </c>
      <c r="BP46" s="398" t="e">
        <f>VLOOKUP($AK46,#REF!,BP$36,FALSE)</f>
        <v>#REF!</v>
      </c>
    </row>
    <row r="47" spans="1:68" ht="14.25" customHeight="1" x14ac:dyDescent="0.2">
      <c r="A47" s="135"/>
      <c r="B47" s="58"/>
      <c r="C47" s="58"/>
      <c r="D47" s="58"/>
      <c r="E47" s="58"/>
      <c r="F47" s="58"/>
      <c r="G47" s="58"/>
      <c r="H47" s="58"/>
      <c r="I47" s="58"/>
      <c r="J47" s="13"/>
      <c r="K47" s="15"/>
      <c r="L47" s="15"/>
      <c r="M47" s="15"/>
      <c r="N47" s="15"/>
      <c r="O47" s="9"/>
      <c r="P47" s="9"/>
      <c r="Q47" s="9"/>
      <c r="R47" s="9"/>
      <c r="S47" s="9"/>
      <c r="T47" s="9"/>
      <c r="U47" s="134"/>
      <c r="V47" s="152"/>
      <c r="W47" s="326"/>
      <c r="X47" s="647">
        <v>7</v>
      </c>
      <c r="Y47" s="50" t="str">
        <f t="shared" si="25"/>
        <v>Kent</v>
      </c>
      <c r="Z47" s="45">
        <v>8</v>
      </c>
      <c r="AA47" s="46">
        <f>IF(H15&gt;0,IDACI!D15,0)</f>
        <v>286168</v>
      </c>
      <c r="AB47" s="46">
        <f>IF(H15&gt;0,IDACI!E15,0)</f>
        <v>50937.904000000002</v>
      </c>
      <c r="AC47" s="210"/>
      <c r="AI47" s="642" t="b">
        <v>1</v>
      </c>
      <c r="AJ47" s="178" t="s">
        <v>2</v>
      </c>
      <c r="AK47" s="101" t="str">
        <f t="shared" si="19"/>
        <v>Medway</v>
      </c>
      <c r="AL47" s="164">
        <f t="shared" si="20"/>
        <v>61.525974025974023</v>
      </c>
      <c r="AM47" s="164">
        <f t="shared" si="20"/>
        <v>68.16</v>
      </c>
      <c r="AN47" s="164">
        <f t="shared" si="20"/>
        <v>68.037974683544306</v>
      </c>
      <c r="AO47" s="164">
        <f t="shared" si="20"/>
        <v>61.227373345683468</v>
      </c>
      <c r="AP47" s="164">
        <f t="shared" si="20"/>
        <v>64.745163661385916</v>
      </c>
      <c r="AQ47" s="165">
        <f t="shared" si="26"/>
        <v>22</v>
      </c>
      <c r="AR47" s="398">
        <f t="shared" si="27"/>
        <v>0.41269841269841268</v>
      </c>
      <c r="AS47" s="398" t="e">
        <f t="shared" si="21"/>
        <v>#N/A</v>
      </c>
      <c r="AT47" s="398">
        <f t="shared" si="21"/>
        <v>0.37681159420289856</v>
      </c>
      <c r="AU47" s="398">
        <f t="shared" si="21"/>
        <v>0.47021943573667713</v>
      </c>
      <c r="AV47" s="398">
        <f t="shared" si="21"/>
        <v>0.48973607038123168</v>
      </c>
      <c r="AW47" s="398">
        <f t="shared" si="28"/>
        <v>0.65384615384615385</v>
      </c>
      <c r="AX47" s="398" t="e">
        <f t="shared" si="28"/>
        <v>#N/A</v>
      </c>
      <c r="AY47" s="398">
        <f t="shared" si="28"/>
        <v>0.73076923076923073</v>
      </c>
      <c r="AZ47" s="398">
        <f t="shared" si="28"/>
        <v>0.76666666666666672</v>
      </c>
      <c r="BA47" s="398">
        <f t="shared" si="28"/>
        <v>0.6706586826347305</v>
      </c>
      <c r="BB47" s="398">
        <f t="shared" si="29"/>
        <v>6.5963060686015831E-2</v>
      </c>
      <c r="BC47" s="398" t="e">
        <f t="shared" si="23"/>
        <v>#N/A</v>
      </c>
      <c r="BD47" s="398">
        <f t="shared" si="23"/>
        <v>9.3023255813953487E-2</v>
      </c>
      <c r="BE47" s="398">
        <f t="shared" si="23"/>
        <v>0.11538461538461539</v>
      </c>
      <c r="BF47" s="398">
        <f t="shared" si="23"/>
        <v>9.9033816425120769E-2</v>
      </c>
      <c r="BG47" s="398">
        <f t="shared" si="24"/>
        <v>0</v>
      </c>
      <c r="BH47" s="398" t="e">
        <f t="shared" si="24"/>
        <v>#N/A</v>
      </c>
      <c r="BI47" s="398" t="e">
        <f t="shared" si="24"/>
        <v>#N/A</v>
      </c>
      <c r="BJ47" s="398" t="e">
        <f t="shared" si="24"/>
        <v>#N/A</v>
      </c>
      <c r="BK47" s="398" t="e">
        <f t="shared" si="24"/>
        <v>#N/A</v>
      </c>
      <c r="BL47" s="398" t="e">
        <f>VLOOKUP($AK47,#REF!,BL$36,FALSE)</f>
        <v>#REF!</v>
      </c>
      <c r="BM47" s="398" t="e">
        <f>VLOOKUP($AK47,#REF!,BM$36,FALSE)</f>
        <v>#REF!</v>
      </c>
      <c r="BN47" s="398" t="e">
        <f>VLOOKUP($AK47,#REF!,BN$36,FALSE)</f>
        <v>#REF!</v>
      </c>
      <c r="BO47" s="398" t="e">
        <f>VLOOKUP($AK47,#REF!,BO$36,FALSE)</f>
        <v>#REF!</v>
      </c>
      <c r="BP47" s="398" t="e">
        <f>VLOOKUP($AK47,#REF!,BP$36,FALSE)</f>
        <v>#REF!</v>
      </c>
    </row>
    <row r="48" spans="1:68" ht="14.25" customHeight="1" x14ac:dyDescent="0.2">
      <c r="A48" s="135"/>
      <c r="B48" s="58"/>
      <c r="C48" s="58"/>
      <c r="D48" s="69"/>
      <c r="E48" s="70"/>
      <c r="F48" s="69"/>
      <c r="G48" s="70"/>
      <c r="H48" s="70"/>
      <c r="I48" s="70"/>
      <c r="J48" s="13"/>
      <c r="K48" s="15"/>
      <c r="L48" s="15"/>
      <c r="M48" s="15"/>
      <c r="N48" s="15"/>
      <c r="O48" s="9"/>
      <c r="P48" s="9"/>
      <c r="Q48" s="9"/>
      <c r="R48" s="9"/>
      <c r="S48" s="9"/>
      <c r="T48" s="9"/>
      <c r="U48" s="134"/>
      <c r="V48" s="152"/>
      <c r="W48" s="326"/>
      <c r="X48" s="647">
        <v>8</v>
      </c>
      <c r="Y48" s="50" t="str">
        <f t="shared" si="25"/>
        <v>Medway</v>
      </c>
      <c r="Z48" s="45">
        <v>9</v>
      </c>
      <c r="AA48" s="46">
        <f>IF(H16&gt;0,IDACI!D16,0)</f>
        <v>54280</v>
      </c>
      <c r="AB48" s="46">
        <f>IF(H16&gt;0,IDACI!E16,0)</f>
        <v>11941.6</v>
      </c>
      <c r="AI48" s="642" t="b">
        <v>1</v>
      </c>
      <c r="AJ48" s="178" t="s">
        <v>11</v>
      </c>
      <c r="AK48" s="101" t="str">
        <f t="shared" si="19"/>
        <v>Milton Keynes</v>
      </c>
      <c r="AL48" s="164">
        <f t="shared" si="20"/>
        <v>47.34375</v>
      </c>
      <c r="AM48" s="164">
        <f t="shared" si="20"/>
        <v>51.993865030674847</v>
      </c>
      <c r="AN48" s="164">
        <f t="shared" si="20"/>
        <v>52.193645990922839</v>
      </c>
      <c r="AO48" s="164">
        <f t="shared" si="20"/>
        <v>58.975962827271914</v>
      </c>
      <c r="AP48" s="164">
        <f t="shared" si="20"/>
        <v>57.800050260913274</v>
      </c>
      <c r="AQ48" s="165">
        <f t="shared" si="26"/>
        <v>19.7</v>
      </c>
      <c r="AR48" s="398">
        <f t="shared" si="27"/>
        <v>0.36734693877551022</v>
      </c>
      <c r="AS48" s="398" t="e">
        <f t="shared" si="21"/>
        <v>#N/A</v>
      </c>
      <c r="AT48" s="398">
        <f t="shared" si="21"/>
        <v>0.44</v>
      </c>
      <c r="AU48" s="398">
        <f t="shared" si="21"/>
        <v>0.39473684210526316</v>
      </c>
      <c r="AV48" s="398">
        <f t="shared" si="21"/>
        <v>0.40251572327044027</v>
      </c>
      <c r="AW48" s="398">
        <f t="shared" si="28"/>
        <v>0.61111111111111116</v>
      </c>
      <c r="AX48" s="398" t="e">
        <f t="shared" si="28"/>
        <v>#N/A</v>
      </c>
      <c r="AY48" s="398">
        <f t="shared" si="28"/>
        <v>0.54545454545454541</v>
      </c>
      <c r="AZ48" s="398">
        <f t="shared" si="28"/>
        <v>0.625</v>
      </c>
      <c r="BA48" s="398">
        <f t="shared" si="28"/>
        <v>0.5703125</v>
      </c>
      <c r="BB48" s="398">
        <f t="shared" si="29"/>
        <v>0.11551155115511551</v>
      </c>
      <c r="BC48" s="398" t="e">
        <f t="shared" si="23"/>
        <v>#N/A</v>
      </c>
      <c r="BD48" s="398">
        <f t="shared" si="23"/>
        <v>0.11594202898550725</v>
      </c>
      <c r="BE48" s="398">
        <f t="shared" si="23"/>
        <v>8.8383838383838384E-2</v>
      </c>
      <c r="BF48" s="398">
        <f t="shared" si="23"/>
        <v>0.11253196930946291</v>
      </c>
      <c r="BG48" s="398">
        <f t="shared" si="24"/>
        <v>2.6402640264026403E-2</v>
      </c>
      <c r="BH48" s="398">
        <f t="shared" si="24"/>
        <v>7.3746312684365781E-2</v>
      </c>
      <c r="BI48" s="398">
        <f t="shared" si="24"/>
        <v>0.11884057971014493</v>
      </c>
      <c r="BJ48" s="398">
        <f t="shared" si="24"/>
        <v>0.10353535353535354</v>
      </c>
      <c r="BK48" s="398">
        <f t="shared" si="24"/>
        <v>6.6496163682864456E-2</v>
      </c>
      <c r="BL48" s="398" t="e">
        <f>VLOOKUP($AK48,#REF!,BL$36,FALSE)</f>
        <v>#REF!</v>
      </c>
      <c r="BM48" s="398" t="e">
        <f>VLOOKUP($AK48,#REF!,BM$36,FALSE)</f>
        <v>#REF!</v>
      </c>
      <c r="BN48" s="398" t="e">
        <f>VLOOKUP($AK48,#REF!,BN$36,FALSE)</f>
        <v>#REF!</v>
      </c>
      <c r="BO48" s="398" t="e">
        <f>VLOOKUP($AK48,#REF!,BO$36,FALSE)</f>
        <v>#REF!</v>
      </c>
      <c r="BP48" s="398" t="e">
        <f>VLOOKUP($AK48,#REF!,BP$36,FALSE)</f>
        <v>#REF!</v>
      </c>
    </row>
    <row r="49" spans="1:68" ht="14.25" customHeight="1" x14ac:dyDescent="0.2">
      <c r="A49" s="135"/>
      <c r="B49" s="58"/>
      <c r="C49" s="58"/>
      <c r="D49" s="62"/>
      <c r="E49" s="62"/>
      <c r="F49" s="62"/>
      <c r="G49" s="62"/>
      <c r="H49" s="62"/>
      <c r="I49" s="62"/>
      <c r="J49" s="13"/>
      <c r="K49" s="15"/>
      <c r="L49" s="15"/>
      <c r="M49" s="15"/>
      <c r="N49" s="15"/>
      <c r="O49" s="9"/>
      <c r="P49" s="9"/>
      <c r="Q49" s="9"/>
      <c r="R49" s="9"/>
      <c r="S49" s="9"/>
      <c r="T49" s="9"/>
      <c r="U49" s="134"/>
      <c r="V49" s="152"/>
      <c r="W49" s="326"/>
      <c r="X49" s="647">
        <v>9</v>
      </c>
      <c r="Y49" s="50" t="str">
        <f t="shared" si="25"/>
        <v>Milton Keynes</v>
      </c>
      <c r="Z49" s="45">
        <v>10</v>
      </c>
      <c r="AA49" s="46">
        <f>IF(H17&gt;0,IDACI!D17,0)</f>
        <v>56637</v>
      </c>
      <c r="AB49" s="46">
        <f>IF(H17&gt;0,IDACI!E17,0)</f>
        <v>11157.489</v>
      </c>
      <c r="AI49" s="642" t="b">
        <v>1</v>
      </c>
      <c r="AJ49" s="178" t="s">
        <v>12</v>
      </c>
      <c r="AK49" s="101" t="str">
        <f t="shared" si="19"/>
        <v>Oxfordshire</v>
      </c>
      <c r="AL49" s="164">
        <f t="shared" si="20"/>
        <v>32.929436920883816</v>
      </c>
      <c r="AM49" s="164">
        <f t="shared" si="20"/>
        <v>36.118980169971671</v>
      </c>
      <c r="AN49" s="164">
        <f t="shared" si="20"/>
        <v>41.819464033850494</v>
      </c>
      <c r="AO49" s="164">
        <f t="shared" si="20"/>
        <v>46.606996647935219</v>
      </c>
      <c r="AP49" s="164">
        <f t="shared" si="20"/>
        <v>47.753827277543856</v>
      </c>
      <c r="AQ49" s="165">
        <f t="shared" si="26"/>
        <v>11.799999999999999</v>
      </c>
      <c r="AR49" s="398">
        <f t="shared" si="27"/>
        <v>0.2857142857142857</v>
      </c>
      <c r="AS49" s="398" t="e">
        <f t="shared" si="21"/>
        <v>#N/A</v>
      </c>
      <c r="AT49" s="398">
        <f t="shared" si="21"/>
        <v>0.27586206896551724</v>
      </c>
      <c r="AU49" s="398">
        <f t="shared" si="21"/>
        <v>0.25590551181102361</v>
      </c>
      <c r="AV49" s="398">
        <f t="shared" si="21"/>
        <v>0.31517509727626458</v>
      </c>
      <c r="AW49" s="398">
        <f t="shared" si="28"/>
        <v>0.65</v>
      </c>
      <c r="AX49" s="398" t="e">
        <f t="shared" si="28"/>
        <v>#N/A</v>
      </c>
      <c r="AY49" s="398">
        <f t="shared" si="28"/>
        <v>0.66666666666666663</v>
      </c>
      <c r="AZ49" s="398">
        <f t="shared" si="28"/>
        <v>0.69230769230769229</v>
      </c>
      <c r="BA49" s="398">
        <f t="shared" si="28"/>
        <v>0.65432098765432101</v>
      </c>
      <c r="BB49" s="398">
        <f t="shared" si="29"/>
        <v>0.11904761904761904</v>
      </c>
      <c r="BC49" s="398" t="e">
        <f t="shared" si="23"/>
        <v>#N/A</v>
      </c>
      <c r="BD49" s="398">
        <f t="shared" si="23"/>
        <v>6.7453625632377737E-2</v>
      </c>
      <c r="BE49" s="398">
        <f t="shared" si="23"/>
        <v>8.2582582582582581E-2</v>
      </c>
      <c r="BF49" s="398">
        <f t="shared" si="23"/>
        <v>0.11240875912408758</v>
      </c>
      <c r="BG49" s="398">
        <f t="shared" si="24"/>
        <v>4.3290043290043288E-2</v>
      </c>
      <c r="BH49" s="398">
        <f t="shared" si="24"/>
        <v>8.2352941176470587E-2</v>
      </c>
      <c r="BI49" s="398">
        <f t="shared" si="24"/>
        <v>9.7807757166947729E-2</v>
      </c>
      <c r="BJ49" s="398">
        <f t="shared" si="24"/>
        <v>8.1081081081081086E-2</v>
      </c>
      <c r="BK49" s="398">
        <f t="shared" si="24"/>
        <v>8.3211678832116789E-2</v>
      </c>
      <c r="BL49" s="398" t="e">
        <f>VLOOKUP($AK49,#REF!,BL$36,FALSE)</f>
        <v>#REF!</v>
      </c>
      <c r="BM49" s="398" t="e">
        <f>VLOOKUP($AK49,#REF!,BM$36,FALSE)</f>
        <v>#REF!</v>
      </c>
      <c r="BN49" s="398" t="e">
        <f>VLOOKUP($AK49,#REF!,BN$36,FALSE)</f>
        <v>#REF!</v>
      </c>
      <c r="BO49" s="398" t="e">
        <f>VLOOKUP($AK49,#REF!,BO$36,FALSE)</f>
        <v>#REF!</v>
      </c>
      <c r="BP49" s="398" t="e">
        <f>VLOOKUP($AK49,#REF!,BP$36,FALSE)</f>
        <v>#REF!</v>
      </c>
    </row>
    <row r="50" spans="1:68" ht="14.25" customHeight="1" x14ac:dyDescent="0.2">
      <c r="A50" s="135"/>
      <c r="B50" s="429"/>
      <c r="C50" s="429"/>
      <c r="D50" s="58"/>
      <c r="E50" s="58"/>
      <c r="F50" s="58"/>
      <c r="G50" s="58"/>
      <c r="H50" s="58"/>
      <c r="I50" s="58"/>
      <c r="J50" s="13"/>
      <c r="K50" s="15"/>
      <c r="L50" s="15"/>
      <c r="M50" s="15"/>
      <c r="N50" s="15"/>
      <c r="O50" s="9"/>
      <c r="P50" s="9"/>
      <c r="Q50" s="9"/>
      <c r="R50" s="9"/>
      <c r="S50" s="9"/>
      <c r="T50" s="9"/>
      <c r="U50" s="134"/>
      <c r="V50" s="152"/>
      <c r="W50" s="326"/>
      <c r="X50" s="647">
        <v>10</v>
      </c>
      <c r="Y50" s="50" t="str">
        <f t="shared" si="25"/>
        <v>Oxfordshire</v>
      </c>
      <c r="Z50" s="45">
        <v>11</v>
      </c>
      <c r="AA50" s="46">
        <f>IF(H18&gt;0,IDACI!D18,0)</f>
        <v>123975</v>
      </c>
      <c r="AB50" s="46">
        <f>IF(H18&gt;0,IDACI!E18,0)</f>
        <v>14629.05</v>
      </c>
      <c r="AI50" s="642" t="b">
        <v>1</v>
      </c>
      <c r="AJ50" s="178" t="s">
        <v>13</v>
      </c>
      <c r="AK50" s="101" t="str">
        <f t="shared" si="19"/>
        <v>Portsmouth</v>
      </c>
      <c r="AL50" s="164">
        <f t="shared" si="20"/>
        <v>74.647887323943664</v>
      </c>
      <c r="AM50" s="164">
        <f t="shared" si="20"/>
        <v>73.73271889400921</v>
      </c>
      <c r="AN50" s="164">
        <f t="shared" si="20"/>
        <v>73.515981735159826</v>
      </c>
      <c r="AO50" s="164">
        <f t="shared" si="20"/>
        <v>81.36363636363636</v>
      </c>
      <c r="AP50" s="164">
        <f t="shared" si="20"/>
        <v>93.908399710354814</v>
      </c>
      <c r="AQ50" s="165">
        <f t="shared" si="26"/>
        <v>23.799999999999997</v>
      </c>
      <c r="AR50" s="398">
        <f t="shared" si="27"/>
        <v>0.42307692307692307</v>
      </c>
      <c r="AS50" s="398" t="e">
        <f t="shared" si="21"/>
        <v>#N/A</v>
      </c>
      <c r="AT50" s="398">
        <f t="shared" si="21"/>
        <v>0.42307692307692307</v>
      </c>
      <c r="AU50" s="398">
        <f t="shared" si="21"/>
        <v>0.45955882352941174</v>
      </c>
      <c r="AV50" s="398">
        <f t="shared" si="21"/>
        <v>0.40476190476190477</v>
      </c>
      <c r="AW50" s="398">
        <f t="shared" si="28"/>
        <v>0.72727272727272729</v>
      </c>
      <c r="AX50" s="398" t="e">
        <f t="shared" si="28"/>
        <v>#N/A</v>
      </c>
      <c r="AY50" s="398">
        <f t="shared" si="28"/>
        <v>0.54545454545454541</v>
      </c>
      <c r="AZ50" s="398">
        <f t="shared" si="28"/>
        <v>0.6</v>
      </c>
      <c r="BA50" s="398">
        <f t="shared" si="28"/>
        <v>0.62184873949579833</v>
      </c>
      <c r="BB50" s="398">
        <f t="shared" si="29"/>
        <v>0.12578616352201258</v>
      </c>
      <c r="BC50" s="398" t="e">
        <f t="shared" si="23"/>
        <v>#N/A</v>
      </c>
      <c r="BD50" s="398">
        <f t="shared" si="23"/>
        <v>0.15527950310559005</v>
      </c>
      <c r="BE50" s="398">
        <f t="shared" si="23"/>
        <v>0.15363128491620112</v>
      </c>
      <c r="BF50" s="398">
        <f t="shared" si="23"/>
        <v>0.14457831325301204</v>
      </c>
      <c r="BG50" s="398">
        <f t="shared" ref="BG50:BK63" si="30">VLOOKUP($AK50,$B$215:$H$238,BG$36,FALSE)</f>
        <v>2.8301886792452831E-2</v>
      </c>
      <c r="BH50" s="398">
        <f t="shared" si="30"/>
        <v>2.8125000000000001E-2</v>
      </c>
      <c r="BI50" s="398">
        <f t="shared" si="30"/>
        <v>9.9378881987577633E-2</v>
      </c>
      <c r="BJ50" s="398">
        <f t="shared" si="30"/>
        <v>0.12569832402234637</v>
      </c>
      <c r="BK50" s="398">
        <f t="shared" si="30"/>
        <v>0.17349397590361446</v>
      </c>
      <c r="BL50" s="398" t="e">
        <f>VLOOKUP($AK50,#REF!,BL$36,FALSE)</f>
        <v>#REF!</v>
      </c>
      <c r="BM50" s="398" t="e">
        <f>VLOOKUP($AK50,#REF!,BM$36,FALSE)</f>
        <v>#REF!</v>
      </c>
      <c r="BN50" s="398" t="e">
        <f>VLOOKUP($AK50,#REF!,BN$36,FALSE)</f>
        <v>#REF!</v>
      </c>
      <c r="BO50" s="398" t="e">
        <f>VLOOKUP($AK50,#REF!,BO$36,FALSE)</f>
        <v>#REF!</v>
      </c>
      <c r="BP50" s="398" t="e">
        <f>VLOOKUP($AK50,#REF!,BP$36,FALSE)</f>
        <v>#REF!</v>
      </c>
    </row>
    <row r="51" spans="1:68" ht="14.25" customHeight="1" x14ac:dyDescent="0.2">
      <c r="A51" s="135"/>
      <c r="B51" s="429"/>
      <c r="C51" s="429"/>
      <c r="D51" s="58"/>
      <c r="E51" s="58"/>
      <c r="F51" s="58"/>
      <c r="G51" s="58"/>
      <c r="H51" s="58"/>
      <c r="I51" s="58"/>
      <c r="J51" s="13"/>
      <c r="K51" s="15"/>
      <c r="L51" s="15"/>
      <c r="M51" s="15"/>
      <c r="N51" s="15"/>
      <c r="O51" s="9"/>
      <c r="P51" s="9"/>
      <c r="Q51" s="9"/>
      <c r="R51" s="9"/>
      <c r="S51" s="9"/>
      <c r="T51" s="9"/>
      <c r="U51" s="134"/>
      <c r="V51" s="152"/>
      <c r="W51" s="326"/>
      <c r="X51" s="647">
        <v>11</v>
      </c>
      <c r="Y51" s="50" t="str">
        <f t="shared" si="25"/>
        <v>Portsmouth</v>
      </c>
      <c r="Z51" s="45">
        <v>12</v>
      </c>
      <c r="AA51" s="46">
        <f>IF(H19&gt;0,IDACI!D19,0)</f>
        <v>37912</v>
      </c>
      <c r="AB51" s="46">
        <f>IF(H19&gt;0,IDACI!E19,0)</f>
        <v>9023.0559999999987</v>
      </c>
      <c r="AI51" s="642" t="b">
        <v>1</v>
      </c>
      <c r="AJ51" s="178" t="s">
        <v>3</v>
      </c>
      <c r="AK51" s="101" t="str">
        <f t="shared" si="19"/>
        <v>Reading</v>
      </c>
      <c r="AL51" s="164">
        <f t="shared" si="20"/>
        <v>59.654178674351584</v>
      </c>
      <c r="AM51" s="164">
        <f t="shared" si="20"/>
        <v>58.217270194986071</v>
      </c>
      <c r="AN51" s="164">
        <f t="shared" si="20"/>
        <v>60.439560439560445</v>
      </c>
      <c r="AO51" s="164">
        <f t="shared" si="20"/>
        <v>71.77751698916515</v>
      </c>
      <c r="AP51" s="164">
        <f t="shared" si="20"/>
        <v>74.946755452511255</v>
      </c>
      <c r="AQ51" s="165">
        <f t="shared" si="26"/>
        <v>19.8</v>
      </c>
      <c r="AR51" s="398">
        <f t="shared" si="27"/>
        <v>0.45454545454545453</v>
      </c>
      <c r="AS51" s="398" t="e">
        <f t="shared" si="21"/>
        <v>#N/A</v>
      </c>
      <c r="AT51" s="398">
        <f t="shared" si="21"/>
        <v>0.37142857142857144</v>
      </c>
      <c r="AU51" s="398">
        <f t="shared" si="21"/>
        <v>0.29556650246305421</v>
      </c>
      <c r="AV51" s="398">
        <f t="shared" si="21"/>
        <v>0.37168141592920356</v>
      </c>
      <c r="AW51" s="398">
        <f t="shared" si="28"/>
        <v>0.66666666666666663</v>
      </c>
      <c r="AX51" s="398" t="e">
        <f t="shared" si="28"/>
        <v>#N/A</v>
      </c>
      <c r="AY51" s="398">
        <f t="shared" si="28"/>
        <v>0.61538461538461542</v>
      </c>
      <c r="AZ51" s="398">
        <f t="shared" si="28"/>
        <v>0.75</v>
      </c>
      <c r="BA51" s="398">
        <f t="shared" si="28"/>
        <v>0.63095238095238093</v>
      </c>
      <c r="BB51" s="398">
        <f t="shared" si="29"/>
        <v>0.12077294685990338</v>
      </c>
      <c r="BC51" s="398" t="e">
        <f t="shared" si="23"/>
        <v>#N/A</v>
      </c>
      <c r="BD51" s="398">
        <f t="shared" si="23"/>
        <v>9.0909090909090912E-2</v>
      </c>
      <c r="BE51" s="398">
        <f t="shared" si="23"/>
        <v>3.8022813688212927E-2</v>
      </c>
      <c r="BF51" s="398">
        <f t="shared" si="23"/>
        <v>0.11510791366906475</v>
      </c>
      <c r="BG51" s="398" t="e">
        <f t="shared" si="30"/>
        <v>#N/A</v>
      </c>
      <c r="BH51" s="398" t="e">
        <f t="shared" si="30"/>
        <v>#N/A</v>
      </c>
      <c r="BI51" s="398">
        <f t="shared" si="30"/>
        <v>2.7272727272727271E-2</v>
      </c>
      <c r="BJ51" s="398">
        <f t="shared" si="30"/>
        <v>4.1825095057034217E-2</v>
      </c>
      <c r="BK51" s="398">
        <f t="shared" si="30"/>
        <v>3.237410071942446E-2</v>
      </c>
      <c r="BL51" s="398" t="e">
        <f>VLOOKUP($AK51,#REF!,BL$36,FALSE)</f>
        <v>#REF!</v>
      </c>
      <c r="BM51" s="398" t="e">
        <f>VLOOKUP($AK51,#REF!,BM$36,FALSE)</f>
        <v>#REF!</v>
      </c>
      <c r="BN51" s="398" t="e">
        <f>VLOOKUP($AK51,#REF!,BN$36,FALSE)</f>
        <v>#REF!</v>
      </c>
      <c r="BO51" s="398" t="e">
        <f>VLOOKUP($AK51,#REF!,BO$36,FALSE)</f>
        <v>#REF!</v>
      </c>
      <c r="BP51" s="398" t="e">
        <f>VLOOKUP($AK51,#REF!,BP$36,FALSE)</f>
        <v>#REF!</v>
      </c>
    </row>
    <row r="52" spans="1:68" ht="14.25" customHeight="1" x14ac:dyDescent="0.2">
      <c r="A52" s="135"/>
      <c r="B52" s="429"/>
      <c r="C52" s="429"/>
      <c r="D52" s="58"/>
      <c r="E52" s="58"/>
      <c r="F52" s="58"/>
      <c r="G52" s="58"/>
      <c r="H52" s="58"/>
      <c r="I52" s="58"/>
      <c r="J52" s="13"/>
      <c r="K52" s="15"/>
      <c r="L52" s="15"/>
      <c r="M52" s="15"/>
      <c r="N52" s="15"/>
      <c r="O52" s="9"/>
      <c r="P52" s="9"/>
      <c r="Q52" s="9"/>
      <c r="R52" s="9"/>
      <c r="S52" s="9"/>
      <c r="T52" s="9"/>
      <c r="U52" s="134"/>
      <c r="V52" s="152"/>
      <c r="W52" s="326"/>
      <c r="X52" s="647">
        <v>12</v>
      </c>
      <c r="Y52" s="50" t="str">
        <f t="shared" si="25"/>
        <v>Reading</v>
      </c>
      <c r="Z52" s="45">
        <v>13</v>
      </c>
      <c r="AA52" s="46">
        <f>IF(H20&gt;0,IDACI!D20,0)</f>
        <v>30916</v>
      </c>
      <c r="AB52" s="46">
        <f>IF(H20&gt;0,IDACI!E20,0)</f>
        <v>6121.3680000000004</v>
      </c>
      <c r="AI52" s="642" t="b">
        <v>1</v>
      </c>
      <c r="AJ52" s="178" t="s">
        <v>14</v>
      </c>
      <c r="AK52" s="101" t="str">
        <f t="shared" si="19"/>
        <v>Slough</v>
      </c>
      <c r="AL52" s="164">
        <f t="shared" si="20"/>
        <v>48.586118251928021</v>
      </c>
      <c r="AM52" s="164">
        <f t="shared" si="20"/>
        <v>49.122807017543863</v>
      </c>
      <c r="AN52" s="164">
        <f t="shared" si="20"/>
        <v>44.088669950738911</v>
      </c>
      <c r="AO52" s="164">
        <f t="shared" si="20"/>
        <v>45.887069506834763</v>
      </c>
      <c r="AP52" s="164">
        <f t="shared" si="20"/>
        <v>48.838311996206734</v>
      </c>
      <c r="AQ52" s="165">
        <f t="shared" si="26"/>
        <v>19.5</v>
      </c>
      <c r="AR52" s="398">
        <f t="shared" si="27"/>
        <v>0.37037037037037035</v>
      </c>
      <c r="AS52" s="398" t="e">
        <f t="shared" si="21"/>
        <v>#N/A</v>
      </c>
      <c r="AT52" s="398">
        <f t="shared" si="21"/>
        <v>0.36666666666666664</v>
      </c>
      <c r="AU52" s="398">
        <f t="shared" si="21"/>
        <v>0.35714285714285715</v>
      </c>
      <c r="AV52" s="398">
        <f t="shared" si="21"/>
        <v>0.30463576158940397</v>
      </c>
      <c r="AW52" s="398">
        <f t="shared" si="28"/>
        <v>0.5</v>
      </c>
      <c r="AX52" s="398" t="e">
        <f t="shared" si="28"/>
        <v>#N/A</v>
      </c>
      <c r="AY52" s="398">
        <f t="shared" si="28"/>
        <v>0.54545454545454541</v>
      </c>
      <c r="AZ52" s="398">
        <f t="shared" si="28"/>
        <v>0.6</v>
      </c>
      <c r="BA52" s="398">
        <f t="shared" si="28"/>
        <v>0.71739130434782605</v>
      </c>
      <c r="BB52" s="398">
        <f t="shared" si="29"/>
        <v>0.13227513227513227</v>
      </c>
      <c r="BC52" s="398" t="e">
        <f t="shared" si="23"/>
        <v>#N/A</v>
      </c>
      <c r="BD52" s="398">
        <f t="shared" si="23"/>
        <v>0.13966480446927373</v>
      </c>
      <c r="BE52" s="398">
        <f t="shared" si="23"/>
        <v>0.13157894736842105</v>
      </c>
      <c r="BF52" s="398">
        <f t="shared" si="23"/>
        <v>0.16019417475728157</v>
      </c>
      <c r="BG52" s="398">
        <f t="shared" si="30"/>
        <v>5.8201058201058198E-2</v>
      </c>
      <c r="BH52" s="398">
        <f t="shared" si="30"/>
        <v>5.1020408163265307E-2</v>
      </c>
      <c r="BI52" s="398">
        <f t="shared" si="30"/>
        <v>6.7039106145251395E-2</v>
      </c>
      <c r="BJ52" s="398">
        <f t="shared" si="30"/>
        <v>7.3684210526315783E-2</v>
      </c>
      <c r="BK52" s="398">
        <f t="shared" si="30"/>
        <v>3.8834951456310676E-2</v>
      </c>
      <c r="BL52" s="398" t="e">
        <f>VLOOKUP($AK52,#REF!,BL$36,FALSE)</f>
        <v>#REF!</v>
      </c>
      <c r="BM52" s="398" t="e">
        <f>VLOOKUP($AK52,#REF!,BM$36,FALSE)</f>
        <v>#REF!</v>
      </c>
      <c r="BN52" s="398" t="e">
        <f>VLOOKUP($AK52,#REF!,BN$36,FALSE)</f>
        <v>#REF!</v>
      </c>
      <c r="BO52" s="398" t="e">
        <f>VLOOKUP($AK52,#REF!,BO$36,FALSE)</f>
        <v>#REF!</v>
      </c>
      <c r="BP52" s="398" t="e">
        <f>VLOOKUP($AK52,#REF!,BP$36,FALSE)</f>
        <v>#REF!</v>
      </c>
    </row>
    <row r="53" spans="1:68" ht="14.25" customHeight="1" x14ac:dyDescent="0.2">
      <c r="A53" s="135"/>
      <c r="B53" s="429"/>
      <c r="C53" s="429"/>
      <c r="D53" s="58"/>
      <c r="E53" s="58"/>
      <c r="F53" s="58"/>
      <c r="G53" s="58"/>
      <c r="H53" s="58"/>
      <c r="I53" s="58"/>
      <c r="J53" s="13"/>
      <c r="K53" s="15"/>
      <c r="L53" s="15"/>
      <c r="M53" s="15"/>
      <c r="N53" s="15"/>
      <c r="O53" s="9"/>
      <c r="P53" s="9"/>
      <c r="Q53" s="9"/>
      <c r="R53" s="9"/>
      <c r="S53" s="9"/>
      <c r="T53" s="9"/>
      <c r="U53" s="134"/>
      <c r="V53" s="152"/>
      <c r="W53" s="326"/>
      <c r="X53" s="647">
        <v>13</v>
      </c>
      <c r="Y53" s="50" t="str">
        <f t="shared" si="25"/>
        <v>Slough</v>
      </c>
      <c r="Z53" s="45">
        <v>14</v>
      </c>
      <c r="AA53" s="46">
        <f>IF(H21&gt;0,IDACI!D21,0)</f>
        <v>34703</v>
      </c>
      <c r="AB53" s="46">
        <f>IF(H21&gt;0,IDACI!E21,0)</f>
        <v>6767.085</v>
      </c>
      <c r="AI53" s="642" t="b">
        <v>1</v>
      </c>
      <c r="AJ53" s="178" t="s">
        <v>93</v>
      </c>
      <c r="AK53" s="101" t="str">
        <f t="shared" si="19"/>
        <v>Somerset</v>
      </c>
      <c r="AL53" s="164">
        <f t="shared" si="20"/>
        <v>44.852941176470587</v>
      </c>
      <c r="AM53" s="164">
        <f t="shared" si="20"/>
        <v>44.719926538108353</v>
      </c>
      <c r="AN53" s="164">
        <f t="shared" si="20"/>
        <v>45.879120879120876</v>
      </c>
      <c r="AO53" s="164">
        <f t="shared" si="20"/>
        <v>43.408081563420488</v>
      </c>
      <c r="AP53" s="164">
        <f t="shared" si="20"/>
        <v>47.418335089567968</v>
      </c>
      <c r="AQ53" s="165">
        <f t="shared" si="26"/>
        <v>14.8</v>
      </c>
      <c r="AR53" s="398">
        <f t="shared" si="27"/>
        <v>0.30666666666666664</v>
      </c>
      <c r="AS53" s="398" t="e">
        <f t="shared" si="21"/>
        <v>#N/A</v>
      </c>
      <c r="AT53" s="398">
        <f t="shared" si="21"/>
        <v>0.38461538461538464</v>
      </c>
      <c r="AU53" s="398">
        <f t="shared" si="21"/>
        <v>0.4178272980501393</v>
      </c>
      <c r="AV53" s="398">
        <f t="shared" si="21"/>
        <v>0.41687979539641945</v>
      </c>
      <c r="AW53" s="398">
        <f t="shared" si="28"/>
        <v>0.60869565217391308</v>
      </c>
      <c r="AX53" s="398" t="e">
        <f t="shared" si="28"/>
        <v>#N/A</v>
      </c>
      <c r="AY53" s="398">
        <f t="shared" si="28"/>
        <v>0.56666666666666665</v>
      </c>
      <c r="AZ53" s="398">
        <f t="shared" si="28"/>
        <v>0.6</v>
      </c>
      <c r="BA53" s="398">
        <f t="shared" si="28"/>
        <v>0.61963190184049077</v>
      </c>
      <c r="BB53" s="398">
        <f t="shared" si="29"/>
        <v>0.12295081967213115</v>
      </c>
      <c r="BC53" s="398" t="e">
        <f t="shared" si="23"/>
        <v>#N/A</v>
      </c>
      <c r="BD53" s="398">
        <f t="shared" si="23"/>
        <v>0.12974051896207583</v>
      </c>
      <c r="BE53" s="398">
        <f t="shared" si="23"/>
        <v>0.10504201680672269</v>
      </c>
      <c r="BF53" s="398">
        <f t="shared" si="23"/>
        <v>0.1532567049808429</v>
      </c>
      <c r="BG53" s="398" t="e">
        <f t="shared" si="30"/>
        <v>#N/A</v>
      </c>
      <c r="BH53" s="398" t="e">
        <f t="shared" si="30"/>
        <v>#N/A</v>
      </c>
      <c r="BI53" s="398" t="e">
        <f t="shared" si="30"/>
        <v>#N/A</v>
      </c>
      <c r="BJ53" s="398">
        <f t="shared" si="30"/>
        <v>2.9411764705882353E-2</v>
      </c>
      <c r="BK53" s="398">
        <f t="shared" si="30"/>
        <v>3.4482758620689655E-2</v>
      </c>
      <c r="BL53" s="398" t="e">
        <f>VLOOKUP($AK53,#REF!,BL$36,FALSE)</f>
        <v>#REF!</v>
      </c>
      <c r="BM53" s="398" t="e">
        <f>VLOOKUP($AK53,#REF!,BM$36,FALSE)</f>
        <v>#REF!</v>
      </c>
      <c r="BN53" s="398" t="e">
        <f>VLOOKUP($AK53,#REF!,BN$36,FALSE)</f>
        <v>#REF!</v>
      </c>
      <c r="BO53" s="398" t="e">
        <f>VLOOKUP($AK53,#REF!,BO$36,FALSE)</f>
        <v>#REF!</v>
      </c>
      <c r="BP53" s="398" t="e">
        <f>VLOOKUP($AK53,#REF!,BP$36,FALSE)</f>
        <v>#REF!</v>
      </c>
    </row>
    <row r="54" spans="1:68" ht="14.25" customHeight="1" x14ac:dyDescent="0.2">
      <c r="A54" s="135"/>
      <c r="B54" s="429"/>
      <c r="C54" s="429"/>
      <c r="D54" s="58"/>
      <c r="E54" s="58"/>
      <c r="F54" s="58"/>
      <c r="G54" s="58"/>
      <c r="H54" s="58"/>
      <c r="I54" s="58"/>
      <c r="J54" s="13"/>
      <c r="K54" s="15"/>
      <c r="L54" s="15"/>
      <c r="M54" s="15"/>
      <c r="N54" s="15"/>
      <c r="O54" s="9"/>
      <c r="P54" s="9"/>
      <c r="Q54" s="9"/>
      <c r="R54" s="9"/>
      <c r="S54" s="9"/>
      <c r="T54" s="9"/>
      <c r="U54" s="134"/>
      <c r="V54" s="152"/>
      <c r="W54" s="326"/>
      <c r="X54" s="647">
        <v>14</v>
      </c>
      <c r="Y54" s="50" t="str">
        <f t="shared" si="25"/>
        <v>Somerset</v>
      </c>
      <c r="Z54" s="45">
        <v>15</v>
      </c>
      <c r="AA54" s="46">
        <f>IF(H22&gt;0,IDACI!D22,0)</f>
        <v>94797</v>
      </c>
      <c r="AB54" s="46">
        <f>IF(H22&gt;0,IDACI!E22,0)</f>
        <v>14029.956000000002</v>
      </c>
      <c r="AI54" s="642" t="b">
        <v>1</v>
      </c>
      <c r="AJ54" s="178" t="s">
        <v>15</v>
      </c>
      <c r="AK54" s="101" t="str">
        <f t="shared" si="19"/>
        <v>Southampton</v>
      </c>
      <c r="AL54" s="164">
        <f t="shared" si="20"/>
        <v>105.48523206751054</v>
      </c>
      <c r="AM54" s="164">
        <f t="shared" si="20"/>
        <v>119.75308641975309</v>
      </c>
      <c r="AN54" s="164">
        <f t="shared" si="20"/>
        <v>120.1219512195122</v>
      </c>
      <c r="AO54" s="164">
        <f t="shared" si="20"/>
        <v>108.21426424320154</v>
      </c>
      <c r="AP54" s="164">
        <f t="shared" si="20"/>
        <v>103.76702117085776</v>
      </c>
      <c r="AQ54" s="165">
        <f t="shared" si="26"/>
        <v>25</v>
      </c>
      <c r="AR54" s="398">
        <f t="shared" si="27"/>
        <v>0.33707865168539325</v>
      </c>
      <c r="AS54" s="398" t="e">
        <f t="shared" si="21"/>
        <v>#N/A</v>
      </c>
      <c r="AT54" s="398">
        <f t="shared" si="21"/>
        <v>0.37864077669902912</v>
      </c>
      <c r="AU54" s="398">
        <f t="shared" si="21"/>
        <v>0.49568965517241381</v>
      </c>
      <c r="AV54" s="398">
        <f t="shared" si="21"/>
        <v>0.53061224489795922</v>
      </c>
      <c r="AW54" s="398">
        <f t="shared" si="28"/>
        <v>0.7</v>
      </c>
      <c r="AX54" s="398" t="e">
        <f t="shared" si="28"/>
        <v>#N/A</v>
      </c>
      <c r="AY54" s="398">
        <f t="shared" si="28"/>
        <v>0.69230769230769229</v>
      </c>
      <c r="AZ54" s="398">
        <f t="shared" si="28"/>
        <v>0.65217391304347827</v>
      </c>
      <c r="BA54" s="398">
        <f t="shared" si="28"/>
        <v>0.70940170940170943</v>
      </c>
      <c r="BB54" s="398">
        <f t="shared" si="29"/>
        <v>0.14000000000000001</v>
      </c>
      <c r="BC54" s="398" t="e">
        <f t="shared" si="23"/>
        <v>#N/A</v>
      </c>
      <c r="BD54" s="398">
        <f t="shared" si="23"/>
        <v>0.13536379018612521</v>
      </c>
      <c r="BE54" s="398">
        <f t="shared" si="23"/>
        <v>0.12037037037037036</v>
      </c>
      <c r="BF54" s="398">
        <f t="shared" si="23"/>
        <v>9.5785440613026823E-2</v>
      </c>
      <c r="BG54" s="398" t="e">
        <f t="shared" si="30"/>
        <v>#N/A</v>
      </c>
      <c r="BH54" s="398">
        <f t="shared" si="30"/>
        <v>1.0309278350515464E-2</v>
      </c>
      <c r="BI54" s="398" t="e">
        <f t="shared" si="30"/>
        <v>#N/A</v>
      </c>
      <c r="BJ54" s="398">
        <f t="shared" si="30"/>
        <v>2.0370370370370372E-2</v>
      </c>
      <c r="BK54" s="398">
        <f t="shared" si="30"/>
        <v>2.681992337164751E-2</v>
      </c>
      <c r="BL54" s="398" t="e">
        <f>VLOOKUP($AK54,#REF!,BL$36,FALSE)</f>
        <v>#REF!</v>
      </c>
      <c r="BM54" s="398" t="e">
        <f>VLOOKUP($AK54,#REF!,BM$36,FALSE)</f>
        <v>#REF!</v>
      </c>
      <c r="BN54" s="398" t="e">
        <f>VLOOKUP($AK54,#REF!,BN$36,FALSE)</f>
        <v>#REF!</v>
      </c>
      <c r="BO54" s="398" t="e">
        <f>VLOOKUP($AK54,#REF!,BO$36,FALSE)</f>
        <v>#REF!</v>
      </c>
      <c r="BP54" s="398" t="e">
        <f>VLOOKUP($AK54,#REF!,BP$36,FALSE)</f>
        <v>#REF!</v>
      </c>
    </row>
    <row r="55" spans="1:68" ht="14.25" customHeight="1" x14ac:dyDescent="0.2">
      <c r="A55" s="135"/>
      <c r="B55" s="429"/>
      <c r="C55" s="429"/>
      <c r="D55" s="58"/>
      <c r="E55" s="58"/>
      <c r="F55" s="58"/>
      <c r="G55" s="58"/>
      <c r="H55" s="58"/>
      <c r="I55" s="58"/>
      <c r="J55" s="13"/>
      <c r="K55" s="15"/>
      <c r="L55" s="15"/>
      <c r="M55" s="15"/>
      <c r="N55" s="15"/>
      <c r="O55" s="9"/>
      <c r="P55" s="9"/>
      <c r="Q55" s="9"/>
      <c r="R55" s="9"/>
      <c r="S55" s="9"/>
      <c r="T55" s="9"/>
      <c r="U55" s="134"/>
      <c r="V55" s="152"/>
      <c r="W55" s="326"/>
      <c r="X55" s="647">
        <v>15</v>
      </c>
      <c r="Y55" s="50" t="str">
        <f t="shared" si="25"/>
        <v>Southampton</v>
      </c>
      <c r="Z55" s="45">
        <v>16</v>
      </c>
      <c r="AA55" s="46">
        <f>IF(H23&gt;0,IDACI!D23,0)</f>
        <v>42079</v>
      </c>
      <c r="AB55" s="46">
        <f>IF(H23&gt;0,IDACI!E23,0)</f>
        <v>10519.75</v>
      </c>
      <c r="AI55" s="642" t="b">
        <v>1</v>
      </c>
      <c r="AJ55" s="178" t="s">
        <v>7</v>
      </c>
      <c r="AK55" s="101" t="str">
        <f t="shared" si="19"/>
        <v>Surrey</v>
      </c>
      <c r="AL55" s="164">
        <f t="shared" si="20"/>
        <v>31.468253968253968</v>
      </c>
      <c r="AM55" s="164">
        <f t="shared" si="20"/>
        <v>30.597014925373138</v>
      </c>
      <c r="AN55" s="164">
        <f t="shared" si="20"/>
        <v>33.814352574102962</v>
      </c>
      <c r="AO55" s="164">
        <f t="shared" si="20"/>
        <v>33.552253097502309</v>
      </c>
      <c r="AP55" s="164">
        <f t="shared" si="20"/>
        <v>35.650486928795068</v>
      </c>
      <c r="AQ55" s="165">
        <f t="shared" si="26"/>
        <v>9.7000000000000011</v>
      </c>
      <c r="AR55" s="398">
        <f t="shared" si="27"/>
        <v>0.35344827586206895</v>
      </c>
      <c r="AS55" s="398" t="e">
        <f t="shared" si="21"/>
        <v>#N/A</v>
      </c>
      <c r="AT55" s="398">
        <f t="shared" si="21"/>
        <v>0.39166666666666666</v>
      </c>
      <c r="AU55" s="398">
        <f t="shared" si="21"/>
        <v>0.38128249566724437</v>
      </c>
      <c r="AV55" s="398">
        <f t="shared" si="21"/>
        <v>0.37308868501529052</v>
      </c>
      <c r="AW55" s="398">
        <f t="shared" si="28"/>
        <v>0.63414634146341464</v>
      </c>
      <c r="AX55" s="398" t="e">
        <f t="shared" si="28"/>
        <v>#N/A</v>
      </c>
      <c r="AY55" s="398">
        <f t="shared" si="28"/>
        <v>0.7021276595744681</v>
      </c>
      <c r="AZ55" s="398">
        <f t="shared" si="28"/>
        <v>0.63636363636363635</v>
      </c>
      <c r="BA55" s="398">
        <f t="shared" si="28"/>
        <v>0.67213114754098358</v>
      </c>
      <c r="BB55" s="398">
        <f t="shared" si="29"/>
        <v>9.4577553593947039E-2</v>
      </c>
      <c r="BC55" s="398" t="e">
        <f t="shared" si="23"/>
        <v>#N/A</v>
      </c>
      <c r="BD55" s="398">
        <f t="shared" si="23"/>
        <v>0.10380622837370242</v>
      </c>
      <c r="BE55" s="398">
        <f t="shared" si="23"/>
        <v>8.0552359033371698E-2</v>
      </c>
      <c r="BF55" s="398">
        <f t="shared" si="23"/>
        <v>7.6508620689655166E-2</v>
      </c>
      <c r="BG55" s="398">
        <f t="shared" si="30"/>
        <v>9.205548549810845E-2</v>
      </c>
      <c r="BH55" s="398">
        <f t="shared" si="30"/>
        <v>0.12836970474967907</v>
      </c>
      <c r="BI55" s="398">
        <f t="shared" si="30"/>
        <v>0.17416378316032297</v>
      </c>
      <c r="BJ55" s="398">
        <f t="shared" si="30"/>
        <v>0.16340621403912542</v>
      </c>
      <c r="BK55" s="398">
        <f t="shared" si="30"/>
        <v>0.11961206896551724</v>
      </c>
      <c r="BL55" s="398" t="e">
        <f>VLOOKUP($AK55,#REF!,BL$36,FALSE)</f>
        <v>#REF!</v>
      </c>
      <c r="BM55" s="398" t="e">
        <f>VLOOKUP($AK55,#REF!,BM$36,FALSE)</f>
        <v>#REF!</v>
      </c>
      <c r="BN55" s="398" t="e">
        <f>VLOOKUP($AK55,#REF!,BN$36,FALSE)</f>
        <v>#REF!</v>
      </c>
      <c r="BO55" s="398" t="e">
        <f>VLOOKUP($AK55,#REF!,BO$36,FALSE)</f>
        <v>#REF!</v>
      </c>
      <c r="BP55" s="398" t="e">
        <f>VLOOKUP($AK55,#REF!,BP$36,FALSE)</f>
        <v>#REF!</v>
      </c>
    </row>
    <row r="56" spans="1:68" ht="14.25" customHeight="1" x14ac:dyDescent="0.2">
      <c r="A56" s="309"/>
      <c r="B56" s="429"/>
      <c r="C56" s="429"/>
      <c r="D56" s="58"/>
      <c r="E56" s="58"/>
      <c r="F56" s="58"/>
      <c r="G56" s="58"/>
      <c r="H56" s="58"/>
      <c r="I56" s="58"/>
      <c r="J56" s="13"/>
      <c r="K56" s="15"/>
      <c r="L56" s="15"/>
      <c r="M56" s="15"/>
      <c r="N56" s="15"/>
      <c r="O56" s="9"/>
      <c r="P56" s="9"/>
      <c r="Q56" s="9"/>
      <c r="R56" s="9"/>
      <c r="S56" s="9"/>
      <c r="T56" s="9"/>
      <c r="U56" s="134"/>
      <c r="V56" s="152"/>
      <c r="W56" s="326"/>
      <c r="X56" s="647">
        <v>16</v>
      </c>
      <c r="Y56" s="50" t="str">
        <f t="shared" si="25"/>
        <v>Surrey</v>
      </c>
      <c r="Z56" s="45">
        <v>17</v>
      </c>
      <c r="AA56" s="46">
        <f>IF(H24&gt;0,IDACI!D24,0)</f>
        <v>221989</v>
      </c>
      <c r="AB56" s="46">
        <f>IF(H24&gt;0,IDACI!E24,0)</f>
        <v>21532.933000000005</v>
      </c>
      <c r="AI56" s="642" t="b">
        <v>1</v>
      </c>
      <c r="AJ56" s="178" t="s">
        <v>116</v>
      </c>
      <c r="AK56" s="101" t="str">
        <f t="shared" si="19"/>
        <v>Swindon</v>
      </c>
      <c r="AL56" s="164">
        <f t="shared" si="20"/>
        <v>52.818371607515658</v>
      </c>
      <c r="AM56" s="164">
        <f t="shared" si="20"/>
        <v>51.440329218106996</v>
      </c>
      <c r="AN56" s="164">
        <f t="shared" si="20"/>
        <v>59.795918367346943</v>
      </c>
      <c r="AO56" s="164">
        <f t="shared" si="20"/>
        <v>66.717884436537148</v>
      </c>
      <c r="AP56" s="164">
        <f t="shared" si="20"/>
        <v>72.1096066020351</v>
      </c>
      <c r="AQ56" s="165">
        <f t="shared" si="26"/>
        <v>17.2</v>
      </c>
      <c r="AR56" s="398">
        <f t="shared" si="27"/>
        <v>0.3783783783783784</v>
      </c>
      <c r="AS56" s="398" t="e">
        <f t="shared" si="27"/>
        <v>#N/A</v>
      </c>
      <c r="AT56" s="398">
        <f t="shared" si="27"/>
        <v>0.28888888888888886</v>
      </c>
      <c r="AU56" s="398">
        <f t="shared" si="27"/>
        <v>0.22988505747126436</v>
      </c>
      <c r="AV56" s="398">
        <f t="shared" si="27"/>
        <v>0.24014336917562723</v>
      </c>
      <c r="AW56" s="398">
        <f t="shared" si="28"/>
        <v>0.7142857142857143</v>
      </c>
      <c r="AX56" s="398" t="e">
        <f t="shared" si="28"/>
        <v>#N/A</v>
      </c>
      <c r="AY56" s="398">
        <f t="shared" si="28"/>
        <v>0.61538461538461542</v>
      </c>
      <c r="AZ56" s="398">
        <f t="shared" si="28"/>
        <v>0.75</v>
      </c>
      <c r="BA56" s="398">
        <f t="shared" si="28"/>
        <v>0.61194029850746268</v>
      </c>
      <c r="BB56" s="398">
        <f t="shared" si="29"/>
        <v>0.17786561264822134</v>
      </c>
      <c r="BC56" s="398" t="e">
        <f t="shared" si="29"/>
        <v>#N/A</v>
      </c>
      <c r="BD56" s="398">
        <f t="shared" si="29"/>
        <v>0.10238907849829351</v>
      </c>
      <c r="BE56" s="398">
        <f t="shared" si="29"/>
        <v>0.12121212121212122</v>
      </c>
      <c r="BF56" s="398">
        <f t="shared" si="29"/>
        <v>0.12222222222222222</v>
      </c>
      <c r="BG56" s="398" t="e">
        <f t="shared" si="30"/>
        <v>#N/A</v>
      </c>
      <c r="BH56" s="398" t="e">
        <f t="shared" si="30"/>
        <v>#N/A</v>
      </c>
      <c r="BI56" s="398">
        <f t="shared" si="30"/>
        <v>4.778156996587031E-2</v>
      </c>
      <c r="BJ56" s="398">
        <f t="shared" si="30"/>
        <v>6.363636363636363E-2</v>
      </c>
      <c r="BK56" s="398">
        <f t="shared" si="30"/>
        <v>7.2222222222222215E-2</v>
      </c>
      <c r="BL56" s="398" t="e">
        <f>VLOOKUP($AK56,#REF!,BL$36,FALSE)</f>
        <v>#REF!</v>
      </c>
      <c r="BM56" s="398" t="e">
        <f>VLOOKUP($AK56,#REF!,BM$36,FALSE)</f>
        <v>#REF!</v>
      </c>
      <c r="BN56" s="398" t="e">
        <f>VLOOKUP($AK56,#REF!,BN$36,FALSE)</f>
        <v>#REF!</v>
      </c>
      <c r="BO56" s="398" t="e">
        <f>VLOOKUP($AK56,#REF!,BO$36,FALSE)</f>
        <v>#REF!</v>
      </c>
      <c r="BP56" s="398" t="e">
        <f>VLOOKUP($AK56,#REF!,BP$36,FALSE)</f>
        <v>#REF!</v>
      </c>
    </row>
    <row r="57" spans="1:68" ht="14.25" customHeight="1" x14ac:dyDescent="0.2">
      <c r="A57" s="309"/>
      <c r="B57" s="429"/>
      <c r="C57" s="429"/>
      <c r="D57" s="58"/>
      <c r="E57" s="58"/>
      <c r="F57" s="58"/>
      <c r="G57" s="58"/>
      <c r="H57" s="58"/>
      <c r="I57" s="58"/>
      <c r="J57" s="13"/>
      <c r="K57" s="15"/>
      <c r="L57" s="15"/>
      <c r="M57" s="15"/>
      <c r="N57" s="15"/>
      <c r="O57" s="9"/>
      <c r="P57" s="9"/>
      <c r="Q57" s="9"/>
      <c r="R57" s="9"/>
      <c r="S57" s="9"/>
      <c r="T57" s="9"/>
      <c r="U57" s="134"/>
      <c r="V57" s="152"/>
      <c r="W57" s="326"/>
      <c r="X57" s="647">
        <v>17</v>
      </c>
      <c r="Y57" s="50" t="str">
        <f t="shared" si="25"/>
        <v>Swindon</v>
      </c>
      <c r="Z57" s="45">
        <v>18</v>
      </c>
      <c r="AA57" s="46">
        <f>IF(H25&gt;0,IDACI!D25,0)</f>
        <v>42184</v>
      </c>
      <c r="AB57" s="46">
        <f>IF(H25&gt;0,IDACI!E25,0)</f>
        <v>7255.6479999999992</v>
      </c>
      <c r="AI57" s="642" t="b">
        <v>1</v>
      </c>
      <c r="AJ57" s="178" t="s">
        <v>117</v>
      </c>
      <c r="AK57" s="101" t="str">
        <f t="shared" si="19"/>
        <v>Torbay</v>
      </c>
      <c r="AL57" s="164">
        <f t="shared" si="20"/>
        <v>126.61290322580645</v>
      </c>
      <c r="AM57" s="164">
        <f t="shared" si="20"/>
        <v>121.91235059760956</v>
      </c>
      <c r="AN57" s="164">
        <f t="shared" si="20"/>
        <v>110.71428571428571</v>
      </c>
      <c r="AO57" s="164">
        <f t="shared" si="20"/>
        <v>113.50648326961732</v>
      </c>
      <c r="AP57" s="164">
        <f t="shared" si="20"/>
        <v>128.65405043868276</v>
      </c>
      <c r="AQ57" s="165">
        <f t="shared" si="26"/>
        <v>24.1</v>
      </c>
      <c r="AR57" s="398">
        <f t="shared" si="27"/>
        <v>0.30188679245283018</v>
      </c>
      <c r="AS57" s="398" t="e">
        <f t="shared" si="27"/>
        <v>#N/A</v>
      </c>
      <c r="AT57" s="398">
        <f t="shared" si="27"/>
        <v>0.53333333333333333</v>
      </c>
      <c r="AU57" s="398">
        <f t="shared" si="27"/>
        <v>0.53418803418803418</v>
      </c>
      <c r="AV57" s="398">
        <f t="shared" si="27"/>
        <v>0.49070631970260226</v>
      </c>
      <c r="AW57" s="398">
        <f t="shared" si="28"/>
        <v>0.625</v>
      </c>
      <c r="AX57" s="398" t="e">
        <f t="shared" si="28"/>
        <v>#N/A</v>
      </c>
      <c r="AY57" s="398">
        <f t="shared" si="28"/>
        <v>0.45833333333333331</v>
      </c>
      <c r="AZ57" s="398">
        <f t="shared" si="28"/>
        <v>0.56000000000000005</v>
      </c>
      <c r="BA57" s="398">
        <f t="shared" si="28"/>
        <v>0.56818181818181823</v>
      </c>
      <c r="BB57" s="398">
        <f t="shared" si="29"/>
        <v>0.15923566878980891</v>
      </c>
      <c r="BC57" s="398" t="e">
        <f t="shared" si="29"/>
        <v>#N/A</v>
      </c>
      <c r="BD57" s="398">
        <f t="shared" si="29"/>
        <v>0.21505376344086022</v>
      </c>
      <c r="BE57" s="398">
        <f t="shared" si="29"/>
        <v>0.26041666666666669</v>
      </c>
      <c r="BF57" s="398">
        <f t="shared" si="29"/>
        <v>0.25382262996941896</v>
      </c>
      <c r="BG57" s="398">
        <f t="shared" si="30"/>
        <v>0</v>
      </c>
      <c r="BH57" s="398">
        <f t="shared" si="30"/>
        <v>0</v>
      </c>
      <c r="BI57" s="398">
        <f t="shared" si="30"/>
        <v>0</v>
      </c>
      <c r="BJ57" s="398" t="e">
        <f t="shared" si="30"/>
        <v>#N/A</v>
      </c>
      <c r="BK57" s="398" t="e">
        <f t="shared" si="30"/>
        <v>#N/A</v>
      </c>
      <c r="BL57" s="398" t="e">
        <f>VLOOKUP($AK57,#REF!,BL$36,FALSE)</f>
        <v>#REF!</v>
      </c>
      <c r="BM57" s="398" t="e">
        <f>VLOOKUP($AK57,#REF!,BM$36,FALSE)</f>
        <v>#REF!</v>
      </c>
      <c r="BN57" s="398" t="e">
        <f>VLOOKUP($AK57,#REF!,BN$36,FALSE)</f>
        <v>#REF!</v>
      </c>
      <c r="BO57" s="398" t="e">
        <f>VLOOKUP($AK57,#REF!,BO$36,FALSE)</f>
        <v>#REF!</v>
      </c>
      <c r="BP57" s="398" t="e">
        <f>VLOOKUP($AK57,#REF!,BP$36,FALSE)</f>
        <v>#REF!</v>
      </c>
    </row>
    <row r="58" spans="1:68" ht="14.25" customHeight="1" x14ac:dyDescent="0.2">
      <c r="A58" s="135"/>
      <c r="B58" s="429"/>
      <c r="C58" s="429"/>
      <c r="D58" s="58"/>
      <c r="E58" s="58"/>
      <c r="F58" s="58"/>
      <c r="G58" s="58"/>
      <c r="H58" s="58"/>
      <c r="I58" s="58"/>
      <c r="J58" s="13"/>
      <c r="K58" s="15"/>
      <c r="L58" s="15"/>
      <c r="M58" s="15"/>
      <c r="N58" s="15"/>
      <c r="O58" s="9"/>
      <c r="P58" s="9"/>
      <c r="Q58" s="9"/>
      <c r="R58" s="9"/>
      <c r="S58" s="9"/>
      <c r="T58" s="9"/>
      <c r="U58" s="134"/>
      <c r="V58" s="152"/>
      <c r="W58" s="326"/>
      <c r="X58" s="647">
        <v>18</v>
      </c>
      <c r="Y58" s="50" t="str">
        <f t="shared" si="25"/>
        <v>Torbay</v>
      </c>
      <c r="Z58" s="45">
        <v>19</v>
      </c>
      <c r="AA58" s="46">
        <f>IF(H26&gt;0,IDACI!D26,0)</f>
        <v>21714</v>
      </c>
      <c r="AB58" s="46">
        <f>IF(H26&gt;0,IDACI!E26,0)</f>
        <v>5233.0740000000005</v>
      </c>
      <c r="AI58" s="642" t="b">
        <v>1</v>
      </c>
      <c r="AJ58" s="178" t="s">
        <v>16</v>
      </c>
      <c r="AK58" s="101" t="str">
        <f t="shared" si="19"/>
        <v>West Berkshire</v>
      </c>
      <c r="AL58" s="164">
        <f t="shared" si="20"/>
        <v>43.697478991596633</v>
      </c>
      <c r="AM58" s="164">
        <f t="shared" si="20"/>
        <v>48.033707865168537</v>
      </c>
      <c r="AN58" s="164">
        <f t="shared" si="20"/>
        <v>43.977591036414566</v>
      </c>
      <c r="AO58" s="164">
        <f t="shared" si="20"/>
        <v>44.808104422365084</v>
      </c>
      <c r="AP58" s="164">
        <f t="shared" si="20"/>
        <v>40.51411008661637</v>
      </c>
      <c r="AQ58" s="165">
        <f t="shared" si="26"/>
        <v>10.4</v>
      </c>
      <c r="AR58" s="398">
        <f t="shared" si="27"/>
        <v>0.4</v>
      </c>
      <c r="AS58" s="398" t="e">
        <f t="shared" si="27"/>
        <v>#N/A</v>
      </c>
      <c r="AT58" s="398">
        <f t="shared" si="27"/>
        <v>0.45</v>
      </c>
      <c r="AU58" s="398">
        <f t="shared" si="27"/>
        <v>0.44715447154471544</v>
      </c>
      <c r="AV58" s="398">
        <f t="shared" si="27"/>
        <v>0.61111111111111116</v>
      </c>
      <c r="AW58" s="398">
        <f t="shared" si="28"/>
        <v>0.7</v>
      </c>
      <c r="AX58" s="398" t="e">
        <f t="shared" si="28"/>
        <v>#N/A</v>
      </c>
      <c r="AY58" s="398">
        <f t="shared" si="28"/>
        <v>0.77777777777777779</v>
      </c>
      <c r="AZ58" s="398">
        <f t="shared" si="28"/>
        <v>0.63636363636363635</v>
      </c>
      <c r="BA58" s="398">
        <f t="shared" si="28"/>
        <v>0.63636363636363635</v>
      </c>
      <c r="BB58" s="398">
        <f t="shared" si="29"/>
        <v>6.4102564102564097E-2</v>
      </c>
      <c r="BC58" s="398" t="e">
        <f t="shared" si="29"/>
        <v>#N/A</v>
      </c>
      <c r="BD58" s="398">
        <f t="shared" si="29"/>
        <v>6.3694267515923567E-2</v>
      </c>
      <c r="BE58" s="398">
        <f t="shared" si="29"/>
        <v>9.3167701863354033E-2</v>
      </c>
      <c r="BF58" s="398">
        <f t="shared" si="29"/>
        <v>5.5172413793103448E-2</v>
      </c>
      <c r="BG58" s="398">
        <f t="shared" si="30"/>
        <v>4.4871794871794872E-2</v>
      </c>
      <c r="BH58" s="398">
        <f t="shared" si="30"/>
        <v>5.8479532163742687E-2</v>
      </c>
      <c r="BI58" s="398">
        <f t="shared" si="30"/>
        <v>8.2802547770700632E-2</v>
      </c>
      <c r="BJ58" s="398">
        <f t="shared" si="30"/>
        <v>9.9378881987577633E-2</v>
      </c>
      <c r="BK58" s="398">
        <f t="shared" si="30"/>
        <v>0.10344827586206896</v>
      </c>
      <c r="BL58" s="398" t="e">
        <f>VLOOKUP($AK58,#REF!,BL$36,FALSE)</f>
        <v>#REF!</v>
      </c>
      <c r="BM58" s="398" t="e">
        <f>VLOOKUP($AK58,#REF!,BM$36,FALSE)</f>
        <v>#REF!</v>
      </c>
      <c r="BN58" s="398" t="e">
        <f>VLOOKUP($AK58,#REF!,BN$36,FALSE)</f>
        <v>#REF!</v>
      </c>
      <c r="BO58" s="398" t="e">
        <f>VLOOKUP($AK58,#REF!,BO$36,FALSE)</f>
        <v>#REF!</v>
      </c>
      <c r="BP58" s="398" t="e">
        <f>VLOOKUP($AK58,#REF!,BP$36,FALSE)</f>
        <v>#REF!</v>
      </c>
    </row>
    <row r="59" spans="1:68" ht="14.25" customHeight="1" x14ac:dyDescent="0.2">
      <c r="A59" s="135"/>
      <c r="B59" s="429"/>
      <c r="C59" s="429"/>
      <c r="D59" s="58"/>
      <c r="E59" s="58"/>
      <c r="F59" s="58"/>
      <c r="G59" s="58"/>
      <c r="H59" s="58"/>
      <c r="I59" s="58"/>
      <c r="J59" s="13"/>
      <c r="K59" s="15"/>
      <c r="L59" s="15"/>
      <c r="M59" s="15"/>
      <c r="N59" s="15"/>
      <c r="O59" s="9"/>
      <c r="P59" s="9"/>
      <c r="Q59" s="9"/>
      <c r="R59" s="9"/>
      <c r="S59" s="9"/>
      <c r="T59" s="9"/>
      <c r="U59" s="134"/>
      <c r="V59" s="152"/>
      <c r="W59" s="326"/>
      <c r="X59" s="647">
        <v>19</v>
      </c>
      <c r="Y59" s="50" t="str">
        <f t="shared" si="25"/>
        <v>West Berkshire</v>
      </c>
      <c r="Z59" s="45">
        <v>20</v>
      </c>
      <c r="AA59" s="46">
        <f>IF(H27&gt;0,IDACI!D27,0)</f>
        <v>31302</v>
      </c>
      <c r="AB59" s="46">
        <f>IF(H27&gt;0,IDACI!E27,0)</f>
        <v>3255.4080000000004</v>
      </c>
      <c r="AI59" s="642" t="b">
        <v>1</v>
      </c>
      <c r="AJ59" s="178" t="s">
        <v>5</v>
      </c>
      <c r="AK59" s="101" t="str">
        <f t="shared" si="19"/>
        <v>West Sussex</v>
      </c>
      <c r="AL59" s="164">
        <f t="shared" si="20"/>
        <v>36.047904191616766</v>
      </c>
      <c r="AM59" s="164">
        <f t="shared" si="20"/>
        <v>38.15165876777251</v>
      </c>
      <c r="AN59" s="164">
        <f t="shared" si="20"/>
        <v>37.5</v>
      </c>
      <c r="AO59" s="164">
        <f t="shared" si="20"/>
        <v>38.600147879902885</v>
      </c>
      <c r="AP59" s="164">
        <f t="shared" si="20"/>
        <v>40.627651040795008</v>
      </c>
      <c r="AQ59" s="165">
        <f t="shared" si="26"/>
        <v>12.9</v>
      </c>
      <c r="AR59" s="398">
        <f t="shared" si="27"/>
        <v>0.47619047619047616</v>
      </c>
      <c r="AS59" s="398" t="e">
        <f t="shared" si="27"/>
        <v>#N/A</v>
      </c>
      <c r="AT59" s="398">
        <f t="shared" si="27"/>
        <v>0.37362637362637363</v>
      </c>
      <c r="AU59" s="398">
        <f t="shared" si="27"/>
        <v>0.31914893617021278</v>
      </c>
      <c r="AV59" s="398">
        <f t="shared" si="27"/>
        <v>0.312</v>
      </c>
      <c r="AW59" s="398">
        <f t="shared" si="28"/>
        <v>0.67500000000000004</v>
      </c>
      <c r="AX59" s="398" t="e">
        <f t="shared" si="28"/>
        <v>#N/A</v>
      </c>
      <c r="AY59" s="398">
        <f t="shared" si="28"/>
        <v>0.73529411764705888</v>
      </c>
      <c r="AZ59" s="398">
        <f t="shared" si="28"/>
        <v>0.76666666666666672</v>
      </c>
      <c r="BA59" s="398">
        <f t="shared" si="28"/>
        <v>0.69871794871794868</v>
      </c>
      <c r="BB59" s="398">
        <f t="shared" si="29"/>
        <v>0.1079734219269103</v>
      </c>
      <c r="BC59" s="398" t="e">
        <f t="shared" si="29"/>
        <v>#N/A</v>
      </c>
      <c r="BD59" s="398">
        <f t="shared" si="29"/>
        <v>0.10954616588419405</v>
      </c>
      <c r="BE59" s="398">
        <f t="shared" si="29"/>
        <v>0.12066365007541478</v>
      </c>
      <c r="BF59" s="398">
        <f t="shared" si="29"/>
        <v>0.140625</v>
      </c>
      <c r="BG59" s="398">
        <f t="shared" si="30"/>
        <v>5.647840531561462E-2</v>
      </c>
      <c r="BH59" s="398">
        <f t="shared" si="30"/>
        <v>5.5900621118012424E-2</v>
      </c>
      <c r="BI59" s="398">
        <f t="shared" si="30"/>
        <v>0.10015649452269171</v>
      </c>
      <c r="BJ59" s="398">
        <f t="shared" si="30"/>
        <v>0.11010558069381599</v>
      </c>
      <c r="BK59" s="398">
        <f t="shared" si="30"/>
        <v>9.8011363636363633E-2</v>
      </c>
      <c r="BL59" s="398" t="e">
        <f>VLOOKUP($AK59,#REF!,BL$36,FALSE)</f>
        <v>#REF!</v>
      </c>
      <c r="BM59" s="398" t="e">
        <f>VLOOKUP($AK59,#REF!,BM$36,FALSE)</f>
        <v>#REF!</v>
      </c>
      <c r="BN59" s="398" t="e">
        <f>VLOOKUP($AK59,#REF!,BN$36,FALSE)</f>
        <v>#REF!</v>
      </c>
      <c r="BO59" s="398" t="e">
        <f>VLOOKUP($AK59,#REF!,BO$36,FALSE)</f>
        <v>#REF!</v>
      </c>
      <c r="BP59" s="398" t="e">
        <f>VLOOKUP($AK59,#REF!,BP$36,FALSE)</f>
        <v>#REF!</v>
      </c>
    </row>
    <row r="60" spans="1:68" s="88" customFormat="1" ht="14.25" customHeight="1" x14ac:dyDescent="0.2">
      <c r="A60" s="135"/>
      <c r="B60" s="429"/>
      <c r="C60" s="429"/>
      <c r="D60" s="58"/>
      <c r="E60" s="58"/>
      <c r="F60" s="58"/>
      <c r="G60" s="58"/>
      <c r="H60" s="58"/>
      <c r="I60" s="58"/>
      <c r="J60" s="13"/>
      <c r="K60" s="15"/>
      <c r="L60" s="15"/>
      <c r="M60" s="15"/>
      <c r="N60" s="15"/>
      <c r="O60" s="9"/>
      <c r="P60" s="9"/>
      <c r="Q60" s="9"/>
      <c r="R60" s="9"/>
      <c r="S60" s="9"/>
      <c r="T60" s="9"/>
      <c r="U60" s="134"/>
      <c r="V60" s="152"/>
      <c r="W60" s="326"/>
      <c r="X60" s="647">
        <v>20</v>
      </c>
      <c r="Y60" s="50" t="str">
        <f t="shared" si="25"/>
        <v>West Sussex</v>
      </c>
      <c r="Z60" s="45">
        <v>21</v>
      </c>
      <c r="AA60" s="46">
        <f>IF(H28&gt;0,IDACI!D28,0)</f>
        <v>146958</v>
      </c>
      <c r="AB60" s="46">
        <f>IF(H28&gt;0,IDACI!E28,0)</f>
        <v>18957.582000000002</v>
      </c>
      <c r="AI60" s="642" t="b">
        <v>1</v>
      </c>
      <c r="AJ60" s="178" t="s">
        <v>31</v>
      </c>
      <c r="AK60" s="101" t="str">
        <f t="shared" si="19"/>
        <v>Windsor &amp; Maidenhead</v>
      </c>
      <c r="AL60" s="164">
        <f t="shared" si="20"/>
        <v>31.831831831831831</v>
      </c>
      <c r="AM60" s="164">
        <f t="shared" si="20"/>
        <v>29.640718562874252</v>
      </c>
      <c r="AN60" s="164">
        <f t="shared" si="20"/>
        <v>26.409495548961427</v>
      </c>
      <c r="AO60" s="164">
        <f t="shared" si="20"/>
        <v>31.893726591760299</v>
      </c>
      <c r="AP60" s="164">
        <f t="shared" si="20"/>
        <v>31.148113646949231</v>
      </c>
      <c r="AQ60" s="165">
        <f t="shared" si="26"/>
        <v>8.4</v>
      </c>
      <c r="AR60" s="398">
        <f t="shared" si="27"/>
        <v>0.46153846153846156</v>
      </c>
      <c r="AS60" s="398" t="e">
        <f t="shared" si="27"/>
        <v>#N/A</v>
      </c>
      <c r="AT60" s="398">
        <f t="shared" si="27"/>
        <v>0.7</v>
      </c>
      <c r="AU60" s="398">
        <f t="shared" si="27"/>
        <v>0.60344827586206895</v>
      </c>
      <c r="AV60" s="398">
        <f t="shared" si="27"/>
        <v>0.50819672131147542</v>
      </c>
      <c r="AW60" s="398">
        <f t="shared" si="28"/>
        <v>0.33333333333333331</v>
      </c>
      <c r="AX60" s="398" t="e">
        <f t="shared" si="28"/>
        <v>#N/A</v>
      </c>
      <c r="AY60" s="398">
        <f t="shared" si="28"/>
        <v>0.7142857142857143</v>
      </c>
      <c r="AZ60" s="398">
        <f t="shared" si="28"/>
        <v>0.7142857142857143</v>
      </c>
      <c r="BA60" s="398">
        <f t="shared" si="28"/>
        <v>0.70967741935483875</v>
      </c>
      <c r="BB60" s="398">
        <f t="shared" si="29"/>
        <v>0.14150943396226415</v>
      </c>
      <c r="BC60" s="398" t="e">
        <f t="shared" si="29"/>
        <v>#N/A</v>
      </c>
      <c r="BD60" s="398">
        <f t="shared" si="29"/>
        <v>0.16853932584269662</v>
      </c>
      <c r="BE60" s="398">
        <f t="shared" si="29"/>
        <v>0.13761467889908258</v>
      </c>
      <c r="BF60" s="398">
        <f t="shared" si="29"/>
        <v>0.13084112149532709</v>
      </c>
      <c r="BG60" s="398" t="e">
        <f t="shared" si="30"/>
        <v>#N/A</v>
      </c>
      <c r="BH60" s="398">
        <f t="shared" si="30"/>
        <v>9.0909090909090912E-2</v>
      </c>
      <c r="BI60" s="398" t="e">
        <f t="shared" si="30"/>
        <v>#N/A</v>
      </c>
      <c r="BJ60" s="398">
        <f t="shared" si="30"/>
        <v>6.4220183486238536E-2</v>
      </c>
      <c r="BK60" s="398">
        <f t="shared" si="30"/>
        <v>6.5420560747663545E-2</v>
      </c>
      <c r="BL60" s="398" t="e">
        <f>VLOOKUP($AK60,#REF!,BL$36,FALSE)</f>
        <v>#REF!</v>
      </c>
      <c r="BM60" s="398" t="e">
        <f>VLOOKUP($AK60,#REF!,BM$36,FALSE)</f>
        <v>#REF!</v>
      </c>
      <c r="BN60" s="398" t="e">
        <f>VLOOKUP($AK60,#REF!,BN$36,FALSE)</f>
        <v>#REF!</v>
      </c>
      <c r="BO60" s="398" t="e">
        <f>VLOOKUP($AK60,#REF!,BO$36,FALSE)</f>
        <v>#REF!</v>
      </c>
      <c r="BP60" s="398" t="e">
        <f>VLOOKUP($AK60,#REF!,BP$36,FALSE)</f>
        <v>#REF!</v>
      </c>
    </row>
    <row r="61" spans="1:68" s="88" customFormat="1" ht="14.25" customHeight="1" x14ac:dyDescent="0.2">
      <c r="A61" s="135"/>
      <c r="B61" s="429"/>
      <c r="C61" s="429"/>
      <c r="D61" s="58"/>
      <c r="E61" s="58"/>
      <c r="F61" s="58"/>
      <c r="G61" s="58"/>
      <c r="H61" s="58"/>
      <c r="I61" s="58"/>
      <c r="J61" s="13"/>
      <c r="K61" s="15"/>
      <c r="L61" s="15"/>
      <c r="M61" s="15"/>
      <c r="N61" s="15"/>
      <c r="O61" s="9"/>
      <c r="P61" s="9"/>
      <c r="Q61" s="9"/>
      <c r="R61" s="9"/>
      <c r="S61" s="9"/>
      <c r="T61" s="9"/>
      <c r="U61" s="134"/>
      <c r="V61" s="152"/>
      <c r="W61" s="326"/>
      <c r="X61" s="647">
        <v>21</v>
      </c>
      <c r="Y61" s="50" t="str">
        <f t="shared" si="25"/>
        <v>Windsor &amp; Maidenhead</v>
      </c>
      <c r="Z61" s="45">
        <v>22</v>
      </c>
      <c r="AA61" s="46">
        <f>IF(H29&gt;0,IDACI!D29,0)</f>
        <v>29154</v>
      </c>
      <c r="AB61" s="46">
        <f>IF(H29&gt;0,IDACI!E29,0)</f>
        <v>2448.9360000000001</v>
      </c>
      <c r="AI61" s="642" t="b">
        <v>1</v>
      </c>
      <c r="AJ61" s="178" t="s">
        <v>17</v>
      </c>
      <c r="AK61" s="101" t="str">
        <f t="shared" si="19"/>
        <v>Wokingham</v>
      </c>
      <c r="AL61" s="164">
        <f t="shared" si="20"/>
        <v>19.88950276243094</v>
      </c>
      <c r="AM61" s="164">
        <f t="shared" si="20"/>
        <v>20.325203252032523</v>
      </c>
      <c r="AN61" s="164">
        <f t="shared" si="20"/>
        <v>21.715817694369974</v>
      </c>
      <c r="AO61" s="164">
        <f t="shared" si="20"/>
        <v>19.726978615955179</v>
      </c>
      <c r="AP61" s="164">
        <f t="shared" si="20"/>
        <v>27.388765438478632</v>
      </c>
      <c r="AQ61" s="165">
        <f t="shared" si="26"/>
        <v>6.8000000000000007</v>
      </c>
      <c r="AR61" s="398">
        <f t="shared" si="27"/>
        <v>0.45454545454545453</v>
      </c>
      <c r="AS61" s="398" t="e">
        <f t="shared" si="27"/>
        <v>#N/A</v>
      </c>
      <c r="AT61" s="398">
        <f t="shared" si="27"/>
        <v>0.4</v>
      </c>
      <c r="AU61" s="398">
        <f t="shared" si="27"/>
        <v>0.60606060606060608</v>
      </c>
      <c r="AV61" s="398">
        <f t="shared" si="27"/>
        <v>0.2857142857142857</v>
      </c>
      <c r="AW61" s="398">
        <f t="shared" si="28"/>
        <v>0.4</v>
      </c>
      <c r="AX61" s="398" t="e">
        <f t="shared" si="28"/>
        <v>#N/A</v>
      </c>
      <c r="AY61" s="398">
        <f t="shared" si="28"/>
        <v>0.5</v>
      </c>
      <c r="AZ61" s="398">
        <f t="shared" si="28"/>
        <v>0.5</v>
      </c>
      <c r="BA61" s="398">
        <f t="shared" si="28"/>
        <v>0.75</v>
      </c>
      <c r="BB61" s="398">
        <f t="shared" si="29"/>
        <v>0.1388888888888889</v>
      </c>
      <c r="BC61" s="398" t="e">
        <f t="shared" si="29"/>
        <v>#N/A</v>
      </c>
      <c r="BD61" s="398">
        <f t="shared" si="29"/>
        <v>0.12345679012345678</v>
      </c>
      <c r="BE61" s="398">
        <f t="shared" si="29"/>
        <v>0.2</v>
      </c>
      <c r="BF61" s="398">
        <f t="shared" si="29"/>
        <v>0.13207547169811321</v>
      </c>
      <c r="BG61" s="398">
        <f t="shared" si="30"/>
        <v>0</v>
      </c>
      <c r="BH61" s="398" t="e">
        <f t="shared" si="30"/>
        <v>#N/A</v>
      </c>
      <c r="BI61" s="398" t="e">
        <f t="shared" si="30"/>
        <v>#N/A</v>
      </c>
      <c r="BJ61" s="398">
        <f t="shared" si="30"/>
        <v>0.10666666666666667</v>
      </c>
      <c r="BK61" s="398">
        <f t="shared" si="30"/>
        <v>0.13207547169811321</v>
      </c>
      <c r="BL61" s="398" t="e">
        <f>VLOOKUP($AK61,#REF!,BL$36,FALSE)</f>
        <v>#REF!</v>
      </c>
      <c r="BM61" s="398" t="e">
        <f>VLOOKUP($AK61,#REF!,BM$36,FALSE)</f>
        <v>#REF!</v>
      </c>
      <c r="BN61" s="398" t="e">
        <f>VLOOKUP($AK61,#REF!,BN$36,FALSE)</f>
        <v>#REF!</v>
      </c>
      <c r="BO61" s="398" t="e">
        <f>VLOOKUP($AK61,#REF!,BO$36,FALSE)</f>
        <v>#REF!</v>
      </c>
      <c r="BP61" s="398" t="e">
        <f>VLOOKUP($AK61,#REF!,BP$36,FALSE)</f>
        <v>#REF!</v>
      </c>
    </row>
    <row r="62" spans="1:68" s="88" customFormat="1" ht="14.25" customHeight="1" x14ac:dyDescent="0.2">
      <c r="A62" s="135"/>
      <c r="B62" s="429"/>
      <c r="C62" s="429"/>
      <c r="D62" s="58"/>
      <c r="E62" s="58"/>
      <c r="F62" s="58"/>
      <c r="G62" s="58"/>
      <c r="H62" s="58"/>
      <c r="I62" s="58"/>
      <c r="J62" s="13"/>
      <c r="K62" s="15"/>
      <c r="L62" s="15"/>
      <c r="M62" s="15"/>
      <c r="N62" s="15"/>
      <c r="O62" s="9"/>
      <c r="P62" s="9"/>
      <c r="Q62" s="9"/>
      <c r="R62" s="9"/>
      <c r="S62" s="9"/>
      <c r="T62" s="9"/>
      <c r="U62" s="134"/>
      <c r="V62" s="152"/>
      <c r="W62" s="326"/>
      <c r="X62" s="647">
        <v>22</v>
      </c>
      <c r="Y62" s="50" t="str">
        <f t="shared" si="25"/>
        <v>Wokingham</v>
      </c>
      <c r="Z62" s="45">
        <v>23</v>
      </c>
      <c r="AA62" s="46">
        <f>IF(H30&gt;0,IDACI!D30,0)</f>
        <v>31967</v>
      </c>
      <c r="AB62" s="46">
        <f>IF(H30&gt;0,IDACI!E30,0)</f>
        <v>2173.7560000000003</v>
      </c>
      <c r="AI62" s="642" t="b">
        <v>1</v>
      </c>
      <c r="AJ62" s="178" t="s">
        <v>74</v>
      </c>
      <c r="AK62" s="101" t="str">
        <f t="shared" si="19"/>
        <v>South East</v>
      </c>
      <c r="AL62" s="164">
        <f t="shared" si="20"/>
        <v>47.434810260758958</v>
      </c>
      <c r="AM62" s="164">
        <f t="shared" si="20"/>
        <v>48.891923117319614</v>
      </c>
      <c r="AN62" s="164">
        <f t="shared" si="20"/>
        <v>51.45717115895939</v>
      </c>
      <c r="AO62" s="164">
        <f t="shared" si="20"/>
        <v>50.8485184872902</v>
      </c>
      <c r="AP62" s="164">
        <f t="shared" si="20"/>
        <v>51.443901711281391</v>
      </c>
      <c r="AQ62" s="165">
        <f t="shared" si="26"/>
        <v>14.45223640702325</v>
      </c>
      <c r="AR62" s="398">
        <f t="shared" si="27"/>
        <v>0.39433551198257083</v>
      </c>
      <c r="AS62" s="398" t="e">
        <f t="shared" si="27"/>
        <v>#N/A</v>
      </c>
      <c r="AT62" s="398">
        <f t="shared" si="27"/>
        <v>0.40876944837340878</v>
      </c>
      <c r="AU62" s="398">
        <f t="shared" si="27"/>
        <v>0.4102920723226704</v>
      </c>
      <c r="AV62" s="398">
        <f t="shared" si="27"/>
        <v>0.41342281879194631</v>
      </c>
      <c r="AW62" s="398">
        <f t="shared" si="28"/>
        <v>0.63351749539594848</v>
      </c>
      <c r="AX62" s="398" t="e">
        <f t="shared" si="28"/>
        <v>#N/A</v>
      </c>
      <c r="AY62" s="398">
        <f t="shared" si="28"/>
        <v>0.66608996539792387</v>
      </c>
      <c r="AZ62" s="398">
        <f t="shared" si="28"/>
        <v>0.68305084745762712</v>
      </c>
      <c r="BA62" s="398">
        <f t="shared" si="28"/>
        <v>0.68181818181818177</v>
      </c>
      <c r="BB62" s="398">
        <f t="shared" si="29"/>
        <v>0.12234636871508379</v>
      </c>
      <c r="BC62" s="398" t="e">
        <f t="shared" si="29"/>
        <v>#N/A</v>
      </c>
      <c r="BD62" s="398">
        <f t="shared" si="29"/>
        <v>0.12208713272543059</v>
      </c>
      <c r="BE62" s="398">
        <f t="shared" si="29"/>
        <v>0.11698880976602238</v>
      </c>
      <c r="BF62" s="398">
        <f t="shared" si="29"/>
        <v>0.11899999999999999</v>
      </c>
      <c r="BG62" s="398">
        <f t="shared" si="30"/>
        <v>5.027932960893855E-2</v>
      </c>
      <c r="BH62" s="398">
        <f t="shared" si="30"/>
        <v>7.3039742212674549E-2</v>
      </c>
      <c r="BI62" s="398">
        <f t="shared" si="30"/>
        <v>0.13779128672745694</v>
      </c>
      <c r="BJ62" s="398">
        <f t="shared" si="30"/>
        <v>0.10986775178026449</v>
      </c>
      <c r="BK62" s="398">
        <f t="shared" si="30"/>
        <v>8.5000000000000006E-2</v>
      </c>
      <c r="BL62" s="398" t="e">
        <f>VLOOKUP($AK62,#REF!,BL$36,FALSE)</f>
        <v>#REF!</v>
      </c>
      <c r="BM62" s="398" t="e">
        <f>VLOOKUP($AK62,#REF!,BM$36,FALSE)</f>
        <v>#REF!</v>
      </c>
      <c r="BN62" s="398" t="e">
        <f>VLOOKUP($AK62,#REF!,BN$36,FALSE)</f>
        <v>#REF!</v>
      </c>
      <c r="BO62" s="398" t="e">
        <f>VLOOKUP($AK62,#REF!,BO$36,FALSE)</f>
        <v>#REF!</v>
      </c>
      <c r="BP62" s="398" t="e">
        <f>VLOOKUP($AK62,#REF!,BP$36,FALSE)</f>
        <v>#REF!</v>
      </c>
    </row>
    <row r="63" spans="1:68" s="88" customFormat="1" ht="14.25" customHeight="1" x14ac:dyDescent="0.2">
      <c r="A63" s="135"/>
      <c r="B63" s="429"/>
      <c r="C63" s="429"/>
      <c r="D63" s="58"/>
      <c r="E63" s="58"/>
      <c r="F63" s="58"/>
      <c r="G63" s="58"/>
      <c r="H63" s="58"/>
      <c r="I63" s="58"/>
      <c r="J63" s="13"/>
      <c r="K63" s="9"/>
      <c r="L63" s="127"/>
      <c r="M63" s="1027" t="s">
        <v>72</v>
      </c>
      <c r="N63" s="1028"/>
      <c r="O63" s="1029"/>
      <c r="P63" s="430"/>
      <c r="Q63" s="1030" t="s">
        <v>101</v>
      </c>
      <c r="R63" s="1031"/>
      <c r="S63" s="1031"/>
      <c r="T63" s="1032"/>
      <c r="U63" s="134"/>
      <c r="V63" s="152"/>
      <c r="W63" s="326"/>
      <c r="X63" s="647">
        <v>23</v>
      </c>
      <c r="Y63" s="50" t="str">
        <f t="shared" si="25"/>
        <v>South East</v>
      </c>
      <c r="Z63" s="45">
        <v>24</v>
      </c>
      <c r="AA63" s="46">
        <f>SUM(AA55:AA56,AA41:AA53,AA59:AA62)</f>
        <v>1662421</v>
      </c>
      <c r="AB63" s="46">
        <f>SUM(AB55:AB56,AB41:AB53,AB59:AB62)</f>
        <v>240257.01299999995</v>
      </c>
      <c r="AI63" s="642" t="b">
        <v>1</v>
      </c>
      <c r="AJ63" s="178" t="s">
        <v>130</v>
      </c>
      <c r="AK63" s="101" t="str">
        <f t="shared" si="19"/>
        <v>England</v>
      </c>
      <c r="AL63" s="164">
        <f>VLOOKUP($AK63,$B$9:$O$32,AL$36,FALSE)</f>
        <v>59.944768226920701</v>
      </c>
      <c r="AM63" s="164">
        <f t="shared" ref="AM63:AP63" si="31">VLOOKUP($AK63,$B$9:$O$32,AM$36,FALSE)</f>
        <v>59.930812564162288</v>
      </c>
      <c r="AN63" s="164">
        <f t="shared" si="31"/>
        <v>60.284811481516371</v>
      </c>
      <c r="AO63" s="164">
        <f t="shared" si="31"/>
        <v>61.593800468160396</v>
      </c>
      <c r="AP63" s="164">
        <f t="shared" si="31"/>
        <v>63.554624829263311</v>
      </c>
      <c r="AQ63" s="165" t="e">
        <f t="shared" si="26"/>
        <v>#N/A</v>
      </c>
      <c r="AR63" s="398">
        <f t="shared" si="27"/>
        <v>0.41007723427730786</v>
      </c>
      <c r="AS63" s="398" t="e">
        <f t="shared" si="27"/>
        <v>#N/A</v>
      </c>
      <c r="AT63" s="398">
        <f t="shared" si="27"/>
        <v>0.43785886275236152</v>
      </c>
      <c r="AU63" s="398">
        <f t="shared" si="27"/>
        <v>0.43178141290670502</v>
      </c>
      <c r="AV63" s="398">
        <f t="shared" si="27"/>
        <v>0.44364551500988675</v>
      </c>
      <c r="AW63" s="398">
        <f t="shared" si="28"/>
        <v>0.66547085201793721</v>
      </c>
      <c r="AX63" s="398" t="e">
        <f t="shared" si="28"/>
        <v>#N/A</v>
      </c>
      <c r="AY63" s="398">
        <f t="shared" si="28"/>
        <v>0.68485617597292725</v>
      </c>
      <c r="AZ63" s="398">
        <f t="shared" si="28"/>
        <v>0.70191507077435467</v>
      </c>
      <c r="BA63" s="398">
        <f t="shared" si="28"/>
        <v>0.69813614262560775</v>
      </c>
      <c r="BB63" s="398">
        <f t="shared" si="29"/>
        <v>0.10928644092428426</v>
      </c>
      <c r="BC63" s="398" t="e">
        <f t="shared" si="29"/>
        <v>#N/A</v>
      </c>
      <c r="BD63" s="398">
        <f t="shared" si="29"/>
        <v>0.10298295454545454</v>
      </c>
      <c r="BE63" s="398">
        <f t="shared" si="29"/>
        <v>0.10359553657528585</v>
      </c>
      <c r="BF63" s="398">
        <f t="shared" si="29"/>
        <v>0.10461416070007955</v>
      </c>
      <c r="BG63" s="398">
        <f t="shared" si="30"/>
        <v>2.9937509082982126E-2</v>
      </c>
      <c r="BH63" s="398">
        <f t="shared" si="30"/>
        <v>3.9729379588311499E-2</v>
      </c>
      <c r="BI63" s="398">
        <f t="shared" si="30"/>
        <v>6.1647727272727271E-2</v>
      </c>
      <c r="BJ63" s="398">
        <f t="shared" si="30"/>
        <v>6.4609450337512059E-2</v>
      </c>
      <c r="BK63" s="398">
        <f t="shared" si="30"/>
        <v>5.940068947228852E-2</v>
      </c>
      <c r="BL63" s="398" t="e">
        <f>VLOOKUP($AK63,#REF!,BL$36,FALSE)</f>
        <v>#REF!</v>
      </c>
      <c r="BM63" s="398" t="e">
        <f>VLOOKUP($AK63,#REF!,BM$36,FALSE)</f>
        <v>#REF!</v>
      </c>
      <c r="BN63" s="398" t="e">
        <f>VLOOKUP($AK63,#REF!,BN$36,FALSE)</f>
        <v>#REF!</v>
      </c>
      <c r="BO63" s="398" t="e">
        <f>VLOOKUP($AK63,#REF!,BO$36,FALSE)</f>
        <v>#REF!</v>
      </c>
      <c r="BP63" s="398" t="e">
        <f>VLOOKUP($AK63,#REF!,BP$36,FALSE)</f>
        <v>#REF!</v>
      </c>
    </row>
    <row r="64" spans="1:68" s="88" customFormat="1" ht="11.25" customHeight="1" x14ac:dyDescent="0.2">
      <c r="A64" s="135"/>
      <c r="B64" s="429"/>
      <c r="C64" s="429"/>
      <c r="D64" s="58"/>
      <c r="E64" s="58"/>
      <c r="F64" s="58"/>
      <c r="G64" s="58"/>
      <c r="H64" s="58"/>
      <c r="I64" s="58"/>
      <c r="J64" s="13"/>
      <c r="K64" s="9"/>
      <c r="L64" s="481"/>
      <c r="M64" s="1030" t="str">
        <f>Z4</f>
        <v>Selected LA- (none)</v>
      </c>
      <c r="N64" s="1031"/>
      <c r="O64" s="1031"/>
      <c r="P64" s="1032"/>
      <c r="Q64" s="1035"/>
      <c r="R64" s="1036"/>
      <c r="S64" s="1037" t="s">
        <v>205</v>
      </c>
      <c r="T64" s="1038"/>
      <c r="U64" s="134"/>
      <c r="V64" s="152"/>
      <c r="W64" s="168"/>
      <c r="X64" s="647">
        <v>24</v>
      </c>
      <c r="Y64" s="50" t="str">
        <f t="shared" si="25"/>
        <v>England</v>
      </c>
      <c r="Z64" s="45">
        <v>25</v>
      </c>
      <c r="AA64" s="46">
        <f>IF(H32&gt;0,IDACI!D32,0)</f>
        <v>10130158</v>
      </c>
      <c r="AB64" s="46">
        <f>IF(H32&gt;0,IDACI!E32,0)</f>
        <v>2016166</v>
      </c>
      <c r="AJ64" s="179"/>
      <c r="AK64" s="80" t="str">
        <f>Z4</f>
        <v>Selected LA- (none)</v>
      </c>
      <c r="AL64" s="166" t="e">
        <f>VLOOKUP($Y4,$B$9:$O$31,AL$36,FALSE)</f>
        <v>#N/A</v>
      </c>
      <c r="AM64" s="166" t="e">
        <f>VLOOKUP($Y4,$B$9:$O$31,AM$36,FALSE)</f>
        <v>#N/A</v>
      </c>
      <c r="AN64" s="166" t="e">
        <f>VLOOKUP($Y4,$B$9:$O$31,AN$36,FALSE)</f>
        <v>#N/A</v>
      </c>
      <c r="AO64" s="166" t="e">
        <f>VLOOKUP($Y4,$B$9:$O$31,AO$36,FALSE)</f>
        <v>#N/A</v>
      </c>
      <c r="AP64" s="166" t="e">
        <f>VLOOKUP($Y4,$B$9:$O$31,AP$36,FALSE)</f>
        <v>#N/A</v>
      </c>
      <c r="AQ64" s="165" t="e">
        <f>VLOOKUP(Y4,$B$9:$T$31,17,FALSE)</f>
        <v>#N/A</v>
      </c>
      <c r="AR64" s="191" t="e">
        <f>VLOOKUP($Y$4,$B$110:$H$133,AR$36,FALSE)</f>
        <v>#N/A</v>
      </c>
      <c r="AS64" s="191" t="e">
        <f t="shared" ref="AS64:AV64" si="32">VLOOKUP($Y$4,$B$110:$H$133,AS$36,FALSE)</f>
        <v>#N/A</v>
      </c>
      <c r="AT64" s="191" t="e">
        <f t="shared" si="32"/>
        <v>#N/A</v>
      </c>
      <c r="AU64" s="191" t="e">
        <f t="shared" si="32"/>
        <v>#N/A</v>
      </c>
      <c r="AV64" s="191" t="e">
        <f t="shared" si="32"/>
        <v>#N/A</v>
      </c>
      <c r="AW64" s="191" t="e">
        <f>VLOOKUP($Y$4,$B$145:$H$168,AW$36,FALSE)</f>
        <v>#N/A</v>
      </c>
      <c r="AX64" s="191" t="e">
        <f t="shared" ref="AX64:BA64" si="33">VLOOKUP($Y$4,$B$145:$H$168,AX$36,FALSE)</f>
        <v>#N/A</v>
      </c>
      <c r="AY64" s="191" t="e">
        <f t="shared" si="33"/>
        <v>#N/A</v>
      </c>
      <c r="AZ64" s="191" t="e">
        <f t="shared" si="33"/>
        <v>#N/A</v>
      </c>
      <c r="BA64" s="191" t="e">
        <f t="shared" si="33"/>
        <v>#N/A</v>
      </c>
      <c r="BB64" s="191" t="e">
        <f>VLOOKUP($Y$4,$B$180:$H$203,BB$36,FALSE)</f>
        <v>#N/A</v>
      </c>
      <c r="BC64" s="191" t="e">
        <f t="shared" ref="BC64:BF64" si="34">VLOOKUP($Y$4,$B$180:$H$203,BC$36,FALSE)</f>
        <v>#N/A</v>
      </c>
      <c r="BD64" s="191" t="e">
        <f t="shared" si="34"/>
        <v>#N/A</v>
      </c>
      <c r="BE64" s="191" t="e">
        <f t="shared" si="34"/>
        <v>#N/A</v>
      </c>
      <c r="BF64" s="191" t="e">
        <f t="shared" si="34"/>
        <v>#N/A</v>
      </c>
      <c r="BG64" s="398" t="e">
        <f>VLOOKUP($Y4,$B$215:$H$238,BG$36,FALSE)</f>
        <v>#N/A</v>
      </c>
      <c r="BH64" s="398" t="e">
        <f>VLOOKUP($Y4,$B$215:$H$238,BH$36,FALSE)</f>
        <v>#N/A</v>
      </c>
      <c r="BI64" s="398" t="e">
        <f>VLOOKUP($Y4,$B$215:$H$238,BI$36,FALSE)</f>
        <v>#N/A</v>
      </c>
      <c r="BJ64" s="398" t="e">
        <f>VLOOKUP($Y4,$B$215:$H$238,BJ$36,FALSE)</f>
        <v>#N/A</v>
      </c>
      <c r="BK64" s="398" t="e">
        <f>VLOOKUP($Y4,$B$215:$H$238,BK$36,FALSE)</f>
        <v>#N/A</v>
      </c>
      <c r="BL64" s="398" t="e">
        <f>VLOOKUP($Y4,#REF!,BL$36,FALSE)</f>
        <v>#REF!</v>
      </c>
      <c r="BM64" s="398" t="e">
        <f>VLOOKUP($Y4,#REF!,BM$36,FALSE)</f>
        <v>#REF!</v>
      </c>
      <c r="BN64" s="398" t="e">
        <f>VLOOKUP($Y4,#REF!,BN$36,FALSE)</f>
        <v>#REF!</v>
      </c>
      <c r="BO64" s="398" t="e">
        <f>VLOOKUP($Y4,#REF!,BO$36,FALSE)</f>
        <v>#REF!</v>
      </c>
      <c r="BP64" s="398" t="e">
        <f>VLOOKUP($Y4,#REF!,BP$36,FALSE)</f>
        <v>#REF!</v>
      </c>
    </row>
    <row r="65" spans="1:44" s="88" customFormat="1" ht="42" customHeight="1" x14ac:dyDescent="0.2">
      <c r="A65" s="135"/>
      <c r="B65" s="429"/>
      <c r="C65" s="429"/>
      <c r="D65" s="58"/>
      <c r="E65" s="58"/>
      <c r="F65" s="58"/>
      <c r="G65" s="58"/>
      <c r="H65" s="58"/>
      <c r="I65" s="58"/>
      <c r="J65" s="13"/>
      <c r="K65" s="9"/>
      <c r="L65" s="9"/>
      <c r="M65" s="9"/>
      <c r="N65" s="9"/>
      <c r="O65" s="9"/>
      <c r="P65" s="9"/>
      <c r="Q65" s="9"/>
      <c r="R65" s="9"/>
      <c r="S65" s="9"/>
      <c r="T65" s="9"/>
      <c r="U65" s="134"/>
      <c r="V65" s="152"/>
      <c r="W65" s="168"/>
      <c r="X65" s="44" t="s">
        <v>72</v>
      </c>
      <c r="Y65" s="240" t="s">
        <v>70</v>
      </c>
      <c r="Z65" s="44" t="s">
        <v>71</v>
      </c>
      <c r="AA65" s="241">
        <v>5</v>
      </c>
      <c r="AB65" s="242">
        <f>(AA65*Y66)+Z66</f>
        <v>21.223700000000001</v>
      </c>
      <c r="AJ65" s="179"/>
    </row>
    <row r="66" spans="1:44" s="101" customFormat="1" ht="41.25" customHeight="1" x14ac:dyDescent="0.2">
      <c r="A66" s="138"/>
      <c r="B66" s="126"/>
      <c r="C66" s="126"/>
      <c r="D66" s="126"/>
      <c r="E66" s="126"/>
      <c r="F66" s="126"/>
      <c r="G66" s="126"/>
      <c r="H66" s="126"/>
      <c r="I66" s="126"/>
      <c r="J66" s="115"/>
      <c r="K66" s="97"/>
      <c r="L66" s="97"/>
      <c r="M66" s="97"/>
      <c r="N66" s="97"/>
      <c r="O66" s="97"/>
      <c r="P66" s="97"/>
      <c r="Q66" s="97"/>
      <c r="R66" s="97"/>
      <c r="S66" s="97"/>
      <c r="T66" s="97"/>
      <c r="U66" s="139"/>
      <c r="V66" s="154"/>
      <c r="W66" s="170"/>
      <c r="X66" s="243" t="str">
        <f>"Y= "&amp;Y66&amp;"x + "&amp;Z66</f>
        <v>Y= 3.4071x + 4.1882</v>
      </c>
      <c r="Y66" s="244">
        <v>3.4070999999999998</v>
      </c>
      <c r="Z66" s="245">
        <v>4.1882000000000001</v>
      </c>
      <c r="AA66" s="246">
        <v>30</v>
      </c>
      <c r="AB66" s="247">
        <f>(AA66*Y66)+Z66</f>
        <v>106.40119999999999</v>
      </c>
      <c r="AC66" s="217"/>
      <c r="AD66" s="217"/>
      <c r="AE66" s="217"/>
      <c r="AF66" s="217"/>
      <c r="AG66" s="217"/>
      <c r="AH66" s="217"/>
      <c r="AI66" s="232"/>
      <c r="AJ66" s="178"/>
    </row>
    <row r="67" spans="1:44" s="101" customFormat="1" ht="42" customHeight="1" x14ac:dyDescent="0.2">
      <c r="A67" s="138"/>
      <c r="B67" s="126"/>
      <c r="C67" s="126"/>
      <c r="D67" s="126"/>
      <c r="E67" s="126"/>
      <c r="F67" s="126"/>
      <c r="G67" s="126"/>
      <c r="H67" s="126"/>
      <c r="I67" s="126"/>
      <c r="J67" s="115"/>
      <c r="K67" s="97"/>
      <c r="L67" s="97"/>
      <c r="M67" s="97"/>
      <c r="N67" s="97"/>
      <c r="O67" s="97"/>
      <c r="P67" s="97"/>
      <c r="Q67" s="97"/>
      <c r="R67" s="97"/>
      <c r="S67" s="97"/>
      <c r="T67" s="97"/>
      <c r="U67" s="139"/>
      <c r="V67" s="154"/>
      <c r="W67" s="170"/>
      <c r="X67" s="663" t="s">
        <v>875</v>
      </c>
      <c r="Y67" s="240" t="s">
        <v>70</v>
      </c>
      <c r="Z67" s="44" t="s">
        <v>71</v>
      </c>
      <c r="AA67" s="241">
        <v>5</v>
      </c>
      <c r="AB67" s="242">
        <f>(AA67*Y68)+Z68</f>
        <v>30.705107240230092</v>
      </c>
      <c r="AC67" s="217"/>
      <c r="AD67" s="217"/>
      <c r="AE67" s="217"/>
      <c r="AF67" s="217"/>
      <c r="AG67" s="217"/>
      <c r="AH67" s="217"/>
      <c r="AI67" s="232"/>
      <c r="AJ67" s="178"/>
    </row>
    <row r="68" spans="1:44" ht="7.5" customHeight="1" x14ac:dyDescent="0.2">
      <c r="A68" s="135"/>
      <c r="B68" s="18"/>
      <c r="C68" s="18"/>
      <c r="D68" s="17"/>
      <c r="E68" s="17"/>
      <c r="F68" s="17"/>
      <c r="G68" s="17"/>
      <c r="H68" s="17"/>
      <c r="I68" s="17"/>
      <c r="J68" s="13"/>
      <c r="K68" s="19"/>
      <c r="L68" s="19"/>
      <c r="M68" s="19"/>
      <c r="N68" s="19"/>
      <c r="O68" s="19"/>
      <c r="P68" s="19"/>
      <c r="Q68" s="19"/>
      <c r="R68" s="19"/>
      <c r="S68" s="19"/>
      <c r="T68" s="20"/>
      <c r="U68" s="134"/>
      <c r="V68" s="152"/>
      <c r="W68" s="168"/>
      <c r="X68" s="243" t="str">
        <f>"Y= "&amp;Y68&amp;"x + "&amp;Z68</f>
        <v>Y= 2.41963942340865x + 18.6069101231869</v>
      </c>
      <c r="Y68" s="244">
        <v>2.4196394234086469</v>
      </c>
      <c r="Z68" s="245">
        <v>18.606910123186857</v>
      </c>
      <c r="AA68" s="246">
        <v>30</v>
      </c>
      <c r="AB68" s="247">
        <f>(AA68*Y68)+Z68</f>
        <v>91.196092825446271</v>
      </c>
      <c r="AI68" s="210"/>
      <c r="AJ68" s="175"/>
    </row>
    <row r="69" spans="1:44" ht="15" customHeight="1" x14ac:dyDescent="0.2">
      <c r="A69" s="1010"/>
      <c r="B69" s="1018"/>
      <c r="C69" s="1018"/>
      <c r="D69" s="1018"/>
      <c r="E69" s="1018"/>
      <c r="F69" s="1018"/>
      <c r="G69" s="1018"/>
      <c r="H69" s="1018"/>
      <c r="I69" s="1018"/>
      <c r="J69" s="1018"/>
      <c r="K69" s="1018"/>
      <c r="L69" s="1018"/>
      <c r="M69" s="1018"/>
      <c r="N69" s="1018"/>
      <c r="O69" s="1018"/>
      <c r="P69" s="1018"/>
      <c r="Q69" s="1018"/>
      <c r="R69" s="1018"/>
      <c r="S69" s="1018"/>
      <c r="T69" s="1018"/>
      <c r="U69" s="1019"/>
      <c r="V69" s="152"/>
      <c r="W69" s="168"/>
      <c r="X69" s="43">
        <f>D8</f>
        <v>2014</v>
      </c>
      <c r="Y69" s="43">
        <f>E8</f>
        <v>2015</v>
      </c>
      <c r="Z69" s="43">
        <f>F8</f>
        <v>2016</v>
      </c>
      <c r="AA69" s="43">
        <f>G8</f>
        <v>2017</v>
      </c>
      <c r="AB69" s="43">
        <f>H8</f>
        <v>2018</v>
      </c>
      <c r="AI69" s="210"/>
      <c r="AJ69" s="175"/>
    </row>
    <row r="70" spans="1:44" ht="11.25" customHeight="1" x14ac:dyDescent="0.2">
      <c r="A70" s="1020" t="str">
        <f>Home!$A$35</f>
        <v>LA's provide quarterly data on the condition that it is used by the benchmarking group for internal reporting only. Please DO NOT share other LA's data with any external partners or the public</v>
      </c>
      <c r="B70" s="1021"/>
      <c r="C70" s="1021"/>
      <c r="D70" s="1021"/>
      <c r="E70" s="1021"/>
      <c r="F70" s="1021"/>
      <c r="G70" s="1021"/>
      <c r="H70" s="1021"/>
      <c r="I70" s="1022"/>
      <c r="J70" s="1021"/>
      <c r="K70" s="1021"/>
      <c r="L70" s="1021"/>
      <c r="M70" s="1021"/>
      <c r="N70" s="1021"/>
      <c r="O70" s="1021"/>
      <c r="P70" s="1021"/>
      <c r="Q70" s="1021"/>
      <c r="R70" s="1021"/>
      <c r="S70" s="1022"/>
      <c r="T70" s="1021"/>
      <c r="U70" s="1023"/>
      <c r="V70" s="152"/>
      <c r="W70" s="168"/>
      <c r="X70" s="47" t="e">
        <f ca="1">IF(OFFSET(K8,$X$4,0)=0,NA(),OFFSET(K8,$X$4,0))</f>
        <v>#N/A</v>
      </c>
      <c r="Y70" s="248" t="e">
        <f ca="1">IF(OFFSET(L8,$X$4,0)=0,NA(),OFFSET(L8,$X$4,0))</f>
        <v>#N/A</v>
      </c>
      <c r="Z70" s="47" t="e">
        <f ca="1">IF(OFFSET(M8,$X$4,0)=0,NA(),OFFSET(M8,$X$4,0))</f>
        <v>#N/A</v>
      </c>
      <c r="AA70" s="47" t="e">
        <f ca="1">IF(OFFSET(N8,$X$4,0)=0,NA(),OFFSET(N8,$X$4,0))</f>
        <v>#N/A</v>
      </c>
      <c r="AB70" s="47" t="e">
        <f ca="1">IF(OFFSET(O8,$X$4,0)=0,NA(),OFFSET(O8,$X$4,0))</f>
        <v>#N/A</v>
      </c>
      <c r="AI70" s="210"/>
      <c r="AJ70" s="175"/>
    </row>
    <row r="71" spans="1:44" ht="11.25" customHeight="1" x14ac:dyDescent="0.2">
      <c r="A71" s="129"/>
      <c r="B71" s="130"/>
      <c r="C71" s="130"/>
      <c r="D71" s="130"/>
      <c r="E71" s="130"/>
      <c r="F71" s="130"/>
      <c r="G71" s="130"/>
      <c r="H71" s="130"/>
      <c r="I71" s="130"/>
      <c r="J71" s="131"/>
      <c r="K71" s="130"/>
      <c r="L71" s="130"/>
      <c r="M71" s="130"/>
      <c r="N71" s="130"/>
      <c r="O71" s="130"/>
      <c r="P71" s="130"/>
      <c r="Q71" s="130"/>
      <c r="R71" s="130"/>
      <c r="S71" s="130"/>
      <c r="T71" s="130"/>
      <c r="U71" s="132"/>
      <c r="V71" s="152"/>
      <c r="W71" s="168"/>
      <c r="X71" s="215"/>
      <c r="Y71" s="215"/>
      <c r="Z71" s="215"/>
      <c r="AI71" s="210"/>
      <c r="AJ71" s="175"/>
    </row>
    <row r="72" spans="1:44" s="82" customFormat="1" ht="15" customHeight="1" x14ac:dyDescent="0.2">
      <c r="A72" s="136"/>
      <c r="B72" s="60"/>
      <c r="C72" s="428"/>
      <c r="D72" s="428"/>
      <c r="E72" s="428"/>
      <c r="F72" s="428"/>
      <c r="G72" s="428"/>
      <c r="H72" s="428"/>
      <c r="I72" s="428"/>
      <c r="J72" s="70"/>
      <c r="K72" s="70"/>
      <c r="L72" s="70"/>
      <c r="M72" s="70"/>
      <c r="N72" s="425"/>
      <c r="O72" s="70"/>
      <c r="P72" s="70"/>
      <c r="Q72" s="70"/>
      <c r="R72" s="70"/>
      <c r="S72" s="70"/>
      <c r="T72" s="70"/>
      <c r="U72" s="137"/>
      <c r="V72" s="153"/>
      <c r="W72" s="169"/>
      <c r="X72" s="215"/>
      <c r="Y72" s="215"/>
      <c r="Z72" s="215"/>
      <c r="AA72" s="215"/>
      <c r="AB72" s="215"/>
      <c r="AC72" s="215"/>
      <c r="AD72" s="215"/>
      <c r="AE72" s="215"/>
      <c r="AF72" s="215"/>
      <c r="AG72" s="215"/>
      <c r="AH72" s="215"/>
      <c r="AI72" s="215"/>
      <c r="AJ72" s="176"/>
    </row>
    <row r="73" spans="1:44" ht="13.5" customHeight="1" x14ac:dyDescent="0.2">
      <c r="A73" s="135"/>
      <c r="B73" s="428"/>
      <c r="C73" s="428"/>
      <c r="D73" s="428"/>
      <c r="E73" s="428"/>
      <c r="F73" s="428"/>
      <c r="G73" s="428"/>
      <c r="H73" s="428"/>
      <c r="I73" s="428"/>
      <c r="J73" s="70"/>
      <c r="K73" s="70"/>
      <c r="L73" s="70"/>
      <c r="M73" s="70"/>
      <c r="N73" s="425"/>
      <c r="O73" s="70"/>
      <c r="P73" s="70"/>
      <c r="Q73" s="10"/>
      <c r="R73" s="70"/>
      <c r="S73" s="70"/>
      <c r="T73" s="70"/>
      <c r="U73" s="134"/>
      <c r="V73" s="152"/>
      <c r="W73" s="168"/>
      <c r="X73" s="215"/>
      <c r="Y73" s="215"/>
      <c r="Z73" s="223"/>
      <c r="AA73" s="223"/>
      <c r="AB73" s="224"/>
      <c r="AC73" s="224"/>
      <c r="AI73" s="210"/>
      <c r="AJ73" s="175"/>
    </row>
    <row r="74" spans="1:44" s="101" customFormat="1" ht="12" customHeight="1" x14ac:dyDescent="0.2">
      <c r="A74" s="138"/>
      <c r="B74" s="428"/>
      <c r="C74" s="428"/>
      <c r="D74" s="428"/>
      <c r="E74" s="428"/>
      <c r="F74" s="428"/>
      <c r="G74" s="428"/>
      <c r="H74" s="428"/>
      <c r="I74" s="115"/>
      <c r="J74" s="115"/>
      <c r="K74" s="62"/>
      <c r="L74" s="62"/>
      <c r="M74" s="62"/>
      <c r="N74" s="62"/>
      <c r="O74" s="62"/>
      <c r="P74" s="434"/>
      <c r="Q74" s="434"/>
      <c r="R74" s="177"/>
      <c r="S74" s="177"/>
      <c r="T74" s="433"/>
      <c r="U74" s="139"/>
      <c r="V74" s="154"/>
      <c r="W74" s="170"/>
      <c r="X74" s="215"/>
      <c r="Y74" s="215"/>
      <c r="Z74" s="223"/>
      <c r="AA74" s="223"/>
      <c r="AB74" s="224"/>
      <c r="AC74" s="224"/>
      <c r="AD74" s="226"/>
      <c r="AE74" s="217"/>
      <c r="AF74" s="217"/>
      <c r="AG74" s="217"/>
      <c r="AH74" s="217"/>
      <c r="AI74" s="232"/>
      <c r="AJ74" s="178"/>
    </row>
    <row r="75" spans="1:44" s="101" customFormat="1" ht="24" customHeight="1" x14ac:dyDescent="0.2">
      <c r="A75" s="138"/>
      <c r="B75" s="428"/>
      <c r="C75" s="428"/>
      <c r="D75" s="428"/>
      <c r="E75" s="428"/>
      <c r="F75" s="428"/>
      <c r="G75" s="428"/>
      <c r="H75" s="428"/>
      <c r="I75" s="115"/>
      <c r="J75" s="115"/>
      <c r="K75" s="186"/>
      <c r="L75" s="186"/>
      <c r="M75" s="186"/>
      <c r="N75" s="186"/>
      <c r="O75" s="186"/>
      <c r="P75" s="186"/>
      <c r="Q75" s="187"/>
      <c r="R75" s="177"/>
      <c r="S75" s="177"/>
      <c r="T75" s="186"/>
      <c r="U75" s="139"/>
      <c r="V75" s="154"/>
      <c r="W75" s="170"/>
      <c r="Y75" s="403" t="s">
        <v>133</v>
      </c>
      <c r="Z75" s="404" t="s">
        <v>134</v>
      </c>
      <c r="AA75" s="223"/>
      <c r="AB75" s="224"/>
      <c r="AC75" s="224"/>
      <c r="AD75" s="226"/>
      <c r="AE75" s="217"/>
      <c r="AF75" s="217"/>
      <c r="AG75" s="217"/>
      <c r="AH75" s="217"/>
      <c r="AI75" s="232"/>
      <c r="AJ75" s="178"/>
    </row>
    <row r="76" spans="1:44" s="101" customFormat="1" ht="12.75" customHeight="1" x14ac:dyDescent="0.2">
      <c r="A76" s="138"/>
      <c r="B76" s="428"/>
      <c r="C76" s="428"/>
      <c r="D76" s="428"/>
      <c r="E76" s="428"/>
      <c r="F76" s="428"/>
      <c r="G76" s="428"/>
      <c r="H76" s="428"/>
      <c r="I76" s="115"/>
      <c r="J76" s="115"/>
      <c r="K76" s="186"/>
      <c r="L76" s="186"/>
      <c r="M76" s="186"/>
      <c r="N76" s="186"/>
      <c r="O76" s="186"/>
      <c r="P76" s="186"/>
      <c r="Q76" s="187"/>
      <c r="R76" s="177"/>
      <c r="S76" s="177"/>
      <c r="T76" s="186"/>
      <c r="U76" s="139"/>
      <c r="V76" s="154"/>
      <c r="W76" s="170"/>
      <c r="X76" s="405" t="str">
        <f>B9</f>
        <v>Bracknell Forest</v>
      </c>
      <c r="Y76" s="406" t="e">
        <f>IF(X76=$Y$4,I9,#N/A)</f>
        <v>#N/A</v>
      </c>
      <c r="Z76" s="406" t="e">
        <f>IF(X76=$Y$4,T9,#N/A)</f>
        <v>#N/A</v>
      </c>
      <c r="AA76" s="223"/>
      <c r="AB76" s="224"/>
      <c r="AC76" s="224"/>
      <c r="AD76" s="226"/>
      <c r="AE76" s="217"/>
      <c r="AF76" s="217"/>
      <c r="AG76" s="217"/>
      <c r="AH76" s="217"/>
      <c r="AI76" s="232"/>
      <c r="AJ76" s="178"/>
    </row>
    <row r="77" spans="1:44" s="101" customFormat="1" ht="12.75" customHeight="1" x14ac:dyDescent="0.2">
      <c r="A77" s="138"/>
      <c r="B77" s="428"/>
      <c r="C77" s="428"/>
      <c r="D77" s="428"/>
      <c r="E77" s="428"/>
      <c r="F77" s="428"/>
      <c r="G77" s="428"/>
      <c r="H77" s="428"/>
      <c r="I77" s="115"/>
      <c r="J77" s="115"/>
      <c r="K77" s="186"/>
      <c r="L77" s="186"/>
      <c r="M77" s="186"/>
      <c r="N77" s="186"/>
      <c r="O77" s="186"/>
      <c r="P77" s="186"/>
      <c r="Q77" s="187"/>
      <c r="R77" s="177"/>
      <c r="S77" s="177"/>
      <c r="T77" s="186"/>
      <c r="U77" s="139"/>
      <c r="V77" s="154"/>
      <c r="W77" s="170"/>
      <c r="X77" s="405" t="str">
        <f t="shared" ref="X77:X97" si="35">B10</f>
        <v>Brighton &amp; Hove</v>
      </c>
      <c r="Y77" s="406" t="e">
        <f t="shared" ref="Y77:Y99" si="36">IF(X77=$Y$4,I10,#N/A)</f>
        <v>#N/A</v>
      </c>
      <c r="Z77" s="406" t="e">
        <f t="shared" ref="Z77:Z99" si="37">IF(X77=$Y$4,T10,#N/A)</f>
        <v>#N/A</v>
      </c>
      <c r="AA77" s="223"/>
      <c r="AB77" s="224"/>
      <c r="AC77" s="224"/>
      <c r="AD77" s="226"/>
      <c r="AE77" s="217"/>
      <c r="AF77" s="217"/>
      <c r="AG77" s="217"/>
      <c r="AH77" s="217"/>
      <c r="AI77" s="232"/>
      <c r="AJ77" s="178"/>
    </row>
    <row r="78" spans="1:44" s="101" customFormat="1" ht="12.75" customHeight="1" x14ac:dyDescent="0.2">
      <c r="A78" s="138"/>
      <c r="B78" s="428"/>
      <c r="C78" s="428"/>
      <c r="D78" s="428"/>
      <c r="E78" s="428"/>
      <c r="F78" s="428"/>
      <c r="G78" s="428"/>
      <c r="H78" s="428"/>
      <c r="I78" s="115"/>
      <c r="J78" s="115"/>
      <c r="K78" s="186"/>
      <c r="L78" s="186"/>
      <c r="M78" s="186"/>
      <c r="N78" s="186"/>
      <c r="O78" s="186"/>
      <c r="P78" s="186"/>
      <c r="Q78" s="187"/>
      <c r="R78" s="177"/>
      <c r="S78" s="177"/>
      <c r="T78" s="186"/>
      <c r="U78" s="139"/>
      <c r="V78" s="154"/>
      <c r="W78" s="170"/>
      <c r="X78" s="405" t="str">
        <f t="shared" si="35"/>
        <v>Buckinghamshire</v>
      </c>
      <c r="Y78" s="406" t="e">
        <f t="shared" si="36"/>
        <v>#N/A</v>
      </c>
      <c r="Z78" s="406" t="e">
        <f t="shared" si="37"/>
        <v>#N/A</v>
      </c>
      <c r="AA78" s="223"/>
      <c r="AB78" s="224"/>
      <c r="AC78" s="224"/>
      <c r="AD78" s="226"/>
      <c r="AE78" s="217"/>
      <c r="AF78" s="217"/>
      <c r="AG78" s="217"/>
      <c r="AH78" s="217"/>
      <c r="AI78" s="232"/>
      <c r="AJ78" s="178"/>
    </row>
    <row r="79" spans="1:44" s="101" customFormat="1" ht="12.75" customHeight="1" x14ac:dyDescent="0.2">
      <c r="A79" s="138"/>
      <c r="B79" s="428"/>
      <c r="C79" s="428"/>
      <c r="D79" s="428"/>
      <c r="E79" s="428"/>
      <c r="F79" s="428"/>
      <c r="G79" s="428"/>
      <c r="H79" s="428"/>
      <c r="I79" s="115"/>
      <c r="J79" s="115"/>
      <c r="K79" s="186"/>
      <c r="L79" s="186"/>
      <c r="M79" s="186"/>
      <c r="N79" s="186"/>
      <c r="O79" s="186"/>
      <c r="P79" s="186"/>
      <c r="Q79" s="187"/>
      <c r="R79" s="177"/>
      <c r="S79" s="177"/>
      <c r="T79" s="186"/>
      <c r="U79" s="139"/>
      <c r="V79" s="154"/>
      <c r="W79" s="170"/>
      <c r="X79" s="405" t="str">
        <f t="shared" si="35"/>
        <v>East Sussex</v>
      </c>
      <c r="Y79" s="406" t="e">
        <f t="shared" si="36"/>
        <v>#N/A</v>
      </c>
      <c r="Z79" s="406" t="e">
        <f t="shared" si="37"/>
        <v>#N/A</v>
      </c>
      <c r="AA79" s="223"/>
      <c r="AB79" s="224"/>
      <c r="AC79" s="224"/>
      <c r="AD79" s="226"/>
      <c r="AE79" s="217"/>
      <c r="AF79" s="217"/>
      <c r="AG79" s="217"/>
      <c r="AH79" s="217"/>
      <c r="AI79" s="232"/>
      <c r="AJ79" s="178"/>
    </row>
    <row r="80" spans="1:44" s="101" customFormat="1" ht="12.75" customHeight="1" x14ac:dyDescent="0.2">
      <c r="A80" s="138"/>
      <c r="B80" s="428"/>
      <c r="C80" s="428"/>
      <c r="D80" s="428"/>
      <c r="E80" s="428"/>
      <c r="F80" s="428"/>
      <c r="G80" s="428"/>
      <c r="H80" s="428"/>
      <c r="I80" s="115"/>
      <c r="J80" s="115"/>
      <c r="K80" s="186"/>
      <c r="L80" s="186"/>
      <c r="M80" s="186"/>
      <c r="N80" s="186"/>
      <c r="O80" s="186"/>
      <c r="P80" s="186"/>
      <c r="Q80" s="187"/>
      <c r="R80" s="177"/>
      <c r="S80" s="177"/>
      <c r="T80" s="186"/>
      <c r="U80" s="139"/>
      <c r="V80" s="154"/>
      <c r="W80" s="170"/>
      <c r="X80" s="405" t="str">
        <f t="shared" si="35"/>
        <v>Hampshire</v>
      </c>
      <c r="Y80" s="406" t="e">
        <f t="shared" si="36"/>
        <v>#N/A</v>
      </c>
      <c r="Z80" s="406" t="e">
        <f t="shared" si="37"/>
        <v>#N/A</v>
      </c>
      <c r="AA80" s="223"/>
      <c r="AB80" s="224"/>
      <c r="AC80" s="224"/>
      <c r="AD80" s="226"/>
      <c r="AE80" s="217"/>
      <c r="AF80" s="217"/>
      <c r="AG80" s="217"/>
      <c r="AH80" s="217"/>
      <c r="AI80" s="232"/>
      <c r="AJ80" s="178"/>
      <c r="AR80" s="101" t="s">
        <v>104</v>
      </c>
    </row>
    <row r="81" spans="1:36" s="101" customFormat="1" ht="12.75" customHeight="1" x14ac:dyDescent="0.2">
      <c r="A81" s="138"/>
      <c r="B81" s="428"/>
      <c r="C81" s="428"/>
      <c r="D81" s="428"/>
      <c r="E81" s="428"/>
      <c r="F81" s="428"/>
      <c r="G81" s="428"/>
      <c r="H81" s="428"/>
      <c r="I81" s="115"/>
      <c r="J81" s="115"/>
      <c r="K81" s="186"/>
      <c r="L81" s="186"/>
      <c r="M81" s="186"/>
      <c r="N81" s="186"/>
      <c r="O81" s="186"/>
      <c r="P81" s="186"/>
      <c r="Q81" s="187"/>
      <c r="R81" s="177"/>
      <c r="S81" s="177"/>
      <c r="T81" s="186"/>
      <c r="U81" s="139"/>
      <c r="V81" s="154"/>
      <c r="W81" s="170"/>
      <c r="X81" s="405" t="str">
        <f t="shared" si="35"/>
        <v>Isle of Wight</v>
      </c>
      <c r="Y81" s="406" t="e">
        <f t="shared" si="36"/>
        <v>#N/A</v>
      </c>
      <c r="Z81" s="406" t="e">
        <f t="shared" si="37"/>
        <v>#N/A</v>
      </c>
      <c r="AA81" s="223"/>
      <c r="AB81" s="224"/>
      <c r="AC81" s="224"/>
      <c r="AD81" s="226"/>
      <c r="AE81" s="217"/>
      <c r="AF81" s="217"/>
      <c r="AG81" s="217"/>
      <c r="AH81" s="217"/>
      <c r="AI81" s="232"/>
      <c r="AJ81" s="178"/>
    </row>
    <row r="82" spans="1:36" s="101" customFormat="1" ht="12.75" customHeight="1" x14ac:dyDescent="0.2">
      <c r="A82" s="138"/>
      <c r="B82" s="428"/>
      <c r="C82" s="428"/>
      <c r="D82" s="428"/>
      <c r="E82" s="428"/>
      <c r="F82" s="428"/>
      <c r="G82" s="428"/>
      <c r="H82" s="428"/>
      <c r="I82" s="115"/>
      <c r="J82" s="115"/>
      <c r="K82" s="186"/>
      <c r="L82" s="186"/>
      <c r="M82" s="186"/>
      <c r="N82" s="186"/>
      <c r="O82" s="186"/>
      <c r="P82" s="186"/>
      <c r="Q82" s="187"/>
      <c r="R82" s="177"/>
      <c r="S82" s="177"/>
      <c r="T82" s="186"/>
      <c r="U82" s="139"/>
      <c r="V82" s="154"/>
      <c r="W82" s="170"/>
      <c r="X82" s="405" t="str">
        <f t="shared" si="35"/>
        <v>Kent</v>
      </c>
      <c r="Y82" s="406" t="e">
        <f t="shared" si="36"/>
        <v>#N/A</v>
      </c>
      <c r="Z82" s="406" t="e">
        <f t="shared" si="37"/>
        <v>#N/A</v>
      </c>
      <c r="AA82" s="223"/>
      <c r="AB82" s="224"/>
      <c r="AC82" s="224"/>
      <c r="AD82" s="226"/>
      <c r="AE82" s="217"/>
      <c r="AF82" s="217"/>
      <c r="AG82" s="217"/>
      <c r="AH82" s="217"/>
      <c r="AI82" s="232"/>
      <c r="AJ82" s="178"/>
    </row>
    <row r="83" spans="1:36" s="101" customFormat="1" ht="12.75" customHeight="1" x14ac:dyDescent="0.2">
      <c r="A83" s="138"/>
      <c r="B83" s="428"/>
      <c r="C83" s="428"/>
      <c r="D83" s="428"/>
      <c r="E83" s="428"/>
      <c r="F83" s="428"/>
      <c r="G83" s="428"/>
      <c r="H83" s="428"/>
      <c r="I83" s="115"/>
      <c r="J83" s="115"/>
      <c r="K83" s="186"/>
      <c r="L83" s="186"/>
      <c r="M83" s="186"/>
      <c r="N83" s="186"/>
      <c r="O83" s="186"/>
      <c r="P83" s="186"/>
      <c r="Q83" s="187"/>
      <c r="R83" s="177"/>
      <c r="S83" s="177"/>
      <c r="T83" s="186"/>
      <c r="U83" s="139"/>
      <c r="V83" s="154"/>
      <c r="W83" s="170"/>
      <c r="X83" s="405" t="str">
        <f t="shared" si="35"/>
        <v>Medway</v>
      </c>
      <c r="Y83" s="406" t="e">
        <f t="shared" si="36"/>
        <v>#N/A</v>
      </c>
      <c r="Z83" s="406" t="e">
        <f t="shared" si="37"/>
        <v>#N/A</v>
      </c>
      <c r="AA83" s="223"/>
      <c r="AB83" s="224"/>
      <c r="AC83" s="224"/>
      <c r="AD83" s="226"/>
      <c r="AE83" s="217"/>
      <c r="AF83" s="217"/>
      <c r="AG83" s="217"/>
      <c r="AH83" s="217"/>
      <c r="AI83" s="232"/>
      <c r="AJ83" s="178"/>
    </row>
    <row r="84" spans="1:36" s="101" customFormat="1" ht="12.75" customHeight="1" x14ac:dyDescent="0.2">
      <c r="A84" s="138"/>
      <c r="B84" s="428"/>
      <c r="C84" s="428"/>
      <c r="D84" s="428"/>
      <c r="E84" s="428"/>
      <c r="F84" s="428"/>
      <c r="G84" s="428"/>
      <c r="H84" s="428"/>
      <c r="I84" s="115"/>
      <c r="J84" s="115"/>
      <c r="K84" s="186"/>
      <c r="L84" s="186"/>
      <c r="M84" s="186"/>
      <c r="N84" s="186"/>
      <c r="O84" s="186"/>
      <c r="P84" s="186"/>
      <c r="Q84" s="187"/>
      <c r="R84" s="177"/>
      <c r="S84" s="177"/>
      <c r="T84" s="186"/>
      <c r="U84" s="139"/>
      <c r="V84" s="154"/>
      <c r="W84" s="170"/>
      <c r="X84" s="405" t="str">
        <f t="shared" si="35"/>
        <v>Milton Keynes</v>
      </c>
      <c r="Y84" s="406" t="e">
        <f t="shared" si="36"/>
        <v>#N/A</v>
      </c>
      <c r="Z84" s="406" t="e">
        <f t="shared" si="37"/>
        <v>#N/A</v>
      </c>
      <c r="AA84" s="223"/>
      <c r="AB84" s="224"/>
      <c r="AC84" s="224"/>
      <c r="AD84" s="226"/>
      <c r="AE84" s="217"/>
      <c r="AF84" s="217"/>
      <c r="AG84" s="217"/>
      <c r="AH84" s="217"/>
      <c r="AI84" s="232"/>
      <c r="AJ84" s="178"/>
    </row>
    <row r="85" spans="1:36" s="101" customFormat="1" ht="12.75" customHeight="1" x14ac:dyDescent="0.2">
      <c r="A85" s="138"/>
      <c r="B85" s="428"/>
      <c r="C85" s="428"/>
      <c r="D85" s="428"/>
      <c r="E85" s="428"/>
      <c r="F85" s="428"/>
      <c r="G85" s="428"/>
      <c r="H85" s="428"/>
      <c r="I85" s="115"/>
      <c r="J85" s="115"/>
      <c r="K85" s="186"/>
      <c r="L85" s="186"/>
      <c r="M85" s="186"/>
      <c r="N85" s="186"/>
      <c r="O85" s="186"/>
      <c r="P85" s="186"/>
      <c r="Q85" s="187"/>
      <c r="R85" s="177"/>
      <c r="S85" s="177"/>
      <c r="T85" s="186"/>
      <c r="U85" s="139"/>
      <c r="V85" s="154"/>
      <c r="W85" s="170"/>
      <c r="X85" s="405" t="str">
        <f t="shared" si="35"/>
        <v>Oxfordshire</v>
      </c>
      <c r="Y85" s="406" t="e">
        <f t="shared" si="36"/>
        <v>#N/A</v>
      </c>
      <c r="Z85" s="406" t="e">
        <f t="shared" si="37"/>
        <v>#N/A</v>
      </c>
      <c r="AA85" s="223"/>
      <c r="AB85" s="224"/>
      <c r="AC85" s="224"/>
      <c r="AD85" s="226"/>
      <c r="AE85" s="217"/>
      <c r="AF85" s="217"/>
      <c r="AG85" s="217"/>
      <c r="AH85" s="217"/>
      <c r="AI85" s="232"/>
      <c r="AJ85" s="178"/>
    </row>
    <row r="86" spans="1:36" s="101" customFormat="1" ht="12.75" customHeight="1" x14ac:dyDescent="0.2">
      <c r="A86" s="138"/>
      <c r="B86" s="428"/>
      <c r="C86" s="428"/>
      <c r="D86" s="428"/>
      <c r="E86" s="428"/>
      <c r="F86" s="428"/>
      <c r="G86" s="428"/>
      <c r="H86" s="428"/>
      <c r="I86" s="115"/>
      <c r="J86" s="115"/>
      <c r="K86" s="186"/>
      <c r="L86" s="186"/>
      <c r="M86" s="186"/>
      <c r="N86" s="186"/>
      <c r="O86" s="186"/>
      <c r="P86" s="186"/>
      <c r="Q86" s="187"/>
      <c r="R86" s="177"/>
      <c r="S86" s="177"/>
      <c r="T86" s="186"/>
      <c r="U86" s="139"/>
      <c r="V86" s="154"/>
      <c r="W86" s="170"/>
      <c r="X86" s="405" t="str">
        <f t="shared" si="35"/>
        <v>Portsmouth</v>
      </c>
      <c r="Y86" s="406" t="e">
        <f t="shared" si="36"/>
        <v>#N/A</v>
      </c>
      <c r="Z86" s="406" t="e">
        <f t="shared" si="37"/>
        <v>#N/A</v>
      </c>
      <c r="AA86" s="223"/>
      <c r="AB86" s="224"/>
      <c r="AC86" s="224"/>
      <c r="AD86" s="226"/>
      <c r="AE86" s="217"/>
      <c r="AF86" s="217"/>
      <c r="AG86" s="217"/>
      <c r="AH86" s="217"/>
      <c r="AI86" s="232"/>
      <c r="AJ86" s="178"/>
    </row>
    <row r="87" spans="1:36" s="101" customFormat="1" ht="12.75" customHeight="1" x14ac:dyDescent="0.2">
      <c r="A87" s="138"/>
      <c r="B87" s="428"/>
      <c r="C87" s="428"/>
      <c r="D87" s="428"/>
      <c r="E87" s="428"/>
      <c r="F87" s="428"/>
      <c r="G87" s="428"/>
      <c r="H87" s="428"/>
      <c r="I87" s="115"/>
      <c r="J87" s="115"/>
      <c r="K87" s="186"/>
      <c r="L87" s="186"/>
      <c r="M87" s="186"/>
      <c r="N87" s="186"/>
      <c r="O87" s="186"/>
      <c r="P87" s="186"/>
      <c r="Q87" s="187"/>
      <c r="R87" s="177"/>
      <c r="S87" s="177"/>
      <c r="T87" s="186"/>
      <c r="U87" s="139"/>
      <c r="V87" s="154"/>
      <c r="W87" s="170"/>
      <c r="X87" s="405" t="str">
        <f t="shared" si="35"/>
        <v>Reading</v>
      </c>
      <c r="Y87" s="406" t="e">
        <f t="shared" si="36"/>
        <v>#N/A</v>
      </c>
      <c r="Z87" s="406" t="e">
        <f t="shared" si="37"/>
        <v>#N/A</v>
      </c>
      <c r="AA87" s="223"/>
      <c r="AB87" s="224"/>
      <c r="AC87" s="224"/>
      <c r="AD87" s="226"/>
      <c r="AE87" s="217"/>
      <c r="AF87" s="217"/>
      <c r="AG87" s="217"/>
      <c r="AH87" s="217"/>
      <c r="AI87" s="232"/>
      <c r="AJ87" s="178"/>
    </row>
    <row r="88" spans="1:36" s="101" customFormat="1" ht="12.75" customHeight="1" x14ac:dyDescent="0.2">
      <c r="A88" s="138"/>
      <c r="B88" s="428"/>
      <c r="C88" s="428"/>
      <c r="D88" s="428"/>
      <c r="E88" s="428"/>
      <c r="F88" s="428"/>
      <c r="G88" s="428"/>
      <c r="H88" s="428"/>
      <c r="I88" s="115"/>
      <c r="J88" s="115"/>
      <c r="K88" s="186"/>
      <c r="L88" s="186"/>
      <c r="M88" s="186"/>
      <c r="N88" s="186"/>
      <c r="O88" s="186"/>
      <c r="P88" s="186"/>
      <c r="Q88" s="187"/>
      <c r="R88" s="177"/>
      <c r="S88" s="177"/>
      <c r="T88" s="186"/>
      <c r="U88" s="139"/>
      <c r="V88" s="154"/>
      <c r="W88" s="170"/>
      <c r="X88" s="405" t="str">
        <f t="shared" si="35"/>
        <v>Slough</v>
      </c>
      <c r="Y88" s="406" t="e">
        <f t="shared" si="36"/>
        <v>#N/A</v>
      </c>
      <c r="Z88" s="406" t="e">
        <f t="shared" si="37"/>
        <v>#N/A</v>
      </c>
      <c r="AA88" s="223"/>
      <c r="AB88" s="224"/>
      <c r="AC88" s="224"/>
      <c r="AD88" s="226"/>
      <c r="AE88" s="217"/>
      <c r="AF88" s="217"/>
      <c r="AG88" s="217"/>
      <c r="AH88" s="217"/>
      <c r="AI88" s="232"/>
      <c r="AJ88" s="178"/>
    </row>
    <row r="89" spans="1:36" s="101" customFormat="1" ht="12.75" customHeight="1" x14ac:dyDescent="0.2">
      <c r="A89" s="138"/>
      <c r="B89" s="428"/>
      <c r="C89" s="428"/>
      <c r="D89" s="428"/>
      <c r="E89" s="428"/>
      <c r="F89" s="428"/>
      <c r="G89" s="428"/>
      <c r="H89" s="428"/>
      <c r="I89" s="115"/>
      <c r="J89" s="115"/>
      <c r="K89" s="186"/>
      <c r="L89" s="186"/>
      <c r="M89" s="186"/>
      <c r="N89" s="186"/>
      <c r="O89" s="186"/>
      <c r="P89" s="186"/>
      <c r="Q89" s="187"/>
      <c r="R89" s="177"/>
      <c r="S89" s="177"/>
      <c r="T89" s="186"/>
      <c r="U89" s="139"/>
      <c r="V89" s="154"/>
      <c r="W89" s="170"/>
      <c r="X89" s="405" t="str">
        <f t="shared" si="35"/>
        <v>Somerset</v>
      </c>
      <c r="Y89" s="406" t="e">
        <f t="shared" si="36"/>
        <v>#N/A</v>
      </c>
      <c r="Z89" s="406" t="e">
        <f t="shared" si="37"/>
        <v>#N/A</v>
      </c>
      <c r="AA89" s="223"/>
      <c r="AB89" s="224"/>
      <c r="AC89" s="224"/>
      <c r="AD89" s="226"/>
      <c r="AE89" s="217"/>
      <c r="AF89" s="217"/>
      <c r="AG89" s="217"/>
      <c r="AH89" s="217"/>
      <c r="AI89" s="232"/>
      <c r="AJ89" s="178"/>
    </row>
    <row r="90" spans="1:36" s="101" customFormat="1" ht="12.75" customHeight="1" x14ac:dyDescent="0.2">
      <c r="A90" s="138"/>
      <c r="B90" s="428"/>
      <c r="C90" s="428"/>
      <c r="D90" s="428"/>
      <c r="E90" s="428"/>
      <c r="F90" s="428"/>
      <c r="G90" s="428"/>
      <c r="H90" s="428"/>
      <c r="I90" s="115"/>
      <c r="J90" s="115"/>
      <c r="K90" s="186"/>
      <c r="L90" s="186"/>
      <c r="M90" s="186"/>
      <c r="N90" s="186"/>
      <c r="O90" s="186"/>
      <c r="P90" s="186"/>
      <c r="Q90" s="187"/>
      <c r="R90" s="177"/>
      <c r="S90" s="177"/>
      <c r="T90" s="186"/>
      <c r="U90" s="139"/>
      <c r="V90" s="154"/>
      <c r="W90" s="170"/>
      <c r="X90" s="405" t="str">
        <f t="shared" si="35"/>
        <v>Southampton</v>
      </c>
      <c r="Y90" s="406" t="e">
        <f t="shared" si="36"/>
        <v>#N/A</v>
      </c>
      <c r="Z90" s="406" t="e">
        <f t="shared" si="37"/>
        <v>#N/A</v>
      </c>
      <c r="AA90" s="223"/>
      <c r="AB90" s="224"/>
      <c r="AC90" s="224"/>
      <c r="AD90" s="226"/>
      <c r="AE90" s="217"/>
      <c r="AF90" s="217"/>
      <c r="AG90" s="217"/>
      <c r="AH90" s="217"/>
      <c r="AI90" s="232"/>
      <c r="AJ90" s="178"/>
    </row>
    <row r="91" spans="1:36" s="101" customFormat="1" ht="12.75" customHeight="1" x14ac:dyDescent="0.2">
      <c r="A91" s="324"/>
      <c r="B91" s="428"/>
      <c r="C91" s="428"/>
      <c r="D91" s="428"/>
      <c r="E91" s="428"/>
      <c r="F91" s="428"/>
      <c r="G91" s="428"/>
      <c r="H91" s="428"/>
      <c r="I91" s="115"/>
      <c r="J91" s="115"/>
      <c r="K91" s="186"/>
      <c r="L91" s="186"/>
      <c r="M91" s="186"/>
      <c r="N91" s="186"/>
      <c r="O91" s="186"/>
      <c r="P91" s="186"/>
      <c r="Q91" s="187"/>
      <c r="R91" s="177"/>
      <c r="S91" s="177"/>
      <c r="T91" s="186"/>
      <c r="U91" s="139"/>
      <c r="V91" s="154"/>
      <c r="W91" s="170"/>
      <c r="X91" s="405" t="str">
        <f t="shared" si="35"/>
        <v>Surrey</v>
      </c>
      <c r="Y91" s="406" t="e">
        <f t="shared" si="36"/>
        <v>#N/A</v>
      </c>
      <c r="Z91" s="406" t="e">
        <f t="shared" si="37"/>
        <v>#N/A</v>
      </c>
      <c r="AA91" s="223"/>
      <c r="AB91" s="224"/>
      <c r="AC91" s="224"/>
      <c r="AD91" s="226"/>
      <c r="AE91" s="217"/>
      <c r="AF91" s="217"/>
      <c r="AG91" s="217"/>
      <c r="AH91" s="217"/>
      <c r="AI91" s="232"/>
      <c r="AJ91" s="178"/>
    </row>
    <row r="92" spans="1:36" s="101" customFormat="1" ht="12.75" customHeight="1" x14ac:dyDescent="0.2">
      <c r="A92" s="324"/>
      <c r="B92" s="428"/>
      <c r="C92" s="428"/>
      <c r="D92" s="428"/>
      <c r="E92" s="428"/>
      <c r="F92" s="428"/>
      <c r="G92" s="428"/>
      <c r="H92" s="428"/>
      <c r="I92" s="115"/>
      <c r="J92" s="115"/>
      <c r="K92" s="186"/>
      <c r="L92" s="186"/>
      <c r="M92" s="186"/>
      <c r="N92" s="186"/>
      <c r="O92" s="186"/>
      <c r="P92" s="186"/>
      <c r="Q92" s="187"/>
      <c r="R92" s="177"/>
      <c r="S92" s="177"/>
      <c r="T92" s="186"/>
      <c r="U92" s="139"/>
      <c r="V92" s="154"/>
      <c r="W92" s="170"/>
      <c r="X92" s="405" t="str">
        <f t="shared" si="35"/>
        <v>Swindon</v>
      </c>
      <c r="Y92" s="406" t="e">
        <f t="shared" si="36"/>
        <v>#N/A</v>
      </c>
      <c r="Z92" s="406" t="e">
        <f t="shared" si="37"/>
        <v>#N/A</v>
      </c>
      <c r="AA92" s="223"/>
      <c r="AB92" s="224"/>
      <c r="AC92" s="224"/>
      <c r="AD92" s="226"/>
      <c r="AE92" s="217"/>
      <c r="AF92" s="217"/>
      <c r="AG92" s="217"/>
      <c r="AH92" s="217"/>
      <c r="AI92" s="232"/>
      <c r="AJ92" s="178"/>
    </row>
    <row r="93" spans="1:36" s="101" customFormat="1" ht="12.75" customHeight="1" x14ac:dyDescent="0.2">
      <c r="A93" s="138"/>
      <c r="B93" s="428"/>
      <c r="C93" s="428"/>
      <c r="D93" s="428"/>
      <c r="E93" s="428"/>
      <c r="F93" s="428"/>
      <c r="G93" s="428"/>
      <c r="H93" s="428"/>
      <c r="I93" s="115"/>
      <c r="J93" s="115"/>
      <c r="K93" s="186"/>
      <c r="L93" s="186"/>
      <c r="M93" s="186"/>
      <c r="N93" s="186"/>
      <c r="O93" s="186"/>
      <c r="P93" s="186"/>
      <c r="Q93" s="187"/>
      <c r="R93" s="177"/>
      <c r="S93" s="177"/>
      <c r="T93" s="186"/>
      <c r="U93" s="139"/>
      <c r="V93" s="154"/>
      <c r="W93" s="170"/>
      <c r="X93" s="405" t="str">
        <f t="shared" si="35"/>
        <v>Torbay</v>
      </c>
      <c r="Y93" s="406" t="e">
        <f t="shared" si="36"/>
        <v>#N/A</v>
      </c>
      <c r="Z93" s="406" t="e">
        <f t="shared" si="37"/>
        <v>#N/A</v>
      </c>
      <c r="AA93" s="223"/>
      <c r="AB93" s="224"/>
      <c r="AC93" s="224"/>
      <c r="AD93" s="226"/>
      <c r="AE93" s="232"/>
      <c r="AF93" s="217"/>
      <c r="AG93" s="217"/>
      <c r="AH93" s="217"/>
      <c r="AI93" s="232"/>
      <c r="AJ93" s="178"/>
    </row>
    <row r="94" spans="1:36" s="101" customFormat="1" ht="12.75" customHeight="1" x14ac:dyDescent="0.2">
      <c r="A94" s="138"/>
      <c r="B94" s="428"/>
      <c r="C94" s="428"/>
      <c r="D94" s="428"/>
      <c r="E94" s="428"/>
      <c r="F94" s="428"/>
      <c r="G94" s="428"/>
      <c r="H94" s="428"/>
      <c r="I94" s="115"/>
      <c r="J94" s="115"/>
      <c r="K94" s="186"/>
      <c r="L94" s="186"/>
      <c r="M94" s="186"/>
      <c r="N94" s="186"/>
      <c r="O94" s="186"/>
      <c r="P94" s="186"/>
      <c r="Q94" s="187"/>
      <c r="R94" s="177"/>
      <c r="S94" s="177"/>
      <c r="T94" s="186"/>
      <c r="U94" s="139"/>
      <c r="V94" s="154"/>
      <c r="W94" s="170"/>
      <c r="X94" s="405" t="str">
        <f t="shared" si="35"/>
        <v>West Berkshire</v>
      </c>
      <c r="Y94" s="406" t="e">
        <f t="shared" si="36"/>
        <v>#N/A</v>
      </c>
      <c r="Z94" s="406" t="e">
        <f t="shared" si="37"/>
        <v>#N/A</v>
      </c>
      <c r="AA94" s="223"/>
      <c r="AB94" s="224"/>
      <c r="AC94" s="224"/>
      <c r="AD94" s="226"/>
      <c r="AE94" s="232"/>
      <c r="AF94" s="217"/>
      <c r="AG94" s="217"/>
      <c r="AH94" s="217"/>
      <c r="AI94" s="232"/>
      <c r="AJ94" s="178"/>
    </row>
    <row r="95" spans="1:36" s="101" customFormat="1" ht="12.75" customHeight="1" x14ac:dyDescent="0.2">
      <c r="A95" s="138"/>
      <c r="B95" s="428"/>
      <c r="C95" s="428"/>
      <c r="D95" s="428"/>
      <c r="E95" s="428"/>
      <c r="F95" s="428"/>
      <c r="G95" s="428"/>
      <c r="H95" s="428"/>
      <c r="I95" s="115"/>
      <c r="J95" s="115"/>
      <c r="K95" s="186"/>
      <c r="L95" s="186"/>
      <c r="M95" s="186"/>
      <c r="N95" s="186"/>
      <c r="O95" s="186"/>
      <c r="P95" s="186"/>
      <c r="Q95" s="187"/>
      <c r="R95" s="177"/>
      <c r="S95" s="177"/>
      <c r="T95" s="186"/>
      <c r="U95" s="139"/>
      <c r="V95" s="154"/>
      <c r="W95" s="170"/>
      <c r="X95" s="405" t="str">
        <f t="shared" si="35"/>
        <v>West Sussex</v>
      </c>
      <c r="Y95" s="406" t="e">
        <f t="shared" si="36"/>
        <v>#N/A</v>
      </c>
      <c r="Z95" s="406" t="e">
        <f t="shared" si="37"/>
        <v>#N/A</v>
      </c>
      <c r="AA95" s="223"/>
      <c r="AB95" s="224"/>
      <c r="AC95" s="224"/>
      <c r="AD95" s="226"/>
      <c r="AE95" s="232"/>
      <c r="AF95" s="232"/>
      <c r="AG95" s="232"/>
      <c r="AH95" s="217"/>
      <c r="AI95" s="232"/>
      <c r="AJ95" s="178"/>
    </row>
    <row r="96" spans="1:36" s="101" customFormat="1" ht="12.75" customHeight="1" x14ac:dyDescent="0.2">
      <c r="A96" s="138"/>
      <c r="B96" s="428"/>
      <c r="C96" s="428"/>
      <c r="D96" s="428"/>
      <c r="E96" s="428"/>
      <c r="F96" s="428"/>
      <c r="G96" s="428"/>
      <c r="H96" s="428"/>
      <c r="I96" s="115"/>
      <c r="J96" s="115"/>
      <c r="K96" s="186"/>
      <c r="L96" s="186"/>
      <c r="M96" s="186"/>
      <c r="N96" s="186"/>
      <c r="O96" s="186"/>
      <c r="P96" s="186"/>
      <c r="Q96" s="187"/>
      <c r="R96" s="177"/>
      <c r="S96" s="177"/>
      <c r="T96" s="186"/>
      <c r="U96" s="139"/>
      <c r="V96" s="154"/>
      <c r="W96" s="170"/>
      <c r="X96" s="405" t="str">
        <f t="shared" si="35"/>
        <v>Windsor &amp; Maidenhead</v>
      </c>
      <c r="Y96" s="406" t="e">
        <f t="shared" si="36"/>
        <v>#N/A</v>
      </c>
      <c r="Z96" s="406" t="e">
        <f t="shared" si="37"/>
        <v>#N/A</v>
      </c>
      <c r="AA96" s="223"/>
      <c r="AB96" s="224"/>
      <c r="AC96" s="224"/>
      <c r="AD96" s="226"/>
      <c r="AE96" s="232"/>
      <c r="AF96" s="232"/>
      <c r="AG96" s="232"/>
      <c r="AH96" s="217"/>
      <c r="AI96" s="232"/>
      <c r="AJ96" s="178"/>
    </row>
    <row r="97" spans="1:45" s="101" customFormat="1" ht="12.75" customHeight="1" x14ac:dyDescent="0.2">
      <c r="A97" s="138"/>
      <c r="B97" s="428"/>
      <c r="C97" s="428"/>
      <c r="D97" s="428"/>
      <c r="E97" s="428"/>
      <c r="F97" s="428"/>
      <c r="G97" s="428"/>
      <c r="H97" s="428"/>
      <c r="I97" s="115"/>
      <c r="J97" s="115"/>
      <c r="K97" s="188"/>
      <c r="L97" s="188"/>
      <c r="M97" s="188"/>
      <c r="N97" s="188"/>
      <c r="O97" s="188"/>
      <c r="P97" s="188"/>
      <c r="Q97" s="189"/>
      <c r="R97" s="177"/>
      <c r="S97" s="177"/>
      <c r="T97" s="190"/>
      <c r="U97" s="139"/>
      <c r="V97" s="154"/>
      <c r="W97" s="170"/>
      <c r="X97" s="405" t="str">
        <f t="shared" si="35"/>
        <v>Wokingham</v>
      </c>
      <c r="Y97" s="406" t="e">
        <f t="shared" si="36"/>
        <v>#N/A</v>
      </c>
      <c r="Z97" s="406" t="e">
        <f t="shared" si="37"/>
        <v>#N/A</v>
      </c>
      <c r="AA97" s="223"/>
      <c r="AB97" s="224"/>
      <c r="AC97" s="224"/>
      <c r="AD97" s="226"/>
      <c r="AE97" s="232"/>
      <c r="AF97" s="232"/>
      <c r="AG97" s="232"/>
      <c r="AH97" s="217"/>
      <c r="AI97" s="232"/>
      <c r="AJ97" s="178"/>
    </row>
    <row r="98" spans="1:45" s="101" customFormat="1" ht="12.75" customHeight="1" x14ac:dyDescent="0.2">
      <c r="A98" s="138"/>
      <c r="B98" s="428"/>
      <c r="C98" s="428"/>
      <c r="D98" s="428"/>
      <c r="E98" s="428"/>
      <c r="F98" s="428"/>
      <c r="G98" s="428"/>
      <c r="H98" s="428"/>
      <c r="I98" s="115"/>
      <c r="J98" s="115"/>
      <c r="K98" s="188"/>
      <c r="L98" s="188"/>
      <c r="M98" s="188"/>
      <c r="N98" s="188"/>
      <c r="O98" s="188"/>
      <c r="P98" s="188"/>
      <c r="Q98" s="189"/>
      <c r="R98" s="177"/>
      <c r="S98" s="177"/>
      <c r="T98" s="190"/>
      <c r="U98" s="139"/>
      <c r="V98" s="154"/>
      <c r="W98" s="170"/>
      <c r="X98" s="405" t="str">
        <f>B31</f>
        <v>South East</v>
      </c>
      <c r="Y98" s="406" t="e">
        <f t="shared" si="36"/>
        <v>#N/A</v>
      </c>
      <c r="Z98" s="406" t="e">
        <f t="shared" si="37"/>
        <v>#N/A</v>
      </c>
      <c r="AA98" s="223"/>
      <c r="AB98" s="224"/>
      <c r="AC98" s="224"/>
      <c r="AD98" s="226"/>
      <c r="AE98" s="232"/>
      <c r="AF98" s="232"/>
      <c r="AG98" s="232"/>
      <c r="AH98" s="217"/>
      <c r="AI98" s="232"/>
      <c r="AJ98" s="178"/>
    </row>
    <row r="99" spans="1:45" s="101" customFormat="1" ht="11.25" customHeight="1" x14ac:dyDescent="0.2">
      <c r="A99" s="324"/>
      <c r="B99" s="428"/>
      <c r="C99" s="428"/>
      <c r="D99" s="428"/>
      <c r="E99" s="428"/>
      <c r="F99" s="428"/>
      <c r="G99" s="428"/>
      <c r="H99" s="428"/>
      <c r="I99" s="115"/>
      <c r="J99" s="115"/>
      <c r="K99" s="188"/>
      <c r="L99" s="188"/>
      <c r="M99" s="188"/>
      <c r="N99" s="188"/>
      <c r="O99" s="188"/>
      <c r="P99" s="188"/>
      <c r="Q99" s="189"/>
      <c r="R99" s="177"/>
      <c r="S99" s="177"/>
      <c r="T99" s="190"/>
      <c r="U99" s="139"/>
      <c r="V99" s="154"/>
      <c r="W99" s="170"/>
      <c r="X99" s="405" t="str">
        <f>B32</f>
        <v>England</v>
      </c>
      <c r="Y99" s="406" t="e">
        <f t="shared" si="36"/>
        <v>#N/A</v>
      </c>
      <c r="Z99" s="406" t="e">
        <f t="shared" si="37"/>
        <v>#N/A</v>
      </c>
      <c r="AA99" s="223"/>
      <c r="AB99" s="224"/>
      <c r="AC99" s="224"/>
      <c r="AD99" s="226"/>
      <c r="AE99" s="232"/>
      <c r="AF99" s="232"/>
      <c r="AG99" s="232"/>
      <c r="AH99" s="217"/>
      <c r="AI99" s="232"/>
      <c r="AJ99" s="178"/>
    </row>
    <row r="100" spans="1:45" s="88" customFormat="1" ht="42" customHeight="1" x14ac:dyDescent="0.2">
      <c r="A100" s="249"/>
      <c r="B100" s="428"/>
      <c r="C100" s="428"/>
      <c r="D100" s="428"/>
      <c r="E100" s="428"/>
      <c r="F100" s="428"/>
      <c r="G100" s="428"/>
      <c r="H100" s="428"/>
      <c r="I100" s="435"/>
      <c r="J100" s="192"/>
      <c r="K100" s="192"/>
      <c r="L100" s="192"/>
      <c r="M100" s="192"/>
      <c r="N100" s="192"/>
      <c r="O100" s="192"/>
      <c r="P100" s="192"/>
      <c r="Q100" s="151"/>
      <c r="R100" s="192"/>
      <c r="S100" s="192"/>
      <c r="T100" s="192"/>
      <c r="U100" s="134"/>
      <c r="V100" s="152"/>
      <c r="W100" s="168"/>
      <c r="AC100" s="224"/>
      <c r="AD100" s="226"/>
      <c r="AE100" s="210"/>
      <c r="AF100" s="210"/>
      <c r="AG100" s="210"/>
      <c r="AI100" s="210"/>
      <c r="AJ100" s="179"/>
    </row>
    <row r="101" spans="1:45" s="88" customFormat="1" ht="42" customHeight="1" x14ac:dyDescent="0.2">
      <c r="A101" s="249"/>
      <c r="B101" s="428"/>
      <c r="C101" s="428"/>
      <c r="D101" s="428"/>
      <c r="E101" s="428"/>
      <c r="F101" s="428"/>
      <c r="G101" s="428"/>
      <c r="H101" s="428"/>
      <c r="I101" s="435"/>
      <c r="J101" s="192"/>
      <c r="K101" s="192"/>
      <c r="L101" s="192"/>
      <c r="M101" s="192"/>
      <c r="N101" s="192"/>
      <c r="O101" s="192"/>
      <c r="P101" s="192"/>
      <c r="Q101" s="151"/>
      <c r="R101" s="192"/>
      <c r="S101" s="192"/>
      <c r="T101" s="192"/>
      <c r="U101" s="134"/>
      <c r="V101" s="152"/>
      <c r="W101" s="168"/>
      <c r="Y101" s="217"/>
      <c r="AD101" s="226"/>
      <c r="AE101" s="210"/>
      <c r="AF101" s="210"/>
      <c r="AG101" s="210"/>
      <c r="AI101" s="210"/>
      <c r="AJ101" s="179"/>
    </row>
    <row r="102" spans="1:45" s="88" customFormat="1" ht="33" customHeight="1" x14ac:dyDescent="0.2">
      <c r="A102" s="249"/>
      <c r="B102" s="435"/>
      <c r="C102" s="435"/>
      <c r="D102" s="435"/>
      <c r="E102" s="435"/>
      <c r="F102" s="435"/>
      <c r="G102" s="435"/>
      <c r="H102" s="435"/>
      <c r="I102" s="435"/>
      <c r="J102" s="192"/>
      <c r="K102" s="192"/>
      <c r="L102" s="192"/>
      <c r="M102" s="192"/>
      <c r="N102" s="192"/>
      <c r="O102" s="192"/>
      <c r="P102" s="192"/>
      <c r="Q102" s="151"/>
      <c r="R102" s="192"/>
      <c r="S102" s="192"/>
      <c r="T102" s="192"/>
      <c r="U102" s="134"/>
      <c r="V102" s="152"/>
      <c r="W102" s="168"/>
      <c r="Y102" s="217"/>
      <c r="AD102" s="226"/>
      <c r="AE102" s="210"/>
      <c r="AF102" s="210"/>
      <c r="AG102" s="210"/>
      <c r="AI102" s="210"/>
      <c r="AJ102" s="179"/>
    </row>
    <row r="103" spans="1:45" s="88" customFormat="1" ht="7.5" customHeight="1" x14ac:dyDescent="0.2">
      <c r="A103" s="135"/>
      <c r="B103" s="18"/>
      <c r="C103" s="18"/>
      <c r="D103" s="17"/>
      <c r="E103" s="17"/>
      <c r="F103" s="17"/>
      <c r="G103" s="17"/>
      <c r="H103" s="17"/>
      <c r="I103" s="17"/>
      <c r="J103" s="13"/>
      <c r="K103" s="19"/>
      <c r="L103" s="19"/>
      <c r="M103" s="19"/>
      <c r="N103" s="19"/>
      <c r="O103" s="19"/>
      <c r="P103" s="19"/>
      <c r="Q103" s="19"/>
      <c r="R103" s="19"/>
      <c r="S103" s="19"/>
      <c r="T103" s="20"/>
      <c r="U103" s="134"/>
      <c r="V103" s="152"/>
      <c r="W103" s="168"/>
      <c r="Y103" s="217"/>
      <c r="AI103" s="210"/>
      <c r="AJ103" s="175"/>
      <c r="AK103" s="80"/>
      <c r="AL103" s="80"/>
      <c r="AM103" s="80"/>
      <c r="AN103" s="80"/>
      <c r="AO103" s="80"/>
      <c r="AP103" s="80"/>
      <c r="AQ103" s="80"/>
    </row>
    <row r="104" spans="1:45" s="88" customFormat="1" ht="15" customHeight="1" x14ac:dyDescent="0.2">
      <c r="A104" s="1010"/>
      <c r="B104" s="1018"/>
      <c r="C104" s="1018"/>
      <c r="D104" s="1018"/>
      <c r="E104" s="1018"/>
      <c r="F104" s="1018"/>
      <c r="G104" s="1018"/>
      <c r="H104" s="1018"/>
      <c r="I104" s="1018"/>
      <c r="J104" s="1018"/>
      <c r="K104" s="1018"/>
      <c r="L104" s="1018"/>
      <c r="M104" s="1018"/>
      <c r="N104" s="1018"/>
      <c r="O104" s="1018"/>
      <c r="P104" s="1018"/>
      <c r="Q104" s="1018"/>
      <c r="R104" s="1018"/>
      <c r="S104" s="1018"/>
      <c r="T104" s="1018"/>
      <c r="U104" s="1019"/>
      <c r="V104" s="152"/>
      <c r="W104" s="168"/>
      <c r="X104" s="215"/>
      <c r="Y104" s="215"/>
      <c r="AJ104" s="179"/>
      <c r="AS104" s="80"/>
    </row>
    <row r="105" spans="1:45" s="88" customFormat="1" ht="11.25" customHeight="1" x14ac:dyDescent="0.2">
      <c r="A105" s="1020" t="str">
        <f>Home!$A$35</f>
        <v>LA's provide quarterly data on the condition that it is used by the benchmarking group for internal reporting only. Please DO NOT share other LA's data with any external partners or the public</v>
      </c>
      <c r="B105" s="1021"/>
      <c r="C105" s="1021"/>
      <c r="D105" s="1021"/>
      <c r="E105" s="1021"/>
      <c r="F105" s="1021"/>
      <c r="G105" s="1021"/>
      <c r="H105" s="1021"/>
      <c r="I105" s="1022"/>
      <c r="J105" s="1021"/>
      <c r="K105" s="1021"/>
      <c r="L105" s="1021"/>
      <c r="M105" s="1021"/>
      <c r="N105" s="1021"/>
      <c r="O105" s="1021"/>
      <c r="P105" s="1021"/>
      <c r="Q105" s="1021"/>
      <c r="R105" s="1021"/>
      <c r="S105" s="1022"/>
      <c r="T105" s="1021"/>
      <c r="U105" s="1023"/>
      <c r="V105" s="152"/>
      <c r="W105" s="168"/>
      <c r="X105" s="215"/>
      <c r="Y105" s="215"/>
      <c r="AI105" s="210"/>
      <c r="AJ105" s="178"/>
      <c r="AK105" s="101"/>
      <c r="AS105" s="80"/>
    </row>
    <row r="106" spans="1:45" ht="11.25" customHeight="1" x14ac:dyDescent="0.2">
      <c r="A106" s="129"/>
      <c r="B106" s="130"/>
      <c r="C106" s="130"/>
      <c r="D106" s="130"/>
      <c r="E106" s="130"/>
      <c r="F106" s="130"/>
      <c r="G106" s="130"/>
      <c r="H106" s="130"/>
      <c r="I106" s="130"/>
      <c r="J106" s="131"/>
      <c r="K106" s="130"/>
      <c r="L106" s="130"/>
      <c r="M106" s="130"/>
      <c r="N106" s="130"/>
      <c r="O106" s="130"/>
      <c r="P106" s="130"/>
      <c r="Q106" s="130"/>
      <c r="R106" s="130"/>
      <c r="S106" s="130"/>
      <c r="T106" s="130"/>
      <c r="U106" s="132"/>
      <c r="V106" s="152"/>
      <c r="W106" s="168"/>
      <c r="X106" s="215"/>
      <c r="Y106" s="215"/>
      <c r="AI106" s="210"/>
      <c r="AJ106" s="175"/>
    </row>
    <row r="107" spans="1:45" s="82" customFormat="1" ht="15" customHeight="1" x14ac:dyDescent="0.2">
      <c r="A107" s="136"/>
      <c r="B107" s="1090" t="s">
        <v>872</v>
      </c>
      <c r="C107" s="1090"/>
      <c r="D107" s="1090"/>
      <c r="E107" s="1090"/>
      <c r="F107" s="1090"/>
      <c r="G107" s="1090"/>
      <c r="H107" s="1090"/>
      <c r="I107" s="1090"/>
      <c r="J107" s="70"/>
      <c r="K107" s="70"/>
      <c r="L107" s="70"/>
      <c r="M107" s="70"/>
      <c r="N107" s="425"/>
      <c r="O107" s="70"/>
      <c r="P107" s="70"/>
      <c r="Q107" s="70"/>
      <c r="R107" s="70"/>
      <c r="S107" s="70"/>
      <c r="T107" s="70"/>
      <c r="U107" s="137"/>
      <c r="V107" s="153"/>
      <c r="W107" s="169"/>
      <c r="X107" s="664" t="s">
        <v>167</v>
      </c>
      <c r="Y107" s="664"/>
      <c r="Z107" s="664"/>
      <c r="AA107" s="664"/>
      <c r="AB107" s="664"/>
      <c r="AC107" s="664"/>
      <c r="AD107" s="650"/>
      <c r="AE107" s="665" t="s">
        <v>168</v>
      </c>
      <c r="AF107" s="666"/>
      <c r="AG107" s="650"/>
      <c r="AH107" s="438"/>
      <c r="AI107" s="650"/>
      <c r="AJ107" s="176"/>
    </row>
    <row r="108" spans="1:45" ht="15" customHeight="1" x14ac:dyDescent="0.2">
      <c r="A108" s="135"/>
      <c r="B108" s="1090"/>
      <c r="C108" s="1090"/>
      <c r="D108" s="1090"/>
      <c r="E108" s="1090"/>
      <c r="F108" s="1090"/>
      <c r="G108" s="1090"/>
      <c r="H108" s="1090"/>
      <c r="I108" s="1090"/>
      <c r="J108" s="70"/>
      <c r="K108" s="70"/>
      <c r="L108" s="70"/>
      <c r="M108" s="70"/>
      <c r="N108" s="425"/>
      <c r="O108" s="70"/>
      <c r="P108" s="70"/>
      <c r="Q108" s="10"/>
      <c r="R108" s="70"/>
      <c r="S108" s="70"/>
      <c r="T108" s="70"/>
      <c r="U108" s="134"/>
      <c r="V108" s="152"/>
      <c r="W108" s="168"/>
      <c r="X108" s="438"/>
      <c r="Y108" s="437"/>
      <c r="Z108" s="438"/>
      <c r="AA108" s="438"/>
      <c r="AB108" s="438"/>
      <c r="AC108" s="650"/>
      <c r="AD108" s="438"/>
      <c r="AE108" s="437"/>
      <c r="AF108" s="438"/>
      <c r="AG108" s="438"/>
      <c r="AH108" s="438"/>
      <c r="AI108" s="650"/>
      <c r="AJ108" s="175"/>
    </row>
    <row r="109" spans="1:45" s="101" customFormat="1" ht="27" customHeight="1" x14ac:dyDescent="0.2">
      <c r="A109" s="138"/>
      <c r="B109" s="540" t="s">
        <v>215</v>
      </c>
      <c r="C109" s="97"/>
      <c r="D109" s="393">
        <f>D8</f>
        <v>2014</v>
      </c>
      <c r="E109" s="393">
        <f t="shared" ref="E109:H109" si="38">E8</f>
        <v>2015</v>
      </c>
      <c r="F109" s="393">
        <f t="shared" si="38"/>
        <v>2016</v>
      </c>
      <c r="G109" s="393">
        <f t="shared" si="38"/>
        <v>2017</v>
      </c>
      <c r="H109" s="394">
        <f t="shared" si="38"/>
        <v>2018</v>
      </c>
      <c r="I109" s="115"/>
      <c r="J109" s="115"/>
      <c r="K109" s="62"/>
      <c r="L109" s="62"/>
      <c r="M109" s="62"/>
      <c r="N109" s="62"/>
      <c r="O109" s="62"/>
      <c r="P109" s="434"/>
      <c r="Q109" s="434"/>
      <c r="R109" s="177"/>
      <c r="S109" s="177"/>
      <c r="T109" s="433"/>
      <c r="U109" s="139"/>
      <c r="V109" s="154"/>
      <c r="W109" s="170"/>
      <c r="X109" s="634"/>
      <c r="Y109" s="638">
        <f>D109</f>
        <v>2014</v>
      </c>
      <c r="Z109" s="534">
        <f t="shared" ref="Z109:AC109" si="39">E109</f>
        <v>2015</v>
      </c>
      <c r="AA109" s="534">
        <f t="shared" si="39"/>
        <v>2016</v>
      </c>
      <c r="AB109" s="534">
        <f t="shared" si="39"/>
        <v>2017</v>
      </c>
      <c r="AC109" s="635">
        <f t="shared" si="39"/>
        <v>2018</v>
      </c>
      <c r="AD109" s="439"/>
      <c r="AE109" s="534">
        <f>Y109</f>
        <v>2014</v>
      </c>
      <c r="AF109" s="534">
        <f t="shared" ref="AF109:AI109" si="40">Z109</f>
        <v>2015</v>
      </c>
      <c r="AG109" s="534">
        <f t="shared" si="40"/>
        <v>2016</v>
      </c>
      <c r="AH109" s="534">
        <f t="shared" si="40"/>
        <v>2017</v>
      </c>
      <c r="AI109" s="534">
        <f t="shared" si="40"/>
        <v>2018</v>
      </c>
      <c r="AJ109" s="178"/>
    </row>
    <row r="110" spans="1:45" s="101" customFormat="1" ht="12.75" customHeight="1" x14ac:dyDescent="0.2">
      <c r="A110" s="533">
        <f>VLOOKUP(B110,Sheet1!$B$4:$C$25,2,FALSE)</f>
        <v>0</v>
      </c>
      <c r="B110" s="112" t="str">
        <f>B9</f>
        <v>Bracknell Forest</v>
      </c>
      <c r="C110" s="97"/>
      <c r="D110" s="182">
        <f>IF(AND(ISNUMBER(AE110),ISNUMBER(Y110)),AE110/Y110,NA())</f>
        <v>0.33333333333333331</v>
      </c>
      <c r="E110" s="182" t="e">
        <f t="shared" ref="E110:H110" si="41">IF(AND(ISNUMBER(AF110),ISNUMBER(Z110)),AF110/Z110,NA())</f>
        <v>#N/A</v>
      </c>
      <c r="F110" s="182">
        <f t="shared" si="41"/>
        <v>0.41666666666666669</v>
      </c>
      <c r="G110" s="182">
        <f t="shared" si="41"/>
        <v>0.42168674698795183</v>
      </c>
      <c r="H110" s="184">
        <f t="shared" si="41"/>
        <v>0.24271844660194175</v>
      </c>
      <c r="I110" s="115"/>
      <c r="J110" s="115"/>
      <c r="K110" s="186"/>
      <c r="L110" s="186"/>
      <c r="M110" s="186"/>
      <c r="N110" s="186"/>
      <c r="O110" s="186"/>
      <c r="P110" s="186"/>
      <c r="Q110" s="187"/>
      <c r="R110" s="177"/>
      <c r="S110" s="177"/>
      <c r="T110" s="186"/>
      <c r="U110" s="139"/>
      <c r="V110" s="154"/>
      <c r="W110" s="170"/>
      <c r="X110" s="634" t="str">
        <f>B110</f>
        <v>Bracknell Forest</v>
      </c>
      <c r="Y110" s="638">
        <f>IF(Year1_Bracknell_Forest Year1_LAC_under16="","",Year1_Bracknell_Forest Year1_LAC_under16)</f>
        <v>90</v>
      </c>
      <c r="Z110" s="424">
        <f>IF(Year2_Bracknell_Forest Year2_LAC_under16="","",Year2_Bracknell_Forest Year2_LAC_under16)</f>
        <v>75</v>
      </c>
      <c r="AA110" s="424">
        <f>IF(Year3_Bracknell_Forest Year3_LAC_under16="","",Year3_Bracknell_Forest Year3_LAC_under16)</f>
        <v>60</v>
      </c>
      <c r="AB110" s="424">
        <f>IF(Year4_Bracknell_Forest Year4_LAC_under16="","",Year4_Bracknell_Forest Year4_LAC_under16)</f>
        <v>83</v>
      </c>
      <c r="AC110" s="634">
        <f>IF(Year5_Bracknell_Forest Year5_LAC_under16="","",Year5_Bracknell_Forest Year5_LAC_under16)</f>
        <v>103</v>
      </c>
      <c r="AD110" s="439" t="str">
        <f>X110</f>
        <v>Bracknell Forest</v>
      </c>
      <c r="AE110" s="534">
        <f>IF(Year1_Bracknell_Forest Year1_LAC_under16_2.5years="","",Year1_Bracknell_Forest Year1_LAC_under16_2.5years)</f>
        <v>30</v>
      </c>
      <c r="AF110" s="424" t="str">
        <f>IF(Year2_Bracknell_Forest Year2_LAC_under16_2.5years="","",Year2_Bracknell_Forest Year2_LAC_under16_2.5years)</f>
        <v/>
      </c>
      <c r="AG110" s="424">
        <f>IF(Year3_Bracknell_Forest Year3_LAC_under16_2.5years="","",Year3_Bracknell_Forest Year3_LAC_under16_2.5years)</f>
        <v>25</v>
      </c>
      <c r="AH110" s="424">
        <f>IF(Year4_Bracknell_Forest Year4_LAC_under16_2.5years="","",Year4_Bracknell_Forest Year4_LAC_under16_2.5years)</f>
        <v>35</v>
      </c>
      <c r="AI110" s="424">
        <f>IF(Year5_Bracknell_Forest Year5_LAC_under16_2.5years="","",Year5_Bracknell_Forest Year5_LAC_under16_2.5years)</f>
        <v>25</v>
      </c>
      <c r="AJ110" s="178"/>
    </row>
    <row r="111" spans="1:45" s="101" customFormat="1" ht="12.75" customHeight="1" x14ac:dyDescent="0.2">
      <c r="A111" s="533">
        <f>VLOOKUP(B111,Sheet1!$B$4:$C$25,2,FALSE)</f>
        <v>0</v>
      </c>
      <c r="B111" s="112" t="str">
        <f t="shared" ref="B111:B133" si="42">B10</f>
        <v>Brighton &amp; Hove</v>
      </c>
      <c r="C111" s="97"/>
      <c r="D111" s="182">
        <f t="shared" ref="D111:D133" si="43">IF(AND(ISNUMBER(AE111),ISNUMBER(Y111)),AE111/Y111,NA())</f>
        <v>0.44444444444444442</v>
      </c>
      <c r="E111" s="182" t="e">
        <f t="shared" ref="E111:E133" si="44">IF(AND(ISNUMBER(AF111),ISNUMBER(Z111)),AF111/Z111,NA())</f>
        <v>#N/A</v>
      </c>
      <c r="F111" s="182">
        <f t="shared" ref="F111:F133" si="45">IF(AND(ISNUMBER(AG111),ISNUMBER(AA111)),AG111/AA111,NA())</f>
        <v>0.4375</v>
      </c>
      <c r="G111" s="182">
        <f t="shared" ref="G111:G133" si="46">IF(AND(ISNUMBER(AH111),ISNUMBER(AB111)),AH111/AB111,NA())</f>
        <v>0.40123456790123457</v>
      </c>
      <c r="H111" s="184">
        <f t="shared" ref="H111:H133" si="47">IF(AND(ISNUMBER(AI111),ISNUMBER(AC111)),AI111/AC111,NA())</f>
        <v>0.40531561461794019</v>
      </c>
      <c r="I111" s="115"/>
      <c r="J111" s="115"/>
      <c r="K111" s="186"/>
      <c r="L111" s="186"/>
      <c r="M111" s="186"/>
      <c r="N111" s="186"/>
      <c r="O111" s="186"/>
      <c r="P111" s="186"/>
      <c r="Q111" s="187"/>
      <c r="R111" s="177"/>
      <c r="S111" s="177"/>
      <c r="T111" s="186"/>
      <c r="U111" s="139"/>
      <c r="V111" s="154"/>
      <c r="W111" s="170"/>
      <c r="X111" s="634" t="str">
        <f t="shared" ref="X111:X133" si="48">B111</f>
        <v>Brighton &amp; Hove</v>
      </c>
      <c r="Y111" s="638">
        <f>IF(Year1_Brighton_Hove Year1_LAC_under16="","",Year1_Brighton_Hove Year1_LAC_under16)</f>
        <v>360</v>
      </c>
      <c r="Z111" s="424">
        <f>IF(Year2_Brighton_Hove Year2_LAC_under16="","",Year2_Brighton_Hove Year2_LAC_under16)</f>
        <v>365</v>
      </c>
      <c r="AA111" s="424">
        <f>IF(Year3_Brighton_Hove Year3_LAC_under16="","",Year3_Brighton_Hove Year3_LAC_under16)</f>
        <v>320</v>
      </c>
      <c r="AB111" s="424">
        <f>IF(Year4_Brighton_Hove Year4_LAC_under16="","",Year4_Brighton_Hove Year4_LAC_under16)</f>
        <v>324</v>
      </c>
      <c r="AC111" s="634">
        <f>IF(Year5_Brighton_Hove Year5_LAC_under16="","",Year5_Brighton_Hove Year5_LAC_under16)</f>
        <v>301</v>
      </c>
      <c r="AD111" s="439" t="str">
        <f t="shared" ref="AD111:AD133" si="49">X111</f>
        <v>Brighton &amp; Hove</v>
      </c>
      <c r="AE111" s="534">
        <f>IF(Year1_Brighton_Hove Year1_LAC_under16_2.5years="","",Year1_Brighton_Hove Year1_LAC_under16_2.5years)</f>
        <v>160</v>
      </c>
      <c r="AF111" s="424" t="str">
        <f>IF(Year2_Brighton_Hove Year2_LAC_under16_2.5years="","",Year2_Brighton_Hove Year2_LAC_under16_2.5years)</f>
        <v/>
      </c>
      <c r="AG111" s="424">
        <f>IF(Year3_Brighton_Hove Year3_LAC_under16_2.5years="","",Year3_Brighton_Hove Year3_LAC_under16_2.5years)</f>
        <v>140</v>
      </c>
      <c r="AH111" s="424">
        <f>IF(Year4_Brighton_Hove Year4_LAC_under16_2.5years="","",Year4_Brighton_Hove Year4_LAC_under16_2.5years)</f>
        <v>130</v>
      </c>
      <c r="AI111" s="424">
        <f>IF(Year5_Brighton_Hove Year5_LAC_under16_2.5years="","",Year5_Brighton_Hove Year5_LAC_under16_2.5years)</f>
        <v>122</v>
      </c>
      <c r="AJ111" s="178"/>
    </row>
    <row r="112" spans="1:45" s="101" customFormat="1" ht="12.75" customHeight="1" x14ac:dyDescent="0.2">
      <c r="A112" s="533">
        <f>VLOOKUP(B112,Sheet1!$B$4:$C$25,2,FALSE)</f>
        <v>0</v>
      </c>
      <c r="B112" s="112" t="str">
        <f t="shared" si="42"/>
        <v>Buckinghamshire</v>
      </c>
      <c r="C112" s="97"/>
      <c r="D112" s="182">
        <f t="shared" si="43"/>
        <v>0.44776119402985076</v>
      </c>
      <c r="E112" s="182" t="e">
        <f t="shared" si="44"/>
        <v>#N/A</v>
      </c>
      <c r="F112" s="182">
        <f t="shared" si="45"/>
        <v>0.42253521126760563</v>
      </c>
      <c r="G112" s="182">
        <f t="shared" si="46"/>
        <v>0.39660056657223797</v>
      </c>
      <c r="H112" s="184">
        <f t="shared" si="47"/>
        <v>0.39943342776203966</v>
      </c>
      <c r="I112" s="115"/>
      <c r="J112" s="115"/>
      <c r="K112" s="186"/>
      <c r="L112" s="186"/>
      <c r="M112" s="186"/>
      <c r="N112" s="186"/>
      <c r="O112" s="186"/>
      <c r="P112" s="186"/>
      <c r="Q112" s="187"/>
      <c r="R112" s="177"/>
      <c r="S112" s="177"/>
      <c r="T112" s="186"/>
      <c r="U112" s="139"/>
      <c r="V112" s="154"/>
      <c r="W112" s="170"/>
      <c r="X112" s="634" t="str">
        <f t="shared" si="48"/>
        <v>Buckinghamshire</v>
      </c>
      <c r="Y112" s="638">
        <f>IF(Year1_Buckinghamshire Year1_LAC_under16="","",Year1_Buckinghamshire Year1_LAC_under16)</f>
        <v>335</v>
      </c>
      <c r="Z112" s="424">
        <f>IF(Year2_Buckinghamshire Year2_LAC_under16="","",Year2_Buckinghamshire Year2_LAC_under16)</f>
        <v>330</v>
      </c>
      <c r="AA112" s="424">
        <f>IF(Year3_Buckinghamshire Year3_LAC_under16="","",Year3_Buckinghamshire Year3_LAC_under16)</f>
        <v>355</v>
      </c>
      <c r="AB112" s="424">
        <f>IF(Year4_Buckinghamshire Year4_LAC_under16="","",Year4_Buckinghamshire Year4_LAC_under16)</f>
        <v>353</v>
      </c>
      <c r="AC112" s="634">
        <f>IF(Year5_Buckinghamshire Year5_LAC_under16="","",Year5_Buckinghamshire Year5_LAC_under16)</f>
        <v>353</v>
      </c>
      <c r="AD112" s="439" t="str">
        <f t="shared" si="49"/>
        <v>Buckinghamshire</v>
      </c>
      <c r="AE112" s="534">
        <f>IF(Year1_Buckinghamshire Year1_LAC_under16_2.5years="","",Year1_Buckinghamshire Year1_LAC_under16_2.5years)</f>
        <v>150</v>
      </c>
      <c r="AF112" s="424" t="str">
        <f>IF(Year2_Buckinghamshire Year2_LAC_under16_2.5years="","",Year2_Buckinghamshire Year2_LAC_under16_2.5years)</f>
        <v/>
      </c>
      <c r="AG112" s="424">
        <f>IF(Year3_Buckinghamshire Year3_LAC_under16_2.5years="","",Year3_Buckinghamshire Year3_LAC_under16_2.5years)</f>
        <v>150</v>
      </c>
      <c r="AH112" s="424">
        <f>IF(Year4_Buckinghamshire Year4_LAC_under16_2.5years="","",Year4_Buckinghamshire Year4_LAC_under16_2.5years)</f>
        <v>140</v>
      </c>
      <c r="AI112" s="424">
        <f>IF(Year5_Buckinghamshire Year5_LAC_under16_2.5years="","",Year5_Buckinghamshire Year5_LAC_under16_2.5years)</f>
        <v>141</v>
      </c>
      <c r="AJ112" s="178"/>
    </row>
    <row r="113" spans="1:44" s="101" customFormat="1" ht="12.75" customHeight="1" x14ac:dyDescent="0.2">
      <c r="A113" s="533">
        <f>VLOOKUP(B113,Sheet1!$B$4:$C$25,2,FALSE)</f>
        <v>0</v>
      </c>
      <c r="B113" s="112" t="str">
        <f t="shared" si="42"/>
        <v>East Sussex</v>
      </c>
      <c r="C113" s="97"/>
      <c r="D113" s="182">
        <f t="shared" si="43"/>
        <v>0.48958333333333331</v>
      </c>
      <c r="E113" s="182" t="e">
        <f t="shared" si="44"/>
        <v>#N/A</v>
      </c>
      <c r="F113" s="182">
        <f t="shared" si="45"/>
        <v>0.53333333333333333</v>
      </c>
      <c r="G113" s="182">
        <f t="shared" si="46"/>
        <v>0.51044083526682138</v>
      </c>
      <c r="H113" s="184">
        <f t="shared" si="47"/>
        <v>0.44420600858369097</v>
      </c>
      <c r="I113" s="115"/>
      <c r="J113" s="115"/>
      <c r="K113" s="186"/>
      <c r="L113" s="186"/>
      <c r="M113" s="186"/>
      <c r="N113" s="186"/>
      <c r="O113" s="186"/>
      <c r="P113" s="186"/>
      <c r="Q113" s="187"/>
      <c r="R113" s="177"/>
      <c r="S113" s="177"/>
      <c r="T113" s="186"/>
      <c r="U113" s="139"/>
      <c r="V113" s="154"/>
      <c r="W113" s="170"/>
      <c r="X113" s="634" t="str">
        <f t="shared" si="48"/>
        <v>East Sussex</v>
      </c>
      <c r="Y113" s="638">
        <f>IF(Year1_East_Sussex Year1_LAC_under16="","",Year1_East_Sussex Year1_LAC_under16)</f>
        <v>480</v>
      </c>
      <c r="Z113" s="424">
        <f>IF(Year2_East_Sussex Year2_LAC_under16="","",Year2_East_Sussex Year2_LAC_under16)</f>
        <v>445</v>
      </c>
      <c r="AA113" s="424">
        <f>IF(Year3_East_Sussex Year3_LAC_under16="","",Year3_East_Sussex Year3_LAC_under16)</f>
        <v>450</v>
      </c>
      <c r="AB113" s="424">
        <f>IF(Year4_East_Sussex Year4_LAC_under16="","",Year4_East_Sussex Year4_LAC_under16)</f>
        <v>431</v>
      </c>
      <c r="AC113" s="634">
        <f>IF(Year5_East_Sussex Year5_LAC_under16="","",Year5_East_Sussex Year5_LAC_under16)</f>
        <v>466</v>
      </c>
      <c r="AD113" s="439" t="str">
        <f t="shared" si="49"/>
        <v>East Sussex</v>
      </c>
      <c r="AE113" s="534">
        <f>IF(Year1_East_Sussex Year1_LAC_under16_2.5years="","",Year1_East_Sussex Year1_LAC_under16_2.5years)</f>
        <v>235</v>
      </c>
      <c r="AF113" s="424" t="str">
        <f>IF(Year2_East_Sussex Year2_LAC_under16_2.5years="","",Year2_East_Sussex Year2_LAC_under16_2.5years)</f>
        <v/>
      </c>
      <c r="AG113" s="424">
        <f>IF(Year3_East_Sussex Year3_LAC_under16_2.5years="","",Year3_East_Sussex Year3_LAC_under16_2.5years)</f>
        <v>240</v>
      </c>
      <c r="AH113" s="424">
        <f>IF(Year4_East_Sussex Year4_LAC_under16_2.5years="","",Year4_East_Sussex Year4_LAC_under16_2.5years)</f>
        <v>220</v>
      </c>
      <c r="AI113" s="424">
        <f>IF(Year5_East_Sussex Year5_LAC_under16_2.5years="","",Year5_East_Sussex Year5_LAC_under16_2.5years)</f>
        <v>207</v>
      </c>
      <c r="AJ113" s="178"/>
    </row>
    <row r="114" spans="1:44" s="101" customFormat="1" ht="12.75" customHeight="1" x14ac:dyDescent="0.2">
      <c r="A114" s="533">
        <f>VLOOKUP(B114,Sheet1!$B$4:$C$25,2,FALSE)</f>
        <v>0</v>
      </c>
      <c r="B114" s="112" t="str">
        <f t="shared" si="42"/>
        <v>Hampshire</v>
      </c>
      <c r="C114" s="97"/>
      <c r="D114" s="182">
        <f t="shared" si="43"/>
        <v>0.35</v>
      </c>
      <c r="E114" s="182" t="e">
        <f t="shared" si="44"/>
        <v>#N/A</v>
      </c>
      <c r="F114" s="182">
        <f t="shared" si="45"/>
        <v>0.40191387559808611</v>
      </c>
      <c r="G114" s="182">
        <f t="shared" si="46"/>
        <v>0.4144851657940663</v>
      </c>
      <c r="H114" s="184">
        <f t="shared" si="47"/>
        <v>0.4095315024232633</v>
      </c>
      <c r="I114" s="115"/>
      <c r="J114" s="115"/>
      <c r="K114" s="186"/>
      <c r="L114" s="186"/>
      <c r="M114" s="186"/>
      <c r="N114" s="186"/>
      <c r="O114" s="186"/>
      <c r="P114" s="186"/>
      <c r="Q114" s="187"/>
      <c r="R114" s="177"/>
      <c r="S114" s="177"/>
      <c r="T114" s="186"/>
      <c r="U114" s="139"/>
      <c r="V114" s="154"/>
      <c r="W114" s="170"/>
      <c r="X114" s="634" t="str">
        <f t="shared" si="48"/>
        <v>Hampshire</v>
      </c>
      <c r="Y114" s="638">
        <f>IF(Year1_Hampshire Year1_LAC_under16="","",Year1_Hampshire Year1_LAC_under16)</f>
        <v>1000</v>
      </c>
      <c r="Z114" s="424">
        <f>IF(Year2_Hampshire Year2_LAC_under16="","",Year2_Hampshire Year2_LAC_under16)</f>
        <v>1060</v>
      </c>
      <c r="AA114" s="424">
        <f>IF(Year3_Hampshire Year3_LAC_under16="","",Year3_Hampshire Year3_LAC_under16)</f>
        <v>1045</v>
      </c>
      <c r="AB114" s="424">
        <f>IF(Year4_Hampshire Year4_LAC_under16="","",Year4_Hampshire Year4_LAC_under16)</f>
        <v>1146</v>
      </c>
      <c r="AC114" s="634">
        <f>IF(Year5_Hampshire Year5_LAC_under16="","",Year5_Hampshire Year5_LAC_under16)</f>
        <v>1238</v>
      </c>
      <c r="AD114" s="439" t="str">
        <f t="shared" si="49"/>
        <v>Hampshire</v>
      </c>
      <c r="AE114" s="534">
        <f>IF(Year1_Hampshire Year1_LAC_under16_2.5years="","",Year1_Hampshire Year1_LAC_under16_2.5years)</f>
        <v>350</v>
      </c>
      <c r="AF114" s="424" t="str">
        <f>IF(Year2_Hampshire Year2_LAC_under16_2.5years="","",Year2_Hampshire Year2_LAC_under16_2.5years)</f>
        <v/>
      </c>
      <c r="AG114" s="424">
        <f>IF(Year3_Hampshire Year3_LAC_under16_2.5years="","",Year3_Hampshire Year3_LAC_under16_2.5years)</f>
        <v>420</v>
      </c>
      <c r="AH114" s="424">
        <f>IF(Year4_Hampshire Year4_LAC_under16_2.5years="","",Year4_Hampshire Year4_LAC_under16_2.5years)</f>
        <v>475</v>
      </c>
      <c r="AI114" s="424">
        <f>IF(Year5_Hampshire Year5_LAC_under16_2.5years="","",Year5_Hampshire Year5_LAC_under16_2.5years)</f>
        <v>507</v>
      </c>
      <c r="AJ114" s="178"/>
    </row>
    <row r="115" spans="1:44" s="101" customFormat="1" ht="12.75" customHeight="1" x14ac:dyDescent="0.2">
      <c r="A115" s="533">
        <f>VLOOKUP(B115,Sheet1!$B$4:$C$25,2,FALSE)</f>
        <v>0</v>
      </c>
      <c r="B115" s="112" t="str">
        <f t="shared" si="42"/>
        <v>Isle of Wight</v>
      </c>
      <c r="C115" s="97"/>
      <c r="D115" s="182">
        <f t="shared" si="43"/>
        <v>0.2857142857142857</v>
      </c>
      <c r="E115" s="182" t="e">
        <f t="shared" si="44"/>
        <v>#N/A</v>
      </c>
      <c r="F115" s="182">
        <f t="shared" si="45"/>
        <v>0.41379310344827586</v>
      </c>
      <c r="G115" s="182">
        <f t="shared" si="46"/>
        <v>0.3235294117647059</v>
      </c>
      <c r="H115" s="184">
        <f t="shared" si="47"/>
        <v>0.34946236559139787</v>
      </c>
      <c r="I115" s="115"/>
      <c r="J115" s="115"/>
      <c r="K115" s="186"/>
      <c r="L115" s="186"/>
      <c r="M115" s="186"/>
      <c r="N115" s="186"/>
      <c r="O115" s="186"/>
      <c r="P115" s="186"/>
      <c r="Q115" s="187"/>
      <c r="R115" s="177"/>
      <c r="S115" s="177"/>
      <c r="T115" s="186"/>
      <c r="U115" s="139"/>
      <c r="V115" s="154"/>
      <c r="W115" s="170"/>
      <c r="X115" s="634" t="str">
        <f t="shared" si="48"/>
        <v>Isle of Wight</v>
      </c>
      <c r="Y115" s="638">
        <f>IF(Year1_Isle_of_Wight Year1_LAC_under16="","",Year1_Isle_of_Wight Year1_LAC_under16)</f>
        <v>140</v>
      </c>
      <c r="Z115" s="424">
        <f>IF(Year2_Isle_of_Wight Year2_LAC_under16="","",Year2_Isle_of_Wight Year2_LAC_under16)</f>
        <v>155</v>
      </c>
      <c r="AA115" s="424">
        <f>IF(Year3_Isle_of_Wight Year3_LAC_under16="","",Year3_Isle_of_Wight Year3_LAC_under16)</f>
        <v>145</v>
      </c>
      <c r="AB115" s="424">
        <f>IF(Year4_Isle_of_Wight Year4_LAC_under16="","",Year4_Isle_of_Wight Year4_LAC_under16)</f>
        <v>170</v>
      </c>
      <c r="AC115" s="634">
        <f>IF(Year5_Isle_of_Wight Year5_LAC_under16="","",Year5_Isle_of_Wight Year5_LAC_under16)</f>
        <v>186</v>
      </c>
      <c r="AD115" s="439" t="str">
        <f t="shared" si="49"/>
        <v>Isle of Wight</v>
      </c>
      <c r="AE115" s="534">
        <f>IF(Year1_Isle_of_Wight Year1_LAC_under16_2.5years="","",Year1_Isle_of_Wight Year1_LAC_under16_2.5years)</f>
        <v>40</v>
      </c>
      <c r="AF115" s="424" t="str">
        <f>IF(Year2_Isle_of_Wight Year2_LAC_under16_2.5years="","",Year2_Isle_of_Wight Year2_LAC_under16_2.5years)</f>
        <v/>
      </c>
      <c r="AG115" s="424">
        <f>IF(Year3_Isle_of_Wight Year3_LAC_under16_2.5years="","",Year3_Isle_of_Wight Year3_LAC_under16_2.5years)</f>
        <v>60</v>
      </c>
      <c r="AH115" s="424">
        <f>IF(Year4_Isle_of_Wight Year4_LAC_under16_2.5years="","",Year4_Isle_of_Wight Year4_LAC_under16_2.5years)</f>
        <v>55</v>
      </c>
      <c r="AI115" s="424">
        <f>IF(Year5_Isle_of_Wight Year5_LAC_under16_2.5years="","",Year5_Isle_of_Wight Year5_LAC_under16_2.5years)</f>
        <v>65</v>
      </c>
      <c r="AJ115" s="178"/>
      <c r="AR115" s="101" t="s">
        <v>104</v>
      </c>
    </row>
    <row r="116" spans="1:44" s="101" customFormat="1" ht="12.75" customHeight="1" x14ac:dyDescent="0.2">
      <c r="A116" s="533">
        <f>VLOOKUP(B116,Sheet1!$B$4:$C$25,2,FALSE)</f>
        <v>0</v>
      </c>
      <c r="B116" s="112" t="str">
        <f t="shared" si="42"/>
        <v>Kent</v>
      </c>
      <c r="C116" s="97"/>
      <c r="D116" s="182">
        <f t="shared" si="43"/>
        <v>0.40530303030303028</v>
      </c>
      <c r="E116" s="182" t="e">
        <f t="shared" si="44"/>
        <v>#N/A</v>
      </c>
      <c r="F116" s="182">
        <f t="shared" si="45"/>
        <v>0.43129770992366412</v>
      </c>
      <c r="G116" s="182">
        <f t="shared" si="46"/>
        <v>0.46179680940386231</v>
      </c>
      <c r="H116" s="184">
        <f t="shared" si="47"/>
        <v>0.5122171945701357</v>
      </c>
      <c r="I116" s="115"/>
      <c r="J116" s="115"/>
      <c r="K116" s="186"/>
      <c r="L116" s="186"/>
      <c r="M116" s="186"/>
      <c r="N116" s="186"/>
      <c r="O116" s="186"/>
      <c r="P116" s="186"/>
      <c r="Q116" s="187"/>
      <c r="R116" s="177"/>
      <c r="S116" s="177"/>
      <c r="T116" s="186"/>
      <c r="U116" s="139"/>
      <c r="V116" s="154"/>
      <c r="W116" s="170"/>
      <c r="X116" s="634" t="str">
        <f t="shared" si="48"/>
        <v>Kent</v>
      </c>
      <c r="Y116" s="638">
        <f>IF(Year1_Kent Year1_LAC_under16="","",Year1_Kent Year1_LAC_under16)</f>
        <v>1320</v>
      </c>
      <c r="Z116" s="424">
        <f>IF(Year2_Kent Year2_LAC_under16="","",Year2_Kent Year2_LAC_under16)</f>
        <v>1230</v>
      </c>
      <c r="AA116" s="424">
        <f>IF(Year3_Kent Year3_LAC_under16="","",Year3_Kent Year3_LAC_under16)</f>
        <v>1310</v>
      </c>
      <c r="AB116" s="424">
        <f>IF(Year4_Kent Year4_LAC_under16="","",Year4_Kent Year4_LAC_under16)</f>
        <v>1191</v>
      </c>
      <c r="AC116" s="634">
        <f>IF(Year5_Kent Year5_LAC_under16="","",Year5_Kent Year5_LAC_under16)</f>
        <v>1105</v>
      </c>
      <c r="AD116" s="439" t="str">
        <f t="shared" si="49"/>
        <v>Kent</v>
      </c>
      <c r="AE116" s="534">
        <f>IF(Year1_Kent Year1_LAC_under16_2.5years="","",Year1_Kent Year1_LAC_under16_2.5years)</f>
        <v>535</v>
      </c>
      <c r="AF116" s="424" t="str">
        <f>IF(Year2_Kent Year2_LAC_under16_2.5years="","",Year2_Kent Year2_LAC_under16_2.5years)</f>
        <v/>
      </c>
      <c r="AG116" s="424">
        <f>IF(Year3_Kent Year3_LAC_under16_2.5years="","",Year3_Kent Year3_LAC_under16_2.5years)</f>
        <v>565</v>
      </c>
      <c r="AH116" s="424">
        <f>IF(Year4_Kent Year4_LAC_under16_2.5years="","",Year4_Kent Year4_LAC_under16_2.5years)</f>
        <v>550</v>
      </c>
      <c r="AI116" s="424">
        <f>IF(Year5_Kent Year5_LAC_under16_2.5years="","",Year5_Kent Year5_LAC_under16_2.5years)</f>
        <v>566</v>
      </c>
      <c r="AJ116" s="178"/>
    </row>
    <row r="117" spans="1:44" s="101" customFormat="1" ht="12.75" customHeight="1" x14ac:dyDescent="0.2">
      <c r="A117" s="533">
        <f>VLOOKUP(B117,Sheet1!$B$4:$C$25,2,FALSE)</f>
        <v>0</v>
      </c>
      <c r="B117" s="112" t="str">
        <f t="shared" si="42"/>
        <v>Medway</v>
      </c>
      <c r="C117" s="97"/>
      <c r="D117" s="182">
        <f t="shared" si="43"/>
        <v>0.41269841269841268</v>
      </c>
      <c r="E117" s="182" t="e">
        <f t="shared" si="44"/>
        <v>#N/A</v>
      </c>
      <c r="F117" s="182">
        <f t="shared" si="45"/>
        <v>0.37681159420289856</v>
      </c>
      <c r="G117" s="182">
        <f t="shared" si="46"/>
        <v>0.47021943573667713</v>
      </c>
      <c r="H117" s="184">
        <f t="shared" si="47"/>
        <v>0.48973607038123168</v>
      </c>
      <c r="I117" s="115"/>
      <c r="J117" s="115"/>
      <c r="K117" s="186"/>
      <c r="L117" s="186"/>
      <c r="M117" s="186"/>
      <c r="N117" s="186"/>
      <c r="O117" s="186"/>
      <c r="P117" s="186"/>
      <c r="Q117" s="187"/>
      <c r="R117" s="177"/>
      <c r="S117" s="177"/>
      <c r="T117" s="186"/>
      <c r="U117" s="139"/>
      <c r="V117" s="154"/>
      <c r="W117" s="170"/>
      <c r="X117" s="634" t="str">
        <f t="shared" si="48"/>
        <v>Medway</v>
      </c>
      <c r="Y117" s="638">
        <f>IF(Year1_Medway Year1_LAC_under16="","",Year1_Medway Year1_LAC_under16)</f>
        <v>315</v>
      </c>
      <c r="Z117" s="424">
        <f>IF(Year2_Medway Year2_LAC_under16="","",Year2_Medway Year2_LAC_under16)</f>
        <v>355</v>
      </c>
      <c r="AA117" s="424">
        <f>IF(Year3_Medway Year3_LAC_under16="","",Year3_Medway Year3_LAC_under16)</f>
        <v>345</v>
      </c>
      <c r="AB117" s="424">
        <f>IF(Year4_Medway Year4_LAC_under16="","",Year4_Medway Year4_LAC_under16)</f>
        <v>319</v>
      </c>
      <c r="AC117" s="634">
        <f>IF(Year5_Medway Year5_LAC_under16="","",Year5_Medway Year5_LAC_under16)</f>
        <v>341</v>
      </c>
      <c r="AD117" s="439" t="str">
        <f t="shared" si="49"/>
        <v>Medway</v>
      </c>
      <c r="AE117" s="534">
        <f>IF(Year1_Medway Year1_LAC_under16_2.5years="","",Year1_Medway Year1_LAC_under16_2.5years)</f>
        <v>130</v>
      </c>
      <c r="AF117" s="424" t="str">
        <f>IF(Year2_Medway Year2_LAC_under16_2.5years="","",Year2_Medway Year2_LAC_under16_2.5years)</f>
        <v/>
      </c>
      <c r="AG117" s="424">
        <f>IF(Year3_Medway Year3_LAC_under16_2.5years="","",Year3_Medway Year3_LAC_under16_2.5years)</f>
        <v>130</v>
      </c>
      <c r="AH117" s="424">
        <f>IF(Year4_Medway Year4_LAC_under16_2.5years="","",Year4_Medway Year4_LAC_under16_2.5years)</f>
        <v>150</v>
      </c>
      <c r="AI117" s="424">
        <f>IF(Year5_Medway Year5_LAC_under16_2.5years="","",Year5_Medway Year5_LAC_under16_2.5years)</f>
        <v>167</v>
      </c>
      <c r="AJ117" s="178"/>
    </row>
    <row r="118" spans="1:44" s="101" customFormat="1" ht="12.75" customHeight="1" x14ac:dyDescent="0.2">
      <c r="A118" s="533">
        <f>VLOOKUP(B118,Sheet1!$B$4:$C$25,2,FALSE)</f>
        <v>0</v>
      </c>
      <c r="B118" s="112" t="str">
        <f t="shared" si="42"/>
        <v>Milton Keynes</v>
      </c>
      <c r="C118" s="97"/>
      <c r="D118" s="182">
        <f t="shared" si="43"/>
        <v>0.36734693877551022</v>
      </c>
      <c r="E118" s="182" t="e">
        <f t="shared" si="44"/>
        <v>#N/A</v>
      </c>
      <c r="F118" s="182">
        <f t="shared" si="45"/>
        <v>0.44</v>
      </c>
      <c r="G118" s="182">
        <f t="shared" si="46"/>
        <v>0.39473684210526316</v>
      </c>
      <c r="H118" s="184">
        <f t="shared" si="47"/>
        <v>0.40251572327044027</v>
      </c>
      <c r="I118" s="115"/>
      <c r="J118" s="115"/>
      <c r="K118" s="186"/>
      <c r="L118" s="186"/>
      <c r="M118" s="186"/>
      <c r="N118" s="186"/>
      <c r="O118" s="186"/>
      <c r="P118" s="186"/>
      <c r="Q118" s="187"/>
      <c r="R118" s="177"/>
      <c r="S118" s="177"/>
      <c r="T118" s="186"/>
      <c r="U118" s="139"/>
      <c r="V118" s="154"/>
      <c r="W118" s="170"/>
      <c r="X118" s="634" t="str">
        <f t="shared" si="48"/>
        <v>Milton Keynes</v>
      </c>
      <c r="Y118" s="638">
        <f>IF(Year1_Milton_Keynes Year1_LAC_under16="","",Year1_Milton_Keynes Year1_LAC_under16)</f>
        <v>245</v>
      </c>
      <c r="Z118" s="424">
        <f>IF(Year2_Milton_Keynes Year2_LAC_under16="","",Year2_Milton_Keynes Year2_LAC_under16)</f>
        <v>250</v>
      </c>
      <c r="AA118" s="424">
        <f>IF(Year3_Milton_Keynes Year3_LAC_under16="","",Year3_Milton_Keynes Year3_LAC_under16)</f>
        <v>250</v>
      </c>
      <c r="AB118" s="424">
        <f>IF(Year4_Milton_Keynes Year4_LAC_under16="","",Year4_Milton_Keynes Year4_LAC_under16)</f>
        <v>304</v>
      </c>
      <c r="AC118" s="634">
        <f>IF(Year5_Milton_Keynes Year5_LAC_under16="","",Year5_Milton_Keynes Year5_LAC_under16)</f>
        <v>318</v>
      </c>
      <c r="AD118" s="439" t="str">
        <f t="shared" si="49"/>
        <v>Milton Keynes</v>
      </c>
      <c r="AE118" s="534">
        <f>IF(Year1_Milton_Keynes Year1_LAC_under16_2.5years="","",Year1_Milton_Keynes Year1_LAC_under16_2.5years)</f>
        <v>90</v>
      </c>
      <c r="AF118" s="424" t="str">
        <f>IF(Year2_Milton_Keynes Year2_LAC_under16_2.5years="","",Year2_Milton_Keynes Year2_LAC_under16_2.5years)</f>
        <v/>
      </c>
      <c r="AG118" s="424">
        <f>IF(Year3_Milton_Keynes Year3_LAC_under16_2.5years="","",Year3_Milton_Keynes Year3_LAC_under16_2.5years)</f>
        <v>110</v>
      </c>
      <c r="AH118" s="424">
        <f>IF(Year4_Milton_Keynes Year4_LAC_under16_2.5years="","",Year4_Milton_Keynes Year4_LAC_under16_2.5years)</f>
        <v>120</v>
      </c>
      <c r="AI118" s="424">
        <f>IF(Year5_Milton_Keynes Year5_LAC_under16_2.5years="","",Year5_Milton_Keynes Year5_LAC_under16_2.5years)</f>
        <v>128</v>
      </c>
      <c r="AJ118" s="178"/>
    </row>
    <row r="119" spans="1:44" s="101" customFormat="1" ht="12.75" customHeight="1" x14ac:dyDescent="0.2">
      <c r="A119" s="533">
        <f>VLOOKUP(B119,Sheet1!$B$4:$C$25,2,FALSE)</f>
        <v>0</v>
      </c>
      <c r="B119" s="112" t="str">
        <f t="shared" si="42"/>
        <v>Oxfordshire</v>
      </c>
      <c r="C119" s="97"/>
      <c r="D119" s="182">
        <f t="shared" si="43"/>
        <v>0.2857142857142857</v>
      </c>
      <c r="E119" s="182" t="e">
        <f t="shared" si="44"/>
        <v>#N/A</v>
      </c>
      <c r="F119" s="182">
        <f t="shared" si="45"/>
        <v>0.27586206896551724</v>
      </c>
      <c r="G119" s="182">
        <f t="shared" si="46"/>
        <v>0.25590551181102361</v>
      </c>
      <c r="H119" s="184">
        <f t="shared" si="47"/>
        <v>0.31517509727626458</v>
      </c>
      <c r="I119" s="115"/>
      <c r="J119" s="115"/>
      <c r="K119" s="186"/>
      <c r="L119" s="186"/>
      <c r="M119" s="186"/>
      <c r="N119" s="186"/>
      <c r="O119" s="186"/>
      <c r="P119" s="186"/>
      <c r="Q119" s="187"/>
      <c r="R119" s="177"/>
      <c r="S119" s="177"/>
      <c r="T119" s="186"/>
      <c r="U119" s="139"/>
      <c r="V119" s="154"/>
      <c r="W119" s="170"/>
      <c r="X119" s="634" t="str">
        <f t="shared" si="48"/>
        <v>Oxfordshire</v>
      </c>
      <c r="Y119" s="638">
        <f>IF(Year1_Oxfordshire Year1_LAC_under16="","",Year1_Oxfordshire Year1_LAC_under16)</f>
        <v>350</v>
      </c>
      <c r="Z119" s="424">
        <f>IF(Year2_Oxfordshire Year2_LAC_under16="","",Year2_Oxfordshire Year2_LAC_under16)</f>
        <v>375</v>
      </c>
      <c r="AA119" s="424">
        <f>IF(Year3_Oxfordshire Year3_LAC_under16="","",Year3_Oxfordshire Year3_LAC_under16)</f>
        <v>435</v>
      </c>
      <c r="AB119" s="424">
        <f>IF(Year4_Oxfordshire Year4_LAC_under16="","",Year4_Oxfordshire Year4_LAC_under16)</f>
        <v>508</v>
      </c>
      <c r="AC119" s="634">
        <f>IF(Year5_Oxfordshire Year5_LAC_under16="","",Year5_Oxfordshire Year5_LAC_under16)</f>
        <v>514</v>
      </c>
      <c r="AD119" s="439" t="str">
        <f t="shared" si="49"/>
        <v>Oxfordshire</v>
      </c>
      <c r="AE119" s="534">
        <f>IF(Year1_Oxfordshire Year1_LAC_under16_2.5years="","",Year1_Oxfordshire Year1_LAC_under16_2.5years)</f>
        <v>100</v>
      </c>
      <c r="AF119" s="424" t="str">
        <f>IF(Year2_Oxfordshire Year2_LAC_under16_2.5years="","",Year2_Oxfordshire Year2_LAC_under16_2.5years)</f>
        <v/>
      </c>
      <c r="AG119" s="424">
        <f>IF(Year3_Oxfordshire Year3_LAC_under16_2.5years="","",Year3_Oxfordshire Year3_LAC_under16_2.5years)</f>
        <v>120</v>
      </c>
      <c r="AH119" s="424">
        <f>IF(Year4_Oxfordshire Year4_LAC_under16_2.5years="","",Year4_Oxfordshire Year4_LAC_under16_2.5years)</f>
        <v>130</v>
      </c>
      <c r="AI119" s="424">
        <f>IF(Year5_Oxfordshire Year5_LAC_under16_2.5years="","",Year5_Oxfordshire Year5_LAC_under16_2.5years)</f>
        <v>162</v>
      </c>
      <c r="AJ119" s="178"/>
    </row>
    <row r="120" spans="1:44" s="101" customFormat="1" ht="12.75" customHeight="1" x14ac:dyDescent="0.2">
      <c r="A120" s="533">
        <f>VLOOKUP(B120,Sheet1!$B$4:$C$25,2,FALSE)</f>
        <v>0</v>
      </c>
      <c r="B120" s="112" t="str">
        <f t="shared" si="42"/>
        <v>Portsmouth</v>
      </c>
      <c r="C120" s="97"/>
      <c r="D120" s="182">
        <f t="shared" si="43"/>
        <v>0.42307692307692307</v>
      </c>
      <c r="E120" s="182" t="e">
        <f t="shared" si="44"/>
        <v>#N/A</v>
      </c>
      <c r="F120" s="182">
        <f t="shared" si="45"/>
        <v>0.42307692307692307</v>
      </c>
      <c r="G120" s="182">
        <f t="shared" si="46"/>
        <v>0.45955882352941174</v>
      </c>
      <c r="H120" s="184">
        <f t="shared" si="47"/>
        <v>0.40476190476190477</v>
      </c>
      <c r="I120" s="115"/>
      <c r="J120" s="115"/>
      <c r="K120" s="186"/>
      <c r="L120" s="186"/>
      <c r="M120" s="186"/>
      <c r="N120" s="186"/>
      <c r="O120" s="186"/>
      <c r="P120" s="186"/>
      <c r="Q120" s="187"/>
      <c r="R120" s="177"/>
      <c r="S120" s="177"/>
      <c r="T120" s="186"/>
      <c r="U120" s="139"/>
      <c r="V120" s="154"/>
      <c r="W120" s="170"/>
      <c r="X120" s="634" t="str">
        <f t="shared" si="48"/>
        <v>Portsmouth</v>
      </c>
      <c r="Y120" s="638">
        <f>IF(Year1_Portsmouth Year1_LAC_under16="","",Year1_Portsmouth Year1_LAC_under16)</f>
        <v>260</v>
      </c>
      <c r="Z120" s="424">
        <f>IF(Year2_Portsmouth Year2_LAC_under16="","",Year2_Portsmouth Year2_LAC_under16)</f>
        <v>265</v>
      </c>
      <c r="AA120" s="424">
        <f>IF(Year3_Portsmouth Year3_LAC_under16="","",Year3_Portsmouth Year3_LAC_under16)</f>
        <v>260</v>
      </c>
      <c r="AB120" s="424">
        <f>IF(Year4_Portsmouth Year4_LAC_under16="","",Year4_Portsmouth Year4_LAC_under16)</f>
        <v>272</v>
      </c>
      <c r="AC120" s="634">
        <f>IF(Year5_Portsmouth Year5_LAC_under16="","",Year5_Portsmouth Year5_LAC_under16)</f>
        <v>294</v>
      </c>
      <c r="AD120" s="439" t="str">
        <f t="shared" si="49"/>
        <v>Portsmouth</v>
      </c>
      <c r="AE120" s="534">
        <f>IF(Year1_Portsmouth Year1_LAC_under16_2.5years="","",Year1_Portsmouth Year1_LAC_under16_2.5years)</f>
        <v>110</v>
      </c>
      <c r="AF120" s="424" t="str">
        <f>IF(Year2_Portsmouth Year2_LAC_under16_2.5years="","",Year2_Portsmouth Year2_LAC_under16_2.5years)</f>
        <v/>
      </c>
      <c r="AG120" s="424">
        <f>IF(Year3_Portsmouth Year3_LAC_under16_2.5years="","",Year3_Portsmouth Year3_LAC_under16_2.5years)</f>
        <v>110</v>
      </c>
      <c r="AH120" s="424">
        <f>IF(Year4_Portsmouth Year4_LAC_under16_2.5years="","",Year4_Portsmouth Year4_LAC_under16_2.5years)</f>
        <v>125</v>
      </c>
      <c r="AI120" s="424">
        <f>IF(Year5_Portsmouth Year5_LAC_under16_2.5years="","",Year5_Portsmouth Year5_LAC_under16_2.5years)</f>
        <v>119</v>
      </c>
      <c r="AJ120" s="178"/>
    </row>
    <row r="121" spans="1:44" s="101" customFormat="1" ht="12.75" customHeight="1" x14ac:dyDescent="0.2">
      <c r="A121" s="533">
        <f>VLOOKUP(B121,Sheet1!$B$4:$C$25,2,FALSE)</f>
        <v>0</v>
      </c>
      <c r="B121" s="112" t="str">
        <f t="shared" si="42"/>
        <v>Reading</v>
      </c>
      <c r="C121" s="97"/>
      <c r="D121" s="182">
        <f t="shared" si="43"/>
        <v>0.45454545454545453</v>
      </c>
      <c r="E121" s="182" t="e">
        <f t="shared" si="44"/>
        <v>#N/A</v>
      </c>
      <c r="F121" s="182">
        <f t="shared" si="45"/>
        <v>0.37142857142857144</v>
      </c>
      <c r="G121" s="182">
        <f t="shared" si="46"/>
        <v>0.29556650246305421</v>
      </c>
      <c r="H121" s="184">
        <f t="shared" si="47"/>
        <v>0.37168141592920356</v>
      </c>
      <c r="I121" s="115"/>
      <c r="J121" s="115"/>
      <c r="K121" s="186"/>
      <c r="L121" s="186"/>
      <c r="M121" s="186"/>
      <c r="N121" s="186"/>
      <c r="O121" s="186"/>
      <c r="P121" s="186"/>
      <c r="Q121" s="187"/>
      <c r="R121" s="177"/>
      <c r="S121" s="177"/>
      <c r="T121" s="186"/>
      <c r="U121" s="139"/>
      <c r="V121" s="154"/>
      <c r="W121" s="170"/>
      <c r="X121" s="634" t="str">
        <f t="shared" si="48"/>
        <v>Reading</v>
      </c>
      <c r="Y121" s="638">
        <f>IF(Year1_Reading Year1_LAC_under16="","",Year1_Reading Year1_LAC_under16)</f>
        <v>165</v>
      </c>
      <c r="Z121" s="424">
        <f>IF(Year2_Reading Year2_LAC_under16="","",Year2_Reading Year2_LAC_under16)</f>
        <v>160</v>
      </c>
      <c r="AA121" s="424">
        <f>IF(Year3_Reading Year3_LAC_under16="","",Year3_Reading Year3_LAC_under16)</f>
        <v>175</v>
      </c>
      <c r="AB121" s="424">
        <f>IF(Year4_Reading Year4_LAC_under16="","",Year4_Reading Year4_LAC_under16)</f>
        <v>203</v>
      </c>
      <c r="AC121" s="634">
        <f>IF(Year5_Reading Year5_LAC_under16="","",Year5_Reading Year5_LAC_under16)</f>
        <v>226</v>
      </c>
      <c r="AD121" s="439" t="str">
        <f t="shared" si="49"/>
        <v>Reading</v>
      </c>
      <c r="AE121" s="534">
        <f>IF(Year1_Reading Year1_LAC_under16_2.5years="","",Year1_Reading Year1_LAC_under16_2.5years)</f>
        <v>75</v>
      </c>
      <c r="AF121" s="424" t="str">
        <f>IF(Year2_Reading Year2_LAC_under16_2.5years="","",Year2_Reading Year2_LAC_under16_2.5years)</f>
        <v/>
      </c>
      <c r="AG121" s="424">
        <f>IF(Year3_Reading Year3_LAC_under16_2.5years="","",Year3_Reading Year3_LAC_under16_2.5years)</f>
        <v>65</v>
      </c>
      <c r="AH121" s="424">
        <f>IF(Year4_Reading Year4_LAC_under16_2.5years="","",Year4_Reading Year4_LAC_under16_2.5years)</f>
        <v>60</v>
      </c>
      <c r="AI121" s="424">
        <f>IF(Year5_Reading Year5_LAC_under16_2.5years="","",Year5_Reading Year5_LAC_under16_2.5years)</f>
        <v>84</v>
      </c>
      <c r="AJ121" s="178"/>
    </row>
    <row r="122" spans="1:44" s="101" customFormat="1" ht="12.75" customHeight="1" x14ac:dyDescent="0.2">
      <c r="A122" s="533">
        <f>VLOOKUP(B122,Sheet1!$B$4:$C$25,2,FALSE)</f>
        <v>0</v>
      </c>
      <c r="B122" s="112" t="str">
        <f t="shared" si="42"/>
        <v>Slough</v>
      </c>
      <c r="C122" s="97"/>
      <c r="D122" s="182">
        <f t="shared" si="43"/>
        <v>0.37037037037037035</v>
      </c>
      <c r="E122" s="182" t="e">
        <f t="shared" si="44"/>
        <v>#N/A</v>
      </c>
      <c r="F122" s="182">
        <f t="shared" si="45"/>
        <v>0.36666666666666664</v>
      </c>
      <c r="G122" s="182">
        <f t="shared" si="46"/>
        <v>0.35714285714285715</v>
      </c>
      <c r="H122" s="184">
        <f t="shared" si="47"/>
        <v>0.30463576158940397</v>
      </c>
      <c r="I122" s="115"/>
      <c r="J122" s="115"/>
      <c r="K122" s="186"/>
      <c r="L122" s="186"/>
      <c r="M122" s="186"/>
      <c r="N122" s="186"/>
      <c r="O122" s="186"/>
      <c r="P122" s="186"/>
      <c r="Q122" s="187"/>
      <c r="R122" s="177"/>
      <c r="S122" s="177"/>
      <c r="T122" s="186"/>
      <c r="U122" s="139"/>
      <c r="V122" s="154"/>
      <c r="W122" s="170"/>
      <c r="X122" s="634" t="str">
        <f t="shared" si="48"/>
        <v>Slough</v>
      </c>
      <c r="Y122" s="638">
        <f>IF(Year1_Slough Year1_LAC_under16="","",Year1_Slough Year1_LAC_under16)</f>
        <v>135</v>
      </c>
      <c r="Z122" s="424">
        <f>IF(Year2_Slough Year2_LAC_under16="","",Year2_Slough Year2_LAC_under16)</f>
        <v>155</v>
      </c>
      <c r="AA122" s="424">
        <f>IF(Year3_Slough Year3_LAC_under16="","",Year3_Slough Year3_LAC_under16)</f>
        <v>150</v>
      </c>
      <c r="AB122" s="424">
        <f>IF(Year4_Slough Year4_LAC_under16="","",Year4_Slough Year4_LAC_under16)</f>
        <v>140</v>
      </c>
      <c r="AC122" s="634">
        <f>IF(Year5_Slough Year5_LAC_under16="","",Year5_Slough Year5_LAC_under16)</f>
        <v>151</v>
      </c>
      <c r="AD122" s="439" t="str">
        <f t="shared" si="49"/>
        <v>Slough</v>
      </c>
      <c r="AE122" s="534">
        <f>IF(Year1_Slough Year1_LAC_under16_2.5years="","",Year1_Slough Year1_LAC_under16_2.5years)</f>
        <v>50</v>
      </c>
      <c r="AF122" s="424" t="str">
        <f>IF(Year2_Slough Year2_LAC_under16_2.5years="","",Year2_Slough Year2_LAC_under16_2.5years)</f>
        <v/>
      </c>
      <c r="AG122" s="424">
        <f>IF(Year3_Slough Year3_LAC_under16_2.5years="","",Year3_Slough Year3_LAC_under16_2.5years)</f>
        <v>55</v>
      </c>
      <c r="AH122" s="424">
        <f>IF(Year4_Slough Year4_LAC_under16_2.5years="","",Year4_Slough Year4_LAC_under16_2.5years)</f>
        <v>50</v>
      </c>
      <c r="AI122" s="424">
        <f>IF(Year5_Slough Year5_LAC_under16_2.5years="","",Year5_Slough Year5_LAC_under16_2.5years)</f>
        <v>46</v>
      </c>
      <c r="AJ122" s="178"/>
    </row>
    <row r="123" spans="1:44" s="101" customFormat="1" ht="12.75" customHeight="1" x14ac:dyDescent="0.2">
      <c r="A123" s="533">
        <f>VLOOKUP(B123,Sheet1!$B$4:$C$25,2,FALSE)</f>
        <v>0</v>
      </c>
      <c r="B123" s="112" t="str">
        <f t="shared" si="42"/>
        <v>Somerset</v>
      </c>
      <c r="C123" s="97"/>
      <c r="D123" s="182">
        <f t="shared" si="43"/>
        <v>0.30666666666666664</v>
      </c>
      <c r="E123" s="182" t="e">
        <f t="shared" si="44"/>
        <v>#N/A</v>
      </c>
      <c r="F123" s="182">
        <f t="shared" si="45"/>
        <v>0.38461538461538464</v>
      </c>
      <c r="G123" s="182">
        <f t="shared" si="46"/>
        <v>0.4178272980501393</v>
      </c>
      <c r="H123" s="184">
        <f t="shared" si="47"/>
        <v>0.41687979539641945</v>
      </c>
      <c r="I123" s="115"/>
      <c r="J123" s="115"/>
      <c r="K123" s="186"/>
      <c r="L123" s="186"/>
      <c r="M123" s="186"/>
      <c r="N123" s="186"/>
      <c r="O123" s="186"/>
      <c r="P123" s="186"/>
      <c r="Q123" s="187"/>
      <c r="R123" s="177"/>
      <c r="S123" s="177"/>
      <c r="T123" s="186"/>
      <c r="U123" s="139"/>
      <c r="V123" s="154"/>
      <c r="W123" s="170"/>
      <c r="X123" s="634" t="str">
        <f t="shared" si="48"/>
        <v>Somerset</v>
      </c>
      <c r="Y123" s="638">
        <f>IF(Year1_Somerset Year1_LAC_under16="","",Year1_Somerset Year1_LAC_under16)</f>
        <v>375</v>
      </c>
      <c r="Z123" s="424">
        <f>IF(Year2_Somerset Year2_LAC_under16="","",Year2_Somerset Year2_LAC_under16)</f>
        <v>390</v>
      </c>
      <c r="AA123" s="424">
        <f>IF(Year3_Somerset Year3_LAC_under16="","",Year3_Somerset Year3_LAC_under16)</f>
        <v>390</v>
      </c>
      <c r="AB123" s="424">
        <f>IF(Year4_Somerset Year4_LAC_under16="","",Year4_Somerset Year4_LAC_under16)</f>
        <v>359</v>
      </c>
      <c r="AC123" s="634">
        <f>IF(Year5_Somerset Year5_LAC_under16="","",Year5_Somerset Year5_LAC_under16)</f>
        <v>391</v>
      </c>
      <c r="AD123" s="439" t="str">
        <f t="shared" si="49"/>
        <v>Somerset</v>
      </c>
      <c r="AE123" s="534">
        <f>IF(Year1_Somerset Year1_LAC_under16_2.5years="","",Year1_Somerset Year1_LAC_under16_2.5years)</f>
        <v>115</v>
      </c>
      <c r="AF123" s="424" t="str">
        <f>IF(Year2_Somerset Year2_LAC_under16_2.5years="","",Year2_Somerset Year2_LAC_under16_2.5years)</f>
        <v/>
      </c>
      <c r="AG123" s="424">
        <f>IF(Year3_Somerset Year3_LAC_under16_2.5years="","",Year3_Somerset Year3_LAC_under16_2.5years)</f>
        <v>150</v>
      </c>
      <c r="AH123" s="424">
        <f>IF(Year4_Somerset Year4_LAC_under16_2.5years="","",Year4_Somerset Year4_LAC_under16_2.5years)</f>
        <v>150</v>
      </c>
      <c r="AI123" s="424">
        <f>IF(Year5_Somerset Year5_LAC_under16_2.5years="","",Year5_Somerset Year5_LAC_under16_2.5years)</f>
        <v>163</v>
      </c>
      <c r="AJ123" s="178"/>
    </row>
    <row r="124" spans="1:44" s="101" customFormat="1" ht="12.75" customHeight="1" x14ac:dyDescent="0.2">
      <c r="A124" s="533">
        <f>VLOOKUP(B124,Sheet1!$B$4:$C$25,2,FALSE)</f>
        <v>0</v>
      </c>
      <c r="B124" s="112" t="str">
        <f t="shared" si="42"/>
        <v>Southampton</v>
      </c>
      <c r="C124" s="97"/>
      <c r="D124" s="182">
        <f t="shared" si="43"/>
        <v>0.33707865168539325</v>
      </c>
      <c r="E124" s="182" t="e">
        <f t="shared" si="44"/>
        <v>#N/A</v>
      </c>
      <c r="F124" s="182">
        <f t="shared" si="45"/>
        <v>0.37864077669902912</v>
      </c>
      <c r="G124" s="182">
        <f t="shared" si="46"/>
        <v>0.49568965517241381</v>
      </c>
      <c r="H124" s="184">
        <f t="shared" si="47"/>
        <v>0.53061224489795922</v>
      </c>
      <c r="I124" s="115"/>
      <c r="J124" s="115"/>
      <c r="K124" s="186"/>
      <c r="L124" s="186"/>
      <c r="M124" s="186"/>
      <c r="N124" s="186"/>
      <c r="O124" s="186"/>
      <c r="P124" s="186"/>
      <c r="Q124" s="187"/>
      <c r="R124" s="177"/>
      <c r="S124" s="177"/>
      <c r="T124" s="186"/>
      <c r="U124" s="139"/>
      <c r="V124" s="154"/>
      <c r="W124" s="170"/>
      <c r="X124" s="634" t="str">
        <f t="shared" si="48"/>
        <v>Southampton</v>
      </c>
      <c r="Y124" s="638">
        <f>IF(Year1_Southampton Year1_LAC_under16="","",Year1_Southampton Year1_LAC_under16)</f>
        <v>445</v>
      </c>
      <c r="Z124" s="424">
        <f>IF(Year2_Southampton Year2_LAC_under16="","",Year2_Southampton Year2_LAC_under16)</f>
        <v>515</v>
      </c>
      <c r="AA124" s="424">
        <f>IF(Year3_Southampton Year3_LAC_under16="","",Year3_Southampton Year3_LAC_under16)</f>
        <v>515</v>
      </c>
      <c r="AB124" s="424">
        <f>IF(Year4_Southampton Year4_LAC_under16="","",Year4_Southampton Year4_LAC_under16)</f>
        <v>464</v>
      </c>
      <c r="AC124" s="634">
        <f>IF(Year5_Southampton Year5_LAC_under16="","",Year5_Southampton Year5_LAC_under16)</f>
        <v>441</v>
      </c>
      <c r="AD124" s="439" t="str">
        <f t="shared" si="49"/>
        <v>Southampton</v>
      </c>
      <c r="AE124" s="534">
        <f>IF(Year1_Southampton Year1_LAC_under16_2.5years="","",Year1_Southampton Year1_LAC_under16_2.5years)</f>
        <v>150</v>
      </c>
      <c r="AF124" s="424" t="str">
        <f>IF(Year2_Southampton Year2_LAC_under16_2.5years="","",Year2_Southampton Year2_LAC_under16_2.5years)</f>
        <v/>
      </c>
      <c r="AG124" s="424">
        <f>IF(Year3_Southampton Year3_LAC_under16_2.5years="","",Year3_Southampton Year3_LAC_under16_2.5years)</f>
        <v>195</v>
      </c>
      <c r="AH124" s="424">
        <f>IF(Year4_Southampton Year4_LAC_under16_2.5years="","",Year4_Southampton Year4_LAC_under16_2.5years)</f>
        <v>230</v>
      </c>
      <c r="AI124" s="424">
        <f>IF(Year5_Southampton Year5_LAC_under16_2.5years="","",Year5_Southampton Year5_LAC_under16_2.5years)</f>
        <v>234</v>
      </c>
      <c r="AJ124" s="178"/>
    </row>
    <row r="125" spans="1:44" s="101" customFormat="1" ht="12.75" customHeight="1" x14ac:dyDescent="0.2">
      <c r="A125" s="533">
        <f>VLOOKUP(B125,Sheet1!$B$4:$C$25,2,FALSE)</f>
        <v>0</v>
      </c>
      <c r="B125" s="112" t="str">
        <f t="shared" si="42"/>
        <v>Surrey</v>
      </c>
      <c r="C125" s="97"/>
      <c r="D125" s="182">
        <f t="shared" si="43"/>
        <v>0.35344827586206895</v>
      </c>
      <c r="E125" s="182" t="e">
        <f t="shared" si="44"/>
        <v>#N/A</v>
      </c>
      <c r="F125" s="182">
        <f t="shared" si="45"/>
        <v>0.39166666666666666</v>
      </c>
      <c r="G125" s="182">
        <f t="shared" si="46"/>
        <v>0.38128249566724437</v>
      </c>
      <c r="H125" s="184">
        <f t="shared" si="47"/>
        <v>0.37308868501529052</v>
      </c>
      <c r="I125" s="115"/>
      <c r="J125" s="115"/>
      <c r="K125" s="186"/>
      <c r="L125" s="186"/>
      <c r="M125" s="186"/>
      <c r="N125" s="186"/>
      <c r="O125" s="186"/>
      <c r="P125" s="186"/>
      <c r="Q125" s="187"/>
      <c r="R125" s="177"/>
      <c r="S125" s="177"/>
      <c r="T125" s="186"/>
      <c r="U125" s="139"/>
      <c r="V125" s="154"/>
      <c r="W125" s="170"/>
      <c r="X125" s="634" t="str">
        <f t="shared" si="48"/>
        <v>Surrey</v>
      </c>
      <c r="Y125" s="638">
        <f>IF(Year1_Surrey Year1_LAC_under16="","",Year1_Surrey Year1_LAC_under16)</f>
        <v>580</v>
      </c>
      <c r="Z125" s="424">
        <f>IF(Year2_Surrey Year2_LAC_under16="","",Year2_Surrey Year2_LAC_under16)</f>
        <v>560</v>
      </c>
      <c r="AA125" s="424">
        <f>IF(Year3_Surrey Year3_LAC_under16="","",Year3_Surrey Year3_LAC_under16)</f>
        <v>600</v>
      </c>
      <c r="AB125" s="424">
        <f>IF(Year4_Surrey Year4_LAC_under16="","",Year4_Surrey Year4_LAC_under16)</f>
        <v>577</v>
      </c>
      <c r="AC125" s="634">
        <f>IF(Year5_Surrey Year5_LAC_under16="","",Year5_Surrey Year5_LAC_under16)</f>
        <v>654</v>
      </c>
      <c r="AD125" s="439" t="str">
        <f t="shared" si="49"/>
        <v>Surrey</v>
      </c>
      <c r="AE125" s="534">
        <f>IF(Year1_Surrey Year1_LAC_under16_2.5years="","",Year1_Surrey Year1_LAC_under16_2.5years)</f>
        <v>205</v>
      </c>
      <c r="AF125" s="424" t="str">
        <f>IF(Year2_Surrey Year2_LAC_under16_2.5years="","",Year2_Surrey Year2_LAC_under16_2.5years)</f>
        <v/>
      </c>
      <c r="AG125" s="424">
        <f>IF(Year3_Surrey Year3_LAC_under16_2.5years="","",Year3_Surrey Year3_LAC_under16_2.5years)</f>
        <v>235</v>
      </c>
      <c r="AH125" s="424">
        <f>IF(Year4_Surrey Year4_LAC_under16_2.5years="","",Year4_Surrey Year4_LAC_under16_2.5years)</f>
        <v>220</v>
      </c>
      <c r="AI125" s="424">
        <f>IF(Year5_Surrey Year5_LAC_under16_2.5years="","",Year5_Surrey Year5_LAC_under16_2.5years)</f>
        <v>244</v>
      </c>
      <c r="AJ125" s="178"/>
    </row>
    <row r="126" spans="1:44" s="101" customFormat="1" ht="12.75" customHeight="1" x14ac:dyDescent="0.2">
      <c r="A126" s="533">
        <f>VLOOKUP(B126,Sheet1!$B$4:$C$25,2,FALSE)</f>
        <v>0</v>
      </c>
      <c r="B126" s="112" t="str">
        <f t="shared" si="42"/>
        <v>Swindon</v>
      </c>
      <c r="C126" s="97"/>
      <c r="D126" s="182">
        <f t="shared" si="43"/>
        <v>0.3783783783783784</v>
      </c>
      <c r="E126" s="182" t="e">
        <f t="shared" si="44"/>
        <v>#N/A</v>
      </c>
      <c r="F126" s="182">
        <f t="shared" si="45"/>
        <v>0.28888888888888886</v>
      </c>
      <c r="G126" s="182">
        <f t="shared" si="46"/>
        <v>0.22988505747126436</v>
      </c>
      <c r="H126" s="184">
        <f t="shared" si="47"/>
        <v>0.24014336917562723</v>
      </c>
      <c r="I126" s="115"/>
      <c r="J126" s="115"/>
      <c r="K126" s="186"/>
      <c r="L126" s="186"/>
      <c r="M126" s="186"/>
      <c r="N126" s="186"/>
      <c r="O126" s="186"/>
      <c r="P126" s="186"/>
      <c r="Q126" s="187"/>
      <c r="R126" s="177"/>
      <c r="S126" s="177"/>
      <c r="T126" s="186"/>
      <c r="U126" s="139"/>
      <c r="V126" s="154"/>
      <c r="W126" s="170"/>
      <c r="X126" s="634" t="str">
        <f t="shared" si="48"/>
        <v>Swindon</v>
      </c>
      <c r="Y126" s="638">
        <f>IF(Year1_Swindon Year1_LAC_under16="","",Year1_Swindon Year1_LAC_under16)</f>
        <v>185</v>
      </c>
      <c r="Z126" s="424">
        <f>IF(Year2_Swindon Year2_LAC_under16="","",Year2_Swindon Year2_LAC_under16)</f>
        <v>175</v>
      </c>
      <c r="AA126" s="424">
        <f>IF(Year3_Swindon Year3_LAC_under16="","",Year3_Swindon Year3_LAC_under16)</f>
        <v>225</v>
      </c>
      <c r="AB126" s="637">
        <f>IF(Year4_Swindon Year4_LAC_under16="","",Year4_Swindon Year4_LAC_under16)</f>
        <v>261</v>
      </c>
      <c r="AC126" s="659">
        <f>IF(Year5_Swindon Year5_LAC_under16="","",Year5_Swindon Year5_LAC_under16)</f>
        <v>279</v>
      </c>
      <c r="AD126" s="439" t="str">
        <f t="shared" si="49"/>
        <v>Swindon</v>
      </c>
      <c r="AE126" s="534">
        <f>IF(Year1_Swindon Year1_LAC_under16_2.5years="","",Year1_Swindon Year1_LAC_under16_2.5years)</f>
        <v>70</v>
      </c>
      <c r="AF126" s="424" t="str">
        <f>IF(Year2_Swindon Year2_LAC_under16_2.5years="","",Year2_Swindon Year2_LAC_under16_2.5years)</f>
        <v/>
      </c>
      <c r="AG126" s="424">
        <f>IF(Year3_Swindon Year3_LAC_under16_2.5years="","",Year3_Swindon Year3_LAC_under16_2.5years)</f>
        <v>65</v>
      </c>
      <c r="AH126" s="637">
        <f>IF(Year4_Swindon Year4_LAC_under16_2.5years="","",Year4_Swindon Year4_LAC_under16_2.5years)</f>
        <v>60</v>
      </c>
      <c r="AI126" s="660">
        <f>IF(Year5_Swindon Year5_LAC_under16_2.5years="","",Year5_Swindon Year5_LAC_under16_2.5years)</f>
        <v>67</v>
      </c>
      <c r="AJ126" s="178"/>
    </row>
    <row r="127" spans="1:44" s="101" customFormat="1" ht="12.75" customHeight="1" x14ac:dyDescent="0.2">
      <c r="A127" s="533">
        <f>VLOOKUP(B127,Sheet1!$B$4:$C$25,2,FALSE)</f>
        <v>0</v>
      </c>
      <c r="B127" s="112" t="str">
        <f t="shared" si="42"/>
        <v>Torbay</v>
      </c>
      <c r="C127" s="97"/>
      <c r="D127" s="182">
        <f t="shared" si="43"/>
        <v>0.30188679245283018</v>
      </c>
      <c r="E127" s="182" t="e">
        <f t="shared" si="44"/>
        <v>#N/A</v>
      </c>
      <c r="F127" s="182">
        <f t="shared" si="45"/>
        <v>0.53333333333333333</v>
      </c>
      <c r="G127" s="182">
        <f t="shared" si="46"/>
        <v>0.53418803418803418</v>
      </c>
      <c r="H127" s="184">
        <f t="shared" si="47"/>
        <v>0.49070631970260226</v>
      </c>
      <c r="I127" s="115"/>
      <c r="J127" s="115"/>
      <c r="K127" s="186"/>
      <c r="L127" s="186"/>
      <c r="M127" s="186"/>
      <c r="N127" s="186"/>
      <c r="O127" s="186"/>
      <c r="P127" s="186"/>
      <c r="Q127" s="187"/>
      <c r="R127" s="177"/>
      <c r="S127" s="177"/>
      <c r="T127" s="186"/>
      <c r="U127" s="139"/>
      <c r="V127" s="154"/>
      <c r="W127" s="170"/>
      <c r="X127" s="634" t="str">
        <f t="shared" si="48"/>
        <v>Torbay</v>
      </c>
      <c r="Y127" s="638">
        <f>IF(Year1_Torbay Year1_LAC_under16="","",Year1_Torbay Year1_LAC_under16)</f>
        <v>265</v>
      </c>
      <c r="Z127" s="424">
        <f>IF(Year2_Torbay Year2_LAC_under16="","",Year2_Torbay Year2_LAC_under16)</f>
        <v>245</v>
      </c>
      <c r="AA127" s="424">
        <f>IF(Year3_Torbay Year3_LAC_under16="","",Year3_Torbay Year3_LAC_under16)</f>
        <v>225</v>
      </c>
      <c r="AB127" s="637">
        <f>IF(Year4_Torbay Year4_LAC_under16="","",Year4_Torbay Year4_LAC_under16)</f>
        <v>234</v>
      </c>
      <c r="AC127" s="659">
        <f>IF(Year5_Torbay Year5_LAC_under16="","",Year5_Torbay Year5_LAC_under16)</f>
        <v>269</v>
      </c>
      <c r="AD127" s="439" t="str">
        <f t="shared" si="49"/>
        <v>Torbay</v>
      </c>
      <c r="AE127" s="534">
        <f>IF(Year1_Torbay Year1_LAC_under16_2.5years="","",Year1_Torbay Year1_LAC_under16_2.5years)</f>
        <v>80</v>
      </c>
      <c r="AF127" s="424" t="str">
        <f>IF(Year2_Torbay Year2_LAC_under16_2.5years="","",Year2_Torbay Year2_LAC_under16_2.5years)</f>
        <v/>
      </c>
      <c r="AG127" s="424">
        <f>IF(Year3_Torbay Year3_LAC_under16_2.5years="","",Year3_Torbay Year3_LAC_under16_2.5years)</f>
        <v>120</v>
      </c>
      <c r="AH127" s="637">
        <f>IF(Year4_Torbay Year4_LAC_under16_2.5years="","",Year4_Torbay Year4_LAC_under16_2.5years)</f>
        <v>125</v>
      </c>
      <c r="AI127" s="660">
        <f>IF(Year5_Torbay Year5_LAC_under16_2.5years="","",Year5_Torbay Year5_LAC_under16_2.5years)</f>
        <v>132</v>
      </c>
      <c r="AJ127" s="178"/>
    </row>
    <row r="128" spans="1:44" s="101" customFormat="1" ht="12.75" customHeight="1" x14ac:dyDescent="0.2">
      <c r="A128" s="533">
        <f>VLOOKUP(B128,Sheet1!$B$4:$C$25,2,FALSE)</f>
        <v>0</v>
      </c>
      <c r="B128" s="112" t="str">
        <f t="shared" si="42"/>
        <v>West Berkshire</v>
      </c>
      <c r="C128" s="97"/>
      <c r="D128" s="182">
        <f t="shared" si="43"/>
        <v>0.4</v>
      </c>
      <c r="E128" s="182" t="e">
        <f t="shared" si="44"/>
        <v>#N/A</v>
      </c>
      <c r="F128" s="182">
        <f t="shared" si="45"/>
        <v>0.45</v>
      </c>
      <c r="G128" s="182">
        <f t="shared" si="46"/>
        <v>0.44715447154471544</v>
      </c>
      <c r="H128" s="184">
        <f t="shared" si="47"/>
        <v>0.61111111111111116</v>
      </c>
      <c r="I128" s="115"/>
      <c r="J128" s="115"/>
      <c r="K128" s="186"/>
      <c r="L128" s="186"/>
      <c r="M128" s="186"/>
      <c r="N128" s="186"/>
      <c r="O128" s="186"/>
      <c r="P128" s="186"/>
      <c r="Q128" s="187"/>
      <c r="R128" s="177"/>
      <c r="S128" s="177"/>
      <c r="T128" s="186"/>
      <c r="U128" s="139"/>
      <c r="V128" s="154"/>
      <c r="W128" s="170"/>
      <c r="X128" s="634" t="str">
        <f t="shared" si="48"/>
        <v>West Berkshire</v>
      </c>
      <c r="Y128" s="638">
        <f>IF(Year1_West_Berkshire Year1_LAC_under16="","",Year1_West_Berkshire Year1_LAC_under16)</f>
        <v>125</v>
      </c>
      <c r="Z128" s="424">
        <f>IF(Year2_West_Berkshire Year2_LAC_under16="","",Year2_West_Berkshire Year2_LAC_under16)</f>
        <v>125</v>
      </c>
      <c r="AA128" s="424">
        <f>IF(Year3_West_Berkshire Year3_LAC_under16="","",Year3_West_Berkshire Year3_LAC_under16)</f>
        <v>100</v>
      </c>
      <c r="AB128" s="424">
        <f>IF(Year4_West_Berkshire Year4_LAC_under16="","",Year4_West_Berkshire Year4_LAC_under16)</f>
        <v>123</v>
      </c>
      <c r="AC128" s="634">
        <f>IF(Year5_West_Berkshire Year5_LAC_under16="","",Year5_West_Berkshire Year5_LAC_under16)</f>
        <v>90</v>
      </c>
      <c r="AD128" s="439" t="str">
        <f t="shared" si="49"/>
        <v>West Berkshire</v>
      </c>
      <c r="AE128" s="534">
        <f>IF(Year1_West_Berkshire Year1_LAC_under16_2.5years="","",Year1_West_Berkshire Year1_LAC_under16_2.5years)</f>
        <v>50</v>
      </c>
      <c r="AF128" s="424" t="str">
        <f>IF(Year2_West_Berkshire Year2_LAC_under16_2.5years="","",Year2_West_Berkshire Year2_LAC_under16_2.5years)</f>
        <v/>
      </c>
      <c r="AG128" s="424">
        <f>IF(Year3_West_Berkshire Year3_LAC_under16_2.5years="","",Year3_West_Berkshire Year3_LAC_under16_2.5years)</f>
        <v>45</v>
      </c>
      <c r="AH128" s="424">
        <f>IF(Year4_West_Berkshire Year4_LAC_under16_2.5years="","",Year4_West_Berkshire Year4_LAC_under16_2.5years)</f>
        <v>55</v>
      </c>
      <c r="AI128" s="424">
        <f>IF(Year5_West_Berkshire Year5_LAC_under16_2.5years="","",Year5_West_Berkshire Year5_LAC_under16_2.5years)</f>
        <v>55</v>
      </c>
      <c r="AJ128" s="178"/>
    </row>
    <row r="129" spans="1:45" s="101" customFormat="1" ht="12.75" customHeight="1" x14ac:dyDescent="0.2">
      <c r="A129" s="533">
        <f>VLOOKUP(B129,Sheet1!$B$4:$C$25,2,FALSE)</f>
        <v>0</v>
      </c>
      <c r="B129" s="112" t="str">
        <f t="shared" si="42"/>
        <v>West Sussex</v>
      </c>
      <c r="C129" s="97"/>
      <c r="D129" s="182">
        <f t="shared" si="43"/>
        <v>0.47619047619047616</v>
      </c>
      <c r="E129" s="182" t="e">
        <f t="shared" si="44"/>
        <v>#N/A</v>
      </c>
      <c r="F129" s="182">
        <f t="shared" si="45"/>
        <v>0.37362637362637363</v>
      </c>
      <c r="G129" s="182">
        <f t="shared" si="46"/>
        <v>0.31914893617021278</v>
      </c>
      <c r="H129" s="184">
        <f t="shared" si="47"/>
        <v>0.312</v>
      </c>
      <c r="I129" s="115"/>
      <c r="J129" s="115"/>
      <c r="K129" s="186"/>
      <c r="L129" s="186"/>
      <c r="M129" s="186"/>
      <c r="N129" s="186"/>
      <c r="O129" s="186"/>
      <c r="P129" s="186"/>
      <c r="Q129" s="187"/>
      <c r="R129" s="177"/>
      <c r="S129" s="177"/>
      <c r="T129" s="186"/>
      <c r="U129" s="139"/>
      <c r="V129" s="154"/>
      <c r="W129" s="170"/>
      <c r="X129" s="634" t="str">
        <f t="shared" si="48"/>
        <v>West Sussex</v>
      </c>
      <c r="Y129" s="638">
        <f>IF(Year1_West_Sussex Year1_LAC_under16="","",Year1_West_Sussex Year1_LAC_under16)</f>
        <v>420</v>
      </c>
      <c r="Z129" s="424">
        <f>IF(Year2_West_Sussex Year2_LAC_under16="","",Year2_West_Sussex Year2_LAC_under16)</f>
        <v>450</v>
      </c>
      <c r="AA129" s="424">
        <f>IF(Year3_West_Sussex Year3_LAC_under16="","",Year3_West_Sussex Year3_LAC_under16)</f>
        <v>455</v>
      </c>
      <c r="AB129" s="424">
        <f>IF(Year4_West_Sussex Year4_LAC_under16="","",Year4_West_Sussex Year4_LAC_under16)</f>
        <v>470</v>
      </c>
      <c r="AC129" s="634">
        <f>IF(Year5_West_Sussex Year5_LAC_under16="","",Year5_West_Sussex Year5_LAC_under16)</f>
        <v>500</v>
      </c>
      <c r="AD129" s="439" t="str">
        <f t="shared" si="49"/>
        <v>West Sussex</v>
      </c>
      <c r="AE129" s="534">
        <f>IF(Year1_West_Sussex Year1_LAC_under16_2.5years="","",Year1_West_Sussex Year1_LAC_under16_2.5years)</f>
        <v>200</v>
      </c>
      <c r="AF129" s="424" t="str">
        <f>IF(Year2_West_Sussex Year2_LAC_under16_2.5years="","",Year2_West_Sussex Year2_LAC_under16_2.5years)</f>
        <v/>
      </c>
      <c r="AG129" s="424">
        <f>IF(Year3_West_Sussex Year3_LAC_under16_2.5years="","",Year3_West_Sussex Year3_LAC_under16_2.5years)</f>
        <v>170</v>
      </c>
      <c r="AH129" s="424">
        <f>IF(Year4_West_Sussex Year4_LAC_under16_2.5years="","",Year4_West_Sussex Year4_LAC_under16_2.5years)</f>
        <v>150</v>
      </c>
      <c r="AI129" s="424">
        <f>IF(Year5_West_Sussex Year5_LAC_under16_2.5years="","",Year5_West_Sussex Year5_LAC_under16_2.5years)</f>
        <v>156</v>
      </c>
      <c r="AJ129" s="178"/>
    </row>
    <row r="130" spans="1:45" s="101" customFormat="1" ht="12.75" customHeight="1" x14ac:dyDescent="0.2">
      <c r="A130" s="533">
        <f>VLOOKUP(B130,Sheet1!$B$4:$C$25,2,FALSE)</f>
        <v>0</v>
      </c>
      <c r="B130" s="112" t="str">
        <f t="shared" si="42"/>
        <v>Windsor &amp; Maidenhead</v>
      </c>
      <c r="C130" s="97"/>
      <c r="D130" s="182">
        <f t="shared" si="43"/>
        <v>0.46153846153846156</v>
      </c>
      <c r="E130" s="182" t="e">
        <f t="shared" si="44"/>
        <v>#N/A</v>
      </c>
      <c r="F130" s="182">
        <f t="shared" si="45"/>
        <v>0.7</v>
      </c>
      <c r="G130" s="182">
        <f t="shared" si="46"/>
        <v>0.60344827586206895</v>
      </c>
      <c r="H130" s="184">
        <f t="shared" si="47"/>
        <v>0.50819672131147542</v>
      </c>
      <c r="I130" s="115"/>
      <c r="J130" s="115"/>
      <c r="K130" s="186"/>
      <c r="L130" s="186"/>
      <c r="M130" s="186"/>
      <c r="N130" s="186"/>
      <c r="O130" s="186"/>
      <c r="P130" s="186"/>
      <c r="Q130" s="187"/>
      <c r="R130" s="177"/>
      <c r="S130" s="177"/>
      <c r="T130" s="186"/>
      <c r="U130" s="139"/>
      <c r="V130" s="154"/>
      <c r="W130" s="170"/>
      <c r="X130" s="634" t="str">
        <f t="shared" si="48"/>
        <v>Windsor &amp; Maidenhead</v>
      </c>
      <c r="Y130" s="638">
        <f>IF(Year1_Windsor_Maidenhead Year1_LAC_under16="","",Year1_Windsor_Maidenhead Year1_LAC_under16)</f>
        <v>65</v>
      </c>
      <c r="Z130" s="424">
        <f>IF(Year2_Windsor_Maidenhead Year2_LAC_under16="","",Year2_Windsor_Maidenhead Year2_LAC_under16)</f>
        <v>70</v>
      </c>
      <c r="AA130" s="424">
        <f>IF(Year3_Windsor_Maidenhead Year3_LAC_under16="","",Year3_Windsor_Maidenhead Year3_LAC_under16)</f>
        <v>50</v>
      </c>
      <c r="AB130" s="424">
        <f>IF(Year4_Windsor_Maidenhead Year4_LAC_under16="","",Year4_Windsor_Maidenhead Year4_LAC_under16)</f>
        <v>58</v>
      </c>
      <c r="AC130" s="634">
        <f>IF(Year5_Windsor_Maidenhead Year5_LAC_under16="","",Year5_Windsor_Maidenhead Year5_LAC_under16)</f>
        <v>61</v>
      </c>
      <c r="AD130" s="439" t="str">
        <f t="shared" si="49"/>
        <v>Windsor &amp; Maidenhead</v>
      </c>
      <c r="AE130" s="534">
        <f>IF(Year1_Windsor_Maidenhead Year1_LAC_under16_2.5years="","",Year1_Windsor_Maidenhead Year1_LAC_under16_2.5years)</f>
        <v>30</v>
      </c>
      <c r="AF130" s="424" t="str">
        <f>IF(Year2_Windsor_Maidenhead Year2_LAC_under16_2.5years="","",Year2_Windsor_Maidenhead Year2_LAC_under16_2.5years)</f>
        <v/>
      </c>
      <c r="AG130" s="424">
        <f>IF(Year3_Windsor_Maidenhead Year3_LAC_under16_2.5years="","",Year3_Windsor_Maidenhead Year3_LAC_under16_2.5years)</f>
        <v>35</v>
      </c>
      <c r="AH130" s="424">
        <f>IF(Year4_Windsor_Maidenhead Year4_LAC_under16_2.5years="","",Year4_Windsor_Maidenhead Year4_LAC_under16_2.5years)</f>
        <v>35</v>
      </c>
      <c r="AI130" s="424">
        <f>IF(Year5_Windsor_Maidenhead Year5_LAC_under16_2.5years="","",Year5_Windsor_Maidenhead Year5_LAC_under16_2.5years)</f>
        <v>31</v>
      </c>
      <c r="AJ130" s="178"/>
    </row>
    <row r="131" spans="1:45" s="101" customFormat="1" ht="12.75" customHeight="1" x14ac:dyDescent="0.2">
      <c r="A131" s="533">
        <f>VLOOKUP(B131,Sheet1!$B$4:$C$25,2,FALSE)</f>
        <v>0</v>
      </c>
      <c r="B131" s="112" t="str">
        <f t="shared" si="42"/>
        <v>Wokingham</v>
      </c>
      <c r="C131" s="97"/>
      <c r="D131" s="182">
        <f t="shared" si="43"/>
        <v>0.45454545454545453</v>
      </c>
      <c r="E131" s="182" t="e">
        <f t="shared" si="44"/>
        <v>#N/A</v>
      </c>
      <c r="F131" s="182">
        <f t="shared" si="45"/>
        <v>0.4</v>
      </c>
      <c r="G131" s="182">
        <f t="shared" si="46"/>
        <v>0.60606060606060608</v>
      </c>
      <c r="H131" s="184">
        <f t="shared" si="47"/>
        <v>0.2857142857142857</v>
      </c>
      <c r="I131" s="115"/>
      <c r="J131" s="115"/>
      <c r="K131" s="186"/>
      <c r="L131" s="186"/>
      <c r="M131" s="186"/>
      <c r="N131" s="186"/>
      <c r="O131" s="186"/>
      <c r="P131" s="186"/>
      <c r="Q131" s="187"/>
      <c r="R131" s="177"/>
      <c r="S131" s="177"/>
      <c r="T131" s="186"/>
      <c r="U131" s="139"/>
      <c r="V131" s="154"/>
      <c r="W131" s="170"/>
      <c r="X131" s="634" t="str">
        <f t="shared" si="48"/>
        <v>Wokingham</v>
      </c>
      <c r="Y131" s="638">
        <f>IF(Year1_Wokingham Year1_LAC_under16="","",Year1_Wokingham Year1_LAC_under16)</f>
        <v>55</v>
      </c>
      <c r="Z131" s="424">
        <f>IF(Year2_Wokingham Year2_LAC_under16="","",Year2_Wokingham Year2_LAC_under16)</f>
        <v>55</v>
      </c>
      <c r="AA131" s="424">
        <f>IF(Year3_Wokingham Year3_LAC_under16="","",Year3_Wokingham Year3_LAC_under16)</f>
        <v>50</v>
      </c>
      <c r="AB131" s="424">
        <f>IF(Year4_Wokingham Year4_LAC_under16="","",Year4_Wokingham Year4_LAC_under16)</f>
        <v>33</v>
      </c>
      <c r="AC131" s="634">
        <f>IF(Year5_Wokingham Year5_LAC_under16="","",Year5_Wokingham Year5_LAC_under16)</f>
        <v>70</v>
      </c>
      <c r="AD131" s="439" t="str">
        <f t="shared" si="49"/>
        <v>Wokingham</v>
      </c>
      <c r="AE131" s="534">
        <f>IF(Year1_Wokingham Year1_LAC_under16_2.5years="","",Year1_Wokingham Year1_LAC_under16_2.5years)</f>
        <v>25</v>
      </c>
      <c r="AF131" s="424" t="str">
        <f>IF(Year2_Wokingham Year2_LAC_under16_2.5years="","",Year2_Wokingham Year2_LAC_under16_2.5years)</f>
        <v/>
      </c>
      <c r="AG131" s="424">
        <f>IF(Year3_Wokingham Year3_LAC_under16_2.5years="","",Year3_Wokingham Year3_LAC_under16_2.5years)</f>
        <v>20</v>
      </c>
      <c r="AH131" s="424">
        <f>IF(Year4_Wokingham Year4_LAC_under16_2.5years="","",Year4_Wokingham Year4_LAC_under16_2.5years)</f>
        <v>20</v>
      </c>
      <c r="AI131" s="424">
        <f>IF(Year5_Wokingham Year5_LAC_under16_2.5years="","",Year5_Wokingham Year5_LAC_under16_2.5years)</f>
        <v>20</v>
      </c>
      <c r="AJ131" s="178"/>
    </row>
    <row r="132" spans="1:45" s="101" customFormat="1" ht="12.75" customHeight="1" x14ac:dyDescent="0.2">
      <c r="A132" s="138"/>
      <c r="B132" s="146" t="str">
        <f t="shared" si="42"/>
        <v>South East</v>
      </c>
      <c r="C132" s="97"/>
      <c r="D132" s="183">
        <f t="shared" si="43"/>
        <v>0.39433551198257083</v>
      </c>
      <c r="E132" s="183" t="e">
        <f t="shared" si="44"/>
        <v>#N/A</v>
      </c>
      <c r="F132" s="183">
        <f t="shared" si="45"/>
        <v>0.40876944837340878</v>
      </c>
      <c r="G132" s="183">
        <f t="shared" si="46"/>
        <v>0.4102920723226704</v>
      </c>
      <c r="H132" s="185">
        <f t="shared" si="47"/>
        <v>0.41342281879194631</v>
      </c>
      <c r="I132" s="115"/>
      <c r="J132" s="115"/>
      <c r="K132" s="188"/>
      <c r="L132" s="188"/>
      <c r="M132" s="188"/>
      <c r="N132" s="188"/>
      <c r="O132" s="188"/>
      <c r="P132" s="188"/>
      <c r="Q132" s="189"/>
      <c r="R132" s="177"/>
      <c r="S132" s="177"/>
      <c r="T132" s="190"/>
      <c r="U132" s="139"/>
      <c r="V132" s="154"/>
      <c r="W132" s="170"/>
      <c r="X132" s="634" t="str">
        <f>B132</f>
        <v>South East</v>
      </c>
      <c r="Y132" s="661">
        <f>IF(Year1_SouthEast Year1_LAC_under16="","",Year1_SouthEast Year1_LAC_under16)</f>
        <v>6885</v>
      </c>
      <c r="Z132" s="662">
        <f>IF(Year2_SouthEast Year2_LAC_under16="","",Year2_SouthEast Year2_LAC_under16)</f>
        <v>7020</v>
      </c>
      <c r="AA132" s="662">
        <f>IF(Year3_SouthEast Year3_LAC_under16="","",Year3_SouthEast Year3_LAC_under16)</f>
        <v>7070</v>
      </c>
      <c r="AB132" s="424">
        <f>IF(Year4_SouthEast Year4_LAC_under16="","",Year4_SouthEast Year4_LAC_under16)</f>
        <v>7190</v>
      </c>
      <c r="AC132" s="634">
        <f>IF(Year5_SouthEast Year5_LAC_under16="","",Year5_SouthEast Year5_LAC_under16)</f>
        <v>7450</v>
      </c>
      <c r="AD132" s="439" t="str">
        <f t="shared" si="49"/>
        <v>South East</v>
      </c>
      <c r="AE132" s="637">
        <f>IF(Year1_SouthEast Year1_LAC_under16_2.5years="","",Year1_SouthEast Year1_LAC_under16_2.5years)</f>
        <v>2715</v>
      </c>
      <c r="AF132" s="637" t="str">
        <f>IF(Year2_SouthEast Year2_LAC_under16_2.5years="","",Year2_SouthEast Year2_LAC_under16_2.5years)</f>
        <v/>
      </c>
      <c r="AG132" s="637">
        <f>IF(Year3_SouthEast Year3_LAC_under16_2.5years="","",Year3_SouthEast Year3_LAC_under16_2.5years)</f>
        <v>2890</v>
      </c>
      <c r="AH132" s="637">
        <f>IF(Year4_SouthEast Year4_LAC_under16_2.5years="","",Year4_SouthEast Year4_LAC_under16_2.5years)</f>
        <v>2950</v>
      </c>
      <c r="AI132" s="637">
        <f>IF(Year5_SouthEast Year5_LAC_under16_2.5years="","",Year5_SouthEast Year5_LAC_under16_2.5years)</f>
        <v>3080</v>
      </c>
      <c r="AJ132" s="178"/>
    </row>
    <row r="133" spans="1:45" s="101" customFormat="1" ht="12.75" customHeight="1" x14ac:dyDescent="0.2">
      <c r="A133" s="138"/>
      <c r="B133" s="370" t="str">
        <f t="shared" si="42"/>
        <v>England</v>
      </c>
      <c r="C133" s="97"/>
      <c r="D133" s="401">
        <f t="shared" si="43"/>
        <v>0.41007723427730786</v>
      </c>
      <c r="E133" s="401" t="e">
        <f t="shared" si="44"/>
        <v>#N/A</v>
      </c>
      <c r="F133" s="401">
        <f t="shared" si="45"/>
        <v>0.43785886275236152</v>
      </c>
      <c r="G133" s="401">
        <f t="shared" si="46"/>
        <v>0.43178141290670502</v>
      </c>
      <c r="H133" s="402">
        <f t="shared" si="47"/>
        <v>0.44364551500988675</v>
      </c>
      <c r="I133" s="115"/>
      <c r="J133" s="115"/>
      <c r="K133" s="188"/>
      <c r="L133" s="188"/>
      <c r="M133" s="188"/>
      <c r="N133" s="188"/>
      <c r="O133" s="188"/>
      <c r="P133" s="188"/>
      <c r="Q133" s="189"/>
      <c r="R133" s="177"/>
      <c r="S133" s="177"/>
      <c r="T133" s="190"/>
      <c r="U133" s="139"/>
      <c r="V133" s="154"/>
      <c r="W133" s="170"/>
      <c r="X133" s="634" t="str">
        <f t="shared" si="48"/>
        <v>England</v>
      </c>
      <c r="Y133" s="661">
        <f>IF(Year1_England Year1_LAC_under16="","",Year1_England Year1_LAC_under16)</f>
        <v>54380</v>
      </c>
      <c r="Z133" s="662">
        <f>IF(Year2_England Year2_LAC_under16="","",Year2_England Year2_LAC_under16)</f>
        <v>54280</v>
      </c>
      <c r="AA133" s="662">
        <f>IF(Year3_England Year3_LAC_under16="","",Year3_England Year3_LAC_under16)</f>
        <v>53990</v>
      </c>
      <c r="AB133" s="424">
        <f>IF(Year4_England Year4_LAC_under16="","",Year4_England Year4_LAC_under16)</f>
        <v>55630</v>
      </c>
      <c r="AC133" s="634">
        <f>IF(Year5_England Year5_LAC_under16="","",Year5_England Year5_LAC_under16)</f>
        <v>55630</v>
      </c>
      <c r="AD133" s="439" t="str">
        <f t="shared" si="49"/>
        <v>England</v>
      </c>
      <c r="AE133" s="637">
        <f>IF(Year1_England Year1_LAC_under16_2.5years="","",Year1_England Year1_LAC_under16_2.5years)</f>
        <v>22300</v>
      </c>
      <c r="AF133" s="637" t="str">
        <f>IF(Year2_England Year2_LAC_under16_2.5years="","",Year2_England Year2_LAC_under16_2.5years)</f>
        <v/>
      </c>
      <c r="AG133" s="637">
        <f>IF(Year3_England Year3_LAC_under16_2.5years="","",Year3_England Year3_LAC_under16_2.5years)</f>
        <v>23640</v>
      </c>
      <c r="AH133" s="424">
        <f>IF(Year4_England Year4_LAC_under16_2.5years="","",Year4_England Year4_LAC_under16_2.5years)</f>
        <v>24020</v>
      </c>
      <c r="AI133" s="424">
        <f>IF(Year5_England Year5_LAC_under16_2.5years="","",Year5_England Year5_LAC_under16_2.5years)</f>
        <v>24680</v>
      </c>
      <c r="AJ133" s="178"/>
    </row>
    <row r="134" spans="1:45" s="101" customFormat="1" ht="7.5" customHeight="1" x14ac:dyDescent="0.2">
      <c r="A134" s="324"/>
      <c r="B134" s="115"/>
      <c r="C134" s="115"/>
      <c r="D134" s="115"/>
      <c r="E134" s="115"/>
      <c r="F134" s="115"/>
      <c r="G134" s="115"/>
      <c r="H134" s="115"/>
      <c r="I134" s="115"/>
      <c r="J134" s="115"/>
      <c r="K134" s="188"/>
      <c r="L134" s="188"/>
      <c r="M134" s="188"/>
      <c r="N134" s="188"/>
      <c r="O134" s="188"/>
      <c r="P134" s="188"/>
      <c r="Q134" s="189"/>
      <c r="R134" s="177"/>
      <c r="S134" s="177"/>
      <c r="T134" s="190"/>
      <c r="U134" s="139"/>
      <c r="V134" s="154"/>
      <c r="W134" s="170"/>
      <c r="X134" s="215"/>
      <c r="Y134" s="215"/>
      <c r="Z134" s="88"/>
      <c r="AA134" s="88"/>
      <c r="AB134" s="88"/>
      <c r="AC134" s="88"/>
      <c r="AD134" s="88"/>
      <c r="AE134" s="232"/>
      <c r="AF134" s="232"/>
      <c r="AG134" s="232"/>
      <c r="AH134" s="217"/>
      <c r="AI134" s="232"/>
      <c r="AJ134" s="178"/>
    </row>
    <row r="135" spans="1:45" s="88" customFormat="1" ht="38.25" customHeight="1" x14ac:dyDescent="0.2">
      <c r="A135" s="249"/>
      <c r="B135" s="435"/>
      <c r="C135" s="435"/>
      <c r="D135" s="435"/>
      <c r="E135" s="435"/>
      <c r="F135" s="435"/>
      <c r="G135" s="435"/>
      <c r="H135" s="435"/>
      <c r="I135" s="435"/>
      <c r="J135" s="192"/>
      <c r="K135" s="192"/>
      <c r="L135" s="192"/>
      <c r="M135" s="192"/>
      <c r="N135" s="192"/>
      <c r="O135" s="192"/>
      <c r="P135" s="192"/>
      <c r="Q135" s="151"/>
      <c r="R135" s="192"/>
      <c r="S135" s="192"/>
      <c r="T135" s="192"/>
      <c r="U135" s="134"/>
      <c r="V135" s="152"/>
      <c r="W135" s="168"/>
      <c r="AC135" s="224"/>
      <c r="AD135" s="226"/>
      <c r="AE135" s="210"/>
      <c r="AF135" s="210"/>
      <c r="AG135" s="210"/>
      <c r="AI135" s="210"/>
      <c r="AJ135" s="179"/>
    </row>
    <row r="136" spans="1:45" s="88" customFormat="1" ht="39" customHeight="1" x14ac:dyDescent="0.2">
      <c r="A136" s="249"/>
      <c r="B136" s="435"/>
      <c r="C136" s="435"/>
      <c r="D136" s="435"/>
      <c r="E136" s="435"/>
      <c r="F136" s="435"/>
      <c r="G136" s="435"/>
      <c r="H136" s="435"/>
      <c r="I136" s="435"/>
      <c r="J136" s="192"/>
      <c r="K136" s="192"/>
      <c r="L136" s="192"/>
      <c r="M136" s="192"/>
      <c r="N136" s="192"/>
      <c r="O136" s="192"/>
      <c r="P136" s="192"/>
      <c r="Q136" s="151"/>
      <c r="R136" s="192"/>
      <c r="S136" s="192"/>
      <c r="T136" s="192"/>
      <c r="U136" s="134"/>
      <c r="V136" s="152"/>
      <c r="W136" s="168"/>
      <c r="Y136" s="217"/>
      <c r="AD136" s="226"/>
      <c r="AE136" s="210"/>
      <c r="AF136" s="210"/>
      <c r="AG136" s="210"/>
      <c r="AI136" s="210"/>
      <c r="AJ136" s="179"/>
    </row>
    <row r="137" spans="1:45" s="88" customFormat="1" ht="38.25" customHeight="1" x14ac:dyDescent="0.2">
      <c r="A137" s="249"/>
      <c r="B137" s="435"/>
      <c r="C137" s="435"/>
      <c r="D137" s="435"/>
      <c r="E137" s="435"/>
      <c r="F137" s="435"/>
      <c r="G137" s="435"/>
      <c r="H137" s="435"/>
      <c r="I137" s="435"/>
      <c r="J137" s="192"/>
      <c r="K137" s="192"/>
      <c r="L137" s="192"/>
      <c r="M137" s="192"/>
      <c r="N137" s="192"/>
      <c r="O137" s="192"/>
      <c r="P137" s="192"/>
      <c r="Q137" s="151"/>
      <c r="R137" s="192"/>
      <c r="S137" s="192"/>
      <c r="T137" s="192"/>
      <c r="U137" s="134"/>
      <c r="V137" s="152"/>
      <c r="W137" s="168"/>
      <c r="Y137" s="217"/>
      <c r="AD137" s="226"/>
      <c r="AE137" s="210"/>
      <c r="AF137" s="210"/>
      <c r="AG137" s="210"/>
      <c r="AI137" s="210"/>
      <c r="AJ137" s="179"/>
    </row>
    <row r="138" spans="1:45" s="88" customFormat="1" ht="7.5" customHeight="1" x14ac:dyDescent="0.2">
      <c r="A138" s="135"/>
      <c r="B138" s="18"/>
      <c r="C138" s="18"/>
      <c r="D138" s="17"/>
      <c r="E138" s="17"/>
      <c r="F138" s="17"/>
      <c r="G138" s="17"/>
      <c r="H138" s="17"/>
      <c r="I138" s="17"/>
      <c r="J138" s="13"/>
      <c r="K138" s="19"/>
      <c r="L138" s="19"/>
      <c r="M138" s="19"/>
      <c r="N138" s="19"/>
      <c r="O138" s="19"/>
      <c r="P138" s="19"/>
      <c r="Q138" s="19"/>
      <c r="R138" s="19"/>
      <c r="S138" s="19"/>
      <c r="T138" s="20"/>
      <c r="U138" s="134"/>
      <c r="V138" s="152"/>
      <c r="W138" s="168"/>
      <c r="Y138" s="217"/>
      <c r="AI138" s="210"/>
      <c r="AJ138" s="175"/>
      <c r="AK138" s="80"/>
      <c r="AL138" s="80"/>
      <c r="AM138" s="80"/>
      <c r="AN138" s="80"/>
      <c r="AO138" s="80"/>
      <c r="AP138" s="80"/>
      <c r="AQ138" s="80"/>
    </row>
    <row r="139" spans="1:45" s="88" customFormat="1" ht="15" customHeight="1" x14ac:dyDescent="0.2">
      <c r="A139" s="1010"/>
      <c r="B139" s="1018"/>
      <c r="C139" s="1018"/>
      <c r="D139" s="1018"/>
      <c r="E139" s="1018"/>
      <c r="F139" s="1018"/>
      <c r="G139" s="1018"/>
      <c r="H139" s="1018"/>
      <c r="I139" s="1018"/>
      <c r="J139" s="1018"/>
      <c r="K139" s="1018"/>
      <c r="L139" s="1018"/>
      <c r="M139" s="1018"/>
      <c r="N139" s="1018"/>
      <c r="O139" s="1018"/>
      <c r="P139" s="1018"/>
      <c r="Q139" s="1018"/>
      <c r="R139" s="1018"/>
      <c r="S139" s="1018"/>
      <c r="T139" s="1018"/>
      <c r="U139" s="1019"/>
      <c r="V139" s="152"/>
      <c r="W139" s="168"/>
      <c r="AJ139" s="179"/>
      <c r="AS139" s="80"/>
    </row>
    <row r="140" spans="1:45" s="88" customFormat="1" ht="11.25" customHeight="1" x14ac:dyDescent="0.2">
      <c r="A140" s="1020" t="str">
        <f>Home!$A$35</f>
        <v>LA's provide quarterly data on the condition that it is used by the benchmarking group for internal reporting only. Please DO NOT share other LA's data with any external partners or the public</v>
      </c>
      <c r="B140" s="1021"/>
      <c r="C140" s="1021"/>
      <c r="D140" s="1021"/>
      <c r="E140" s="1021"/>
      <c r="F140" s="1021"/>
      <c r="G140" s="1021"/>
      <c r="H140" s="1021"/>
      <c r="I140" s="1022"/>
      <c r="J140" s="1021"/>
      <c r="K140" s="1021"/>
      <c r="L140" s="1021"/>
      <c r="M140" s="1021"/>
      <c r="N140" s="1021"/>
      <c r="O140" s="1021"/>
      <c r="P140" s="1021"/>
      <c r="Q140" s="1021"/>
      <c r="R140" s="1021"/>
      <c r="S140" s="1022"/>
      <c r="T140" s="1021"/>
      <c r="U140" s="1023"/>
      <c r="V140" s="152"/>
      <c r="W140" s="168"/>
      <c r="AI140" s="210"/>
      <c r="AJ140" s="178"/>
      <c r="AK140" s="101"/>
      <c r="AS140" s="80"/>
    </row>
    <row r="141" spans="1:45" ht="11.25" customHeight="1" x14ac:dyDescent="0.2">
      <c r="A141" s="129"/>
      <c r="B141" s="130"/>
      <c r="C141" s="130"/>
      <c r="D141" s="130"/>
      <c r="E141" s="130"/>
      <c r="F141" s="130"/>
      <c r="G141" s="130"/>
      <c r="H141" s="130"/>
      <c r="I141" s="130"/>
      <c r="J141" s="131"/>
      <c r="K141" s="130"/>
      <c r="L141" s="130"/>
      <c r="M141" s="130"/>
      <c r="N141" s="130"/>
      <c r="O141" s="130"/>
      <c r="P141" s="130"/>
      <c r="Q141" s="130"/>
      <c r="R141" s="130"/>
      <c r="S141" s="130"/>
      <c r="T141" s="130"/>
      <c r="U141" s="132"/>
      <c r="V141" s="152"/>
      <c r="W141" s="168"/>
      <c r="X141" s="225"/>
      <c r="Y141" s="223"/>
      <c r="Z141" s="215"/>
      <c r="AI141" s="210"/>
      <c r="AJ141" s="179"/>
    </row>
    <row r="142" spans="1:45" s="82" customFormat="1" ht="15" customHeight="1" x14ac:dyDescent="0.2">
      <c r="A142" s="136"/>
      <c r="B142" s="1090" t="s">
        <v>868</v>
      </c>
      <c r="C142" s="1090"/>
      <c r="D142" s="1090"/>
      <c r="E142" s="1090"/>
      <c r="F142" s="1090"/>
      <c r="G142" s="1090"/>
      <c r="H142" s="1090"/>
      <c r="I142" s="1090"/>
      <c r="J142" s="70"/>
      <c r="K142" s="70"/>
      <c r="L142" s="70"/>
      <c r="M142" s="70"/>
      <c r="N142" s="425"/>
      <c r="O142" s="70"/>
      <c r="P142" s="70"/>
      <c r="Q142" s="70"/>
      <c r="R142" s="70"/>
      <c r="S142" s="70"/>
      <c r="T142" s="70"/>
      <c r="U142" s="137"/>
      <c r="V142" s="153"/>
      <c r="W142" s="169"/>
      <c r="X142" s="436" t="s">
        <v>169</v>
      </c>
      <c r="Y142" s="437"/>
      <c r="Z142" s="438"/>
      <c r="AA142" s="438"/>
      <c r="AB142" s="438"/>
      <c r="AC142" s="650"/>
      <c r="AD142" s="436"/>
      <c r="AE142" s="437"/>
      <c r="AF142" s="438"/>
      <c r="AG142" s="438"/>
      <c r="AH142" s="438"/>
      <c r="AI142" s="650"/>
      <c r="AJ142" s="178"/>
    </row>
    <row r="143" spans="1:45" ht="15" customHeight="1" x14ac:dyDescent="0.2">
      <c r="A143" s="135"/>
      <c r="B143" s="1090"/>
      <c r="C143" s="1090"/>
      <c r="D143" s="1090"/>
      <c r="E143" s="1090"/>
      <c r="F143" s="1090"/>
      <c r="G143" s="1090"/>
      <c r="H143" s="1090"/>
      <c r="I143" s="1090"/>
      <c r="J143" s="70"/>
      <c r="K143" s="70"/>
      <c r="L143" s="70"/>
      <c r="M143" s="70"/>
      <c r="N143" s="425"/>
      <c r="O143" s="70"/>
      <c r="P143" s="70"/>
      <c r="Q143" s="10"/>
      <c r="R143" s="70"/>
      <c r="S143" s="70"/>
      <c r="T143" s="70"/>
      <c r="U143" s="134"/>
      <c r="V143" s="152"/>
      <c r="W143" s="168"/>
      <c r="X143" s="438"/>
      <c r="Y143" s="437"/>
      <c r="Z143" s="438"/>
      <c r="AA143" s="438"/>
      <c r="AB143" s="438"/>
      <c r="AC143" s="650"/>
      <c r="AD143" s="436"/>
      <c r="AE143" s="437"/>
      <c r="AF143" s="438"/>
      <c r="AG143" s="438"/>
      <c r="AH143" s="438"/>
      <c r="AI143" s="650"/>
      <c r="AJ143" s="179"/>
    </row>
    <row r="144" spans="1:45" s="101" customFormat="1" ht="27" customHeight="1" x14ac:dyDescent="0.2">
      <c r="A144" s="138"/>
      <c r="B144" s="540" t="s">
        <v>215</v>
      </c>
      <c r="C144" s="97"/>
      <c r="D144" s="393">
        <f>D109</f>
        <v>2014</v>
      </c>
      <c r="E144" s="393">
        <f t="shared" ref="E144:H144" si="50">E109</f>
        <v>2015</v>
      </c>
      <c r="F144" s="393">
        <f t="shared" si="50"/>
        <v>2016</v>
      </c>
      <c r="G144" s="393">
        <f t="shared" si="50"/>
        <v>2017</v>
      </c>
      <c r="H144" s="394">
        <f t="shared" si="50"/>
        <v>2018</v>
      </c>
      <c r="I144" s="115"/>
      <c r="J144" s="115"/>
      <c r="K144" s="62"/>
      <c r="L144" s="62"/>
      <c r="M144" s="62"/>
      <c r="N144" s="62"/>
      <c r="O144" s="62"/>
      <c r="P144" s="434"/>
      <c r="Q144" s="434"/>
      <c r="R144" s="177"/>
      <c r="S144" s="177"/>
      <c r="T144" s="433"/>
      <c r="U144" s="139"/>
      <c r="V144" s="154"/>
      <c r="W144" s="170"/>
      <c r="X144" s="424"/>
      <c r="Y144" s="534">
        <f>D144</f>
        <v>2014</v>
      </c>
      <c r="Z144" s="534">
        <f t="shared" ref="Z144:AC144" si="51">E144</f>
        <v>2015</v>
      </c>
      <c r="AA144" s="534">
        <f t="shared" si="51"/>
        <v>2016</v>
      </c>
      <c r="AB144" s="534">
        <f t="shared" si="51"/>
        <v>2017</v>
      </c>
      <c r="AC144" s="534">
        <f t="shared" si="51"/>
        <v>2018</v>
      </c>
      <c r="AD144" s="436"/>
      <c r="AE144" s="437"/>
      <c r="AF144" s="438"/>
      <c r="AG144" s="438"/>
      <c r="AH144" s="438"/>
      <c r="AI144" s="650"/>
      <c r="AJ144" s="178"/>
    </row>
    <row r="145" spans="1:44" s="101" customFormat="1" ht="12.75" customHeight="1" x14ac:dyDescent="0.2">
      <c r="A145" s="533">
        <f>VLOOKUP(B145,Sheet1!$B$4:$C$25,2,FALSE)</f>
        <v>0</v>
      </c>
      <c r="B145" s="112" t="str">
        <f t="shared" ref="B145:B168" si="52">B9</f>
        <v>Bracknell Forest</v>
      </c>
      <c r="C145" s="97"/>
      <c r="D145" s="182">
        <f>IF(AND(ISNUMBER(Y145),ISNUMBER(AE110)),Y145/AE110,NA())</f>
        <v>0.5</v>
      </c>
      <c r="E145" s="182" t="e">
        <f t="shared" ref="E145:H145" si="53">IF(AND(ISNUMBER(Z145),ISNUMBER(AF110)),Z145/AF110,NA())</f>
        <v>#N/A</v>
      </c>
      <c r="F145" s="182">
        <f t="shared" si="53"/>
        <v>0.6</v>
      </c>
      <c r="G145" s="182">
        <f t="shared" si="53"/>
        <v>0.5714285714285714</v>
      </c>
      <c r="H145" s="184">
        <f t="shared" si="53"/>
        <v>0.56000000000000005</v>
      </c>
      <c r="I145" s="115"/>
      <c r="J145" s="115"/>
      <c r="K145" s="186"/>
      <c r="L145" s="186"/>
      <c r="M145" s="186"/>
      <c r="N145" s="186"/>
      <c r="O145" s="186"/>
      <c r="P145" s="186"/>
      <c r="Q145" s="187"/>
      <c r="R145" s="177"/>
      <c r="S145" s="177"/>
      <c r="T145" s="186"/>
      <c r="U145" s="139"/>
      <c r="V145" s="154"/>
      <c r="W145" s="170"/>
      <c r="X145" s="424" t="str">
        <f>B145</f>
        <v>Bracknell Forest</v>
      </c>
      <c r="Y145" s="534">
        <f>IF(Year1_Bracknell_Forest Year1_LAC_under16_2.5years_sameplacement2years="","",Year1_Bracknell_Forest Year1_LAC_under16_2.5years_sameplacement2years)</f>
        <v>15</v>
      </c>
      <c r="Z145" s="424" t="str">
        <f>IF(Year2_Bracknell_Forest Year2_LAC_under16_2.5years_sameplacement2years="","",Year2_Bracknell_Forest Year2_LAC_under16_2.5years_sameplacement2years)</f>
        <v/>
      </c>
      <c r="AA145" s="424">
        <f>IF(Year3_Bracknell_Forest Year3_LAC_under16_2.5years_sameplacement2years="","",Year3_Bracknell_Forest Year3_LAC_under16_2.5years_sameplacement2years)</f>
        <v>15</v>
      </c>
      <c r="AB145" s="424">
        <f>IF(Year4_Bracknell_Forest Year4_LAC_under16_2.5years_sameplacement2years="","",Year4_Bracknell_Forest Year4_LAC_under16_2.5years_sameplacement2years)</f>
        <v>20</v>
      </c>
      <c r="AC145" s="424">
        <f>IF(Year5_Bracknell_Forest Year5_LAC_under16_2.5years_sameplacement2years="","",Year5_Bracknell_Forest Year5_LAC_under16_2.5years_sameplacement2years)</f>
        <v>14</v>
      </c>
      <c r="AD145" s="436"/>
      <c r="AE145" s="437"/>
      <c r="AF145" s="438"/>
      <c r="AG145" s="438"/>
      <c r="AH145" s="438"/>
      <c r="AI145" s="650"/>
      <c r="AJ145" s="179"/>
    </row>
    <row r="146" spans="1:44" s="101" customFormat="1" ht="12.75" customHeight="1" x14ac:dyDescent="0.2">
      <c r="A146" s="533">
        <f>VLOOKUP(B146,Sheet1!$B$4:$C$25,2,FALSE)</f>
        <v>0</v>
      </c>
      <c r="B146" s="112" t="str">
        <f t="shared" si="52"/>
        <v>Brighton &amp; Hove</v>
      </c>
      <c r="C146" s="97"/>
      <c r="D146" s="182">
        <f t="shared" ref="D146:D168" si="54">IF(AND(ISNUMBER(Y146),ISNUMBER(AE111)),Y146/AE111,NA())</f>
        <v>0.625</v>
      </c>
      <c r="E146" s="182" t="e">
        <f t="shared" ref="E146:E168" si="55">IF(AND(ISNUMBER(Z146),ISNUMBER(AF111)),Z146/AF111,NA())</f>
        <v>#N/A</v>
      </c>
      <c r="F146" s="182">
        <f t="shared" ref="F146:F168" si="56">IF(AND(ISNUMBER(AA146),ISNUMBER(AG111)),AA146/AG111,NA())</f>
        <v>0.6428571428571429</v>
      </c>
      <c r="G146" s="182">
        <f t="shared" ref="G146:G168" si="57">IF(AND(ISNUMBER(AB146),ISNUMBER(AH111)),AB146/AH111,NA())</f>
        <v>0.73076923076923073</v>
      </c>
      <c r="H146" s="184">
        <f t="shared" ref="H146:H168" si="58">IF(AND(ISNUMBER(AC146),ISNUMBER(AI111)),AC146/AI111,NA())</f>
        <v>0.68852459016393441</v>
      </c>
      <c r="I146" s="115"/>
      <c r="J146" s="115"/>
      <c r="K146" s="186"/>
      <c r="L146" s="186"/>
      <c r="M146" s="186"/>
      <c r="N146" s="186"/>
      <c r="O146" s="186"/>
      <c r="P146" s="186"/>
      <c r="Q146" s="187"/>
      <c r="R146" s="177"/>
      <c r="S146" s="177"/>
      <c r="T146" s="186"/>
      <c r="U146" s="139"/>
      <c r="V146" s="154"/>
      <c r="W146" s="170"/>
      <c r="X146" s="424" t="str">
        <f t="shared" ref="X146:X168" si="59">B146</f>
        <v>Brighton &amp; Hove</v>
      </c>
      <c r="Y146" s="534">
        <f>IF(Year1_Brighton_Hove Year1_LAC_under16_2.5years_sameplacement2years="","",Year1_Brighton_Hove Year1_LAC_under16_2.5years_sameplacement2years)</f>
        <v>100</v>
      </c>
      <c r="Z146" s="424" t="str">
        <f>IF(Year2_Brighton_Hove Year2_LAC_under16_2.5years_sameplacement2years="","",Year2_Brighton_Hove Year2_LAC_under16_2.5years_sameplacement2years)</f>
        <v/>
      </c>
      <c r="AA146" s="424">
        <f>IF(Year3_Brighton_Hove Year3_LAC_under16_2.5years_sameplacement2years="","",Year3_Brighton_Hove Year3_LAC_under16_2.5years_sameplacement2years)</f>
        <v>90</v>
      </c>
      <c r="AB146" s="424">
        <f>IF(Year4_Brighton_Hove Year4_LAC_under16_2.5years_sameplacement2years="","",Year4_Brighton_Hove Year4_LAC_under16_2.5years_sameplacement2years)</f>
        <v>95</v>
      </c>
      <c r="AC146" s="424">
        <f>IF(Year5_Brighton_Hove Year5_LAC_under16_2.5years_sameplacement2years="","",Year5_Brighton_Hove Year5_LAC_under16_2.5years_sameplacement2years)</f>
        <v>84</v>
      </c>
      <c r="AD146" s="436"/>
      <c r="AE146" s="667"/>
      <c r="AF146" s="438"/>
      <c r="AG146" s="438"/>
      <c r="AH146" s="438"/>
      <c r="AI146" s="650"/>
      <c r="AJ146" s="178"/>
    </row>
    <row r="147" spans="1:44" s="101" customFormat="1" ht="12.75" customHeight="1" x14ac:dyDescent="0.2">
      <c r="A147" s="533">
        <f>VLOOKUP(B147,Sheet1!$B$4:$C$25,2,FALSE)</f>
        <v>0</v>
      </c>
      <c r="B147" s="112" t="str">
        <f t="shared" si="52"/>
        <v>Buckinghamshire</v>
      </c>
      <c r="C147" s="97"/>
      <c r="D147" s="182">
        <f t="shared" si="54"/>
        <v>0.6333333333333333</v>
      </c>
      <c r="E147" s="182" t="e">
        <f t="shared" si="55"/>
        <v>#N/A</v>
      </c>
      <c r="F147" s="182">
        <f t="shared" si="56"/>
        <v>0.6333333333333333</v>
      </c>
      <c r="G147" s="182">
        <f t="shared" si="57"/>
        <v>0.7142857142857143</v>
      </c>
      <c r="H147" s="184">
        <f t="shared" si="58"/>
        <v>0.7021276595744681</v>
      </c>
      <c r="I147" s="115"/>
      <c r="J147" s="115"/>
      <c r="K147" s="186"/>
      <c r="L147" s="186"/>
      <c r="M147" s="186"/>
      <c r="N147" s="186"/>
      <c r="O147" s="186"/>
      <c r="P147" s="186"/>
      <c r="Q147" s="187"/>
      <c r="R147" s="177"/>
      <c r="S147" s="177"/>
      <c r="T147" s="186"/>
      <c r="U147" s="139"/>
      <c r="V147" s="154"/>
      <c r="W147" s="170"/>
      <c r="X147" s="424" t="str">
        <f t="shared" si="59"/>
        <v>Buckinghamshire</v>
      </c>
      <c r="Y147" s="534">
        <f>IF(Year1_Buckinghamshire Year1_LAC_under16_2.5years_sameplacement2years="","",Year1_Buckinghamshire Year1_LAC_under16_2.5years_sameplacement2years)</f>
        <v>95</v>
      </c>
      <c r="Z147" s="424" t="str">
        <f>IF(Year2_Buckinghamshire Year2_LAC_under16_2.5years_sameplacement2years="","",Year2_Buckinghamshire Year2_LAC_under16_2.5years_sameplacement2years)</f>
        <v/>
      </c>
      <c r="AA147" s="424">
        <f>IF(Year3_Buckinghamshire Year3_LAC_under16_2.5years_sameplacement2years="","",Year3_Buckinghamshire Year3_LAC_under16_2.5years_sameplacement2years)</f>
        <v>95</v>
      </c>
      <c r="AB147" s="424">
        <f>IF(Year4_Buckinghamshire Year4_LAC_under16_2.5years_sameplacement2years="","",Year4_Buckinghamshire Year4_LAC_under16_2.5years_sameplacement2years)</f>
        <v>100</v>
      </c>
      <c r="AC147" s="424">
        <f>IF(Year5_Buckinghamshire Year5_LAC_under16_2.5years_sameplacement2years="","",Year5_Buckinghamshire Year5_LAC_under16_2.5years_sameplacement2years)</f>
        <v>99</v>
      </c>
      <c r="AD147" s="436"/>
      <c r="AE147" s="667"/>
      <c r="AF147" s="438"/>
      <c r="AG147" s="438"/>
      <c r="AH147" s="438"/>
      <c r="AI147" s="650"/>
      <c r="AJ147" s="179"/>
    </row>
    <row r="148" spans="1:44" s="101" customFormat="1" ht="12.75" customHeight="1" x14ac:dyDescent="0.2">
      <c r="A148" s="533">
        <f>VLOOKUP(B148,Sheet1!$B$4:$C$25,2,FALSE)</f>
        <v>0</v>
      </c>
      <c r="B148" s="112" t="str">
        <f t="shared" si="52"/>
        <v>East Sussex</v>
      </c>
      <c r="C148" s="97"/>
      <c r="D148" s="182">
        <f t="shared" si="54"/>
        <v>0.57446808510638303</v>
      </c>
      <c r="E148" s="182" t="e">
        <f t="shared" si="55"/>
        <v>#N/A</v>
      </c>
      <c r="F148" s="182">
        <f t="shared" si="56"/>
        <v>0.64583333333333337</v>
      </c>
      <c r="G148" s="182">
        <f t="shared" si="57"/>
        <v>0.70454545454545459</v>
      </c>
      <c r="H148" s="184">
        <f t="shared" si="58"/>
        <v>0.70531400966183577</v>
      </c>
      <c r="I148" s="115"/>
      <c r="J148" s="115"/>
      <c r="K148" s="186"/>
      <c r="L148" s="186"/>
      <c r="M148" s="186"/>
      <c r="N148" s="186"/>
      <c r="O148" s="186"/>
      <c r="P148" s="186"/>
      <c r="Q148" s="187"/>
      <c r="R148" s="177"/>
      <c r="S148" s="177"/>
      <c r="T148" s="186"/>
      <c r="U148" s="139"/>
      <c r="V148" s="154"/>
      <c r="W148" s="170"/>
      <c r="X148" s="424" t="str">
        <f t="shared" si="59"/>
        <v>East Sussex</v>
      </c>
      <c r="Y148" s="534">
        <f>IF(Year1_East_Sussex Year1_LAC_under16_2.5years_sameplacement2years="","",Year1_East_Sussex Year1_LAC_under16_2.5years_sameplacement2years)</f>
        <v>135</v>
      </c>
      <c r="Z148" s="424" t="str">
        <f>IF(Year2_East_Sussex Year2_LAC_under16_2.5years_sameplacement2years="","",Year2_East_Sussex Year2_LAC_under16_2.5years_sameplacement2years)</f>
        <v/>
      </c>
      <c r="AA148" s="424">
        <f>IF(Year3_East_Sussex Year3_LAC_under16_2.5years_sameplacement2years="","",Year3_East_Sussex Year3_LAC_under16_2.5years_sameplacement2years)</f>
        <v>155</v>
      </c>
      <c r="AB148" s="424">
        <f>IF(Year4_East_Sussex Year4_LAC_under16_2.5years_sameplacement2years="","",Year4_East_Sussex Year4_LAC_under16_2.5years_sameplacement2years)</f>
        <v>155</v>
      </c>
      <c r="AC148" s="424">
        <f>IF(Year5_East_Sussex Year5_LAC_under16_2.5years_sameplacement2years="","",Year5_East_Sussex Year5_LAC_under16_2.5years_sameplacement2years)</f>
        <v>146</v>
      </c>
      <c r="AD148" s="436"/>
      <c r="AE148" s="667"/>
      <c r="AF148" s="438"/>
      <c r="AG148" s="438"/>
      <c r="AH148" s="438"/>
      <c r="AI148" s="650"/>
      <c r="AJ148" s="178"/>
    </row>
    <row r="149" spans="1:44" s="101" customFormat="1" ht="12.75" customHeight="1" x14ac:dyDescent="0.2">
      <c r="A149" s="533">
        <f>VLOOKUP(B149,Sheet1!$B$4:$C$25,2,FALSE)</f>
        <v>0</v>
      </c>
      <c r="B149" s="112" t="str">
        <f t="shared" si="52"/>
        <v>Hampshire</v>
      </c>
      <c r="C149" s="97"/>
      <c r="D149" s="182">
        <f t="shared" si="54"/>
        <v>0.61428571428571432</v>
      </c>
      <c r="E149" s="182" t="e">
        <f t="shared" si="55"/>
        <v>#N/A</v>
      </c>
      <c r="F149" s="182">
        <f t="shared" si="56"/>
        <v>0.66666666666666663</v>
      </c>
      <c r="G149" s="182">
        <f t="shared" si="57"/>
        <v>0.68421052631578949</v>
      </c>
      <c r="H149" s="184">
        <f t="shared" si="58"/>
        <v>0.72386587771203159</v>
      </c>
      <c r="I149" s="115"/>
      <c r="J149" s="115"/>
      <c r="K149" s="186"/>
      <c r="L149" s="186"/>
      <c r="M149" s="186"/>
      <c r="N149" s="186"/>
      <c r="O149" s="186"/>
      <c r="P149" s="186"/>
      <c r="Q149" s="187"/>
      <c r="R149" s="177"/>
      <c r="S149" s="177"/>
      <c r="T149" s="186"/>
      <c r="U149" s="139"/>
      <c r="V149" s="154"/>
      <c r="W149" s="170"/>
      <c r="X149" s="424" t="str">
        <f t="shared" si="59"/>
        <v>Hampshire</v>
      </c>
      <c r="Y149" s="534">
        <f>IF(Year1_Hampshire Year1_LAC_under16_2.5years_sameplacement2years="","",Year1_Hampshire Year1_LAC_under16_2.5years_sameplacement2years)</f>
        <v>215</v>
      </c>
      <c r="Z149" s="424" t="str">
        <f>IF(Year2_Hampshire Year2_LAC_under16_2.5years_sameplacement2years="","",Year2_Hampshire Year2_LAC_under16_2.5years_sameplacement2years)</f>
        <v/>
      </c>
      <c r="AA149" s="424">
        <f>IF(Year3_Hampshire Year3_LAC_under16_2.5years_sameplacement2years="","",Year3_Hampshire Year3_LAC_under16_2.5years_sameplacement2years)</f>
        <v>280</v>
      </c>
      <c r="AB149" s="424">
        <f>IF(Year4_Hampshire Year4_LAC_under16_2.5years_sameplacement2years="","",Year4_Hampshire Year4_LAC_under16_2.5years_sameplacement2years)</f>
        <v>325</v>
      </c>
      <c r="AC149" s="424">
        <f>IF(Year5_Hampshire Year5_LAC_under16_2.5years_sameplacement2years="","",Year5_Hampshire Year5_LAC_under16_2.5years_sameplacement2years)</f>
        <v>367</v>
      </c>
      <c r="AD149" s="436"/>
      <c r="AE149" s="667"/>
      <c r="AF149" s="438"/>
      <c r="AG149" s="438"/>
      <c r="AH149" s="438"/>
      <c r="AI149" s="650"/>
      <c r="AJ149" s="179"/>
    </row>
    <row r="150" spans="1:44" s="101" customFormat="1" ht="12.75" customHeight="1" x14ac:dyDescent="0.2">
      <c r="A150" s="533">
        <f>VLOOKUP(B150,Sheet1!$B$4:$C$25,2,FALSE)</f>
        <v>0</v>
      </c>
      <c r="B150" s="112" t="str">
        <f t="shared" si="52"/>
        <v>Isle of Wight</v>
      </c>
      <c r="C150" s="97"/>
      <c r="D150" s="182">
        <f t="shared" si="54"/>
        <v>0.625</v>
      </c>
      <c r="E150" s="182" t="e">
        <f t="shared" si="55"/>
        <v>#N/A</v>
      </c>
      <c r="F150" s="182">
        <f t="shared" si="56"/>
        <v>0.66666666666666663</v>
      </c>
      <c r="G150" s="182">
        <f t="shared" si="57"/>
        <v>0.63636363636363635</v>
      </c>
      <c r="H150" s="184">
        <f t="shared" si="58"/>
        <v>0.7384615384615385</v>
      </c>
      <c r="I150" s="115"/>
      <c r="J150" s="115"/>
      <c r="K150" s="186"/>
      <c r="L150" s="186"/>
      <c r="M150" s="186"/>
      <c r="N150" s="186"/>
      <c r="O150" s="186"/>
      <c r="P150" s="186"/>
      <c r="Q150" s="187"/>
      <c r="R150" s="177"/>
      <c r="S150" s="177"/>
      <c r="T150" s="186"/>
      <c r="U150" s="139"/>
      <c r="V150" s="154"/>
      <c r="W150" s="170"/>
      <c r="X150" s="424" t="str">
        <f t="shared" si="59"/>
        <v>Isle of Wight</v>
      </c>
      <c r="Y150" s="534">
        <f>IF(Year1_Isle_of_Wight Year1_LAC_under16_2.5years_sameplacement2years="","",Year1_Isle_of_Wight Year1_LAC_under16_2.5years_sameplacement2years)</f>
        <v>25</v>
      </c>
      <c r="Z150" s="424" t="str">
        <f>IF(Year2_Isle_of_Wight Year2_LAC_under16_2.5years_sameplacement2years="","",Year2_Isle_of_Wight Year2_LAC_under16_2.5years_sameplacement2years)</f>
        <v/>
      </c>
      <c r="AA150" s="424">
        <f>IF(Year3_Isle_of_Wight Year3_LAC_under16_2.5years_sameplacement2years="","",Year3_Isle_of_Wight Year3_LAC_under16_2.5years_sameplacement2years)</f>
        <v>40</v>
      </c>
      <c r="AB150" s="424">
        <f>IF(Year4_Isle_of_Wight Year4_LAC_under16_2.5years_sameplacement2years="","",Year4_Isle_of_Wight Year4_LAC_under16_2.5years_sameplacement2years)</f>
        <v>35</v>
      </c>
      <c r="AC150" s="424">
        <f>IF(Year5_Isle_of_Wight Year5_LAC_under16_2.5years_sameplacement2years="","",Year5_Isle_of_Wight Year5_LAC_under16_2.5years_sameplacement2years)</f>
        <v>48</v>
      </c>
      <c r="AD150" s="436"/>
      <c r="AE150" s="667"/>
      <c r="AF150" s="438"/>
      <c r="AG150" s="438"/>
      <c r="AH150" s="438"/>
      <c r="AI150" s="650"/>
      <c r="AJ150" s="178"/>
      <c r="AR150" s="101" t="s">
        <v>104</v>
      </c>
    </row>
    <row r="151" spans="1:44" s="101" customFormat="1" ht="12.75" customHeight="1" x14ac:dyDescent="0.2">
      <c r="A151" s="533">
        <f>VLOOKUP(B151,Sheet1!$B$4:$C$25,2,FALSE)</f>
        <v>0</v>
      </c>
      <c r="B151" s="112" t="str">
        <f t="shared" si="52"/>
        <v>Kent</v>
      </c>
      <c r="C151" s="97"/>
      <c r="D151" s="182">
        <f t="shared" si="54"/>
        <v>0.65420560747663548</v>
      </c>
      <c r="E151" s="182" t="e">
        <f t="shared" si="55"/>
        <v>#N/A</v>
      </c>
      <c r="F151" s="182">
        <f t="shared" si="56"/>
        <v>0.69026548672566368</v>
      </c>
      <c r="G151" s="182">
        <f t="shared" si="57"/>
        <v>0.69090909090909092</v>
      </c>
      <c r="H151" s="184">
        <f t="shared" si="58"/>
        <v>0.67844522968197885</v>
      </c>
      <c r="I151" s="115"/>
      <c r="J151" s="115"/>
      <c r="K151" s="186"/>
      <c r="L151" s="186"/>
      <c r="M151" s="186"/>
      <c r="N151" s="186"/>
      <c r="O151" s="186"/>
      <c r="P151" s="186"/>
      <c r="Q151" s="187"/>
      <c r="R151" s="177"/>
      <c r="S151" s="177"/>
      <c r="T151" s="186"/>
      <c r="U151" s="139"/>
      <c r="V151" s="154"/>
      <c r="W151" s="170"/>
      <c r="X151" s="424" t="str">
        <f t="shared" si="59"/>
        <v>Kent</v>
      </c>
      <c r="Y151" s="534">
        <f>IF(Year1_Kent Year1_LAC_under16_2.5years_sameplacement2years="","",Year1_Kent Year1_LAC_under16_2.5years_sameplacement2years)</f>
        <v>350</v>
      </c>
      <c r="Z151" s="424" t="str">
        <f>IF(Year2_Kent Year2_LAC_under16_2.5years_sameplacement2years="","",Year2_Kent Year2_LAC_under16_2.5years_sameplacement2years)</f>
        <v/>
      </c>
      <c r="AA151" s="424">
        <f>IF(Year3_Kent Year3_LAC_under16_2.5years_sameplacement2years="","",Year3_Kent Year3_LAC_under16_2.5years_sameplacement2years)</f>
        <v>390</v>
      </c>
      <c r="AB151" s="424">
        <f>IF(Year4_Kent Year4_LAC_under16_2.5years_sameplacement2years="","",Year4_Kent Year4_LAC_under16_2.5years_sameplacement2years)</f>
        <v>380</v>
      </c>
      <c r="AC151" s="424">
        <f>IF(Year5_Kent Year5_LAC_under16_2.5years_sameplacement2years="","",Year5_Kent Year5_LAC_under16_2.5years_sameplacement2years)</f>
        <v>384</v>
      </c>
      <c r="AD151" s="436"/>
      <c r="AE151" s="437"/>
      <c r="AF151" s="438"/>
      <c r="AG151" s="438"/>
      <c r="AH151" s="438"/>
      <c r="AI151" s="650"/>
      <c r="AJ151" s="179"/>
    </row>
    <row r="152" spans="1:44" s="101" customFormat="1" ht="12.75" customHeight="1" x14ac:dyDescent="0.2">
      <c r="A152" s="533">
        <f>VLOOKUP(B152,Sheet1!$B$4:$C$25,2,FALSE)</f>
        <v>0</v>
      </c>
      <c r="B152" s="112" t="str">
        <f t="shared" si="52"/>
        <v>Medway</v>
      </c>
      <c r="C152" s="97"/>
      <c r="D152" s="182">
        <f t="shared" si="54"/>
        <v>0.65384615384615385</v>
      </c>
      <c r="E152" s="182" t="e">
        <f t="shared" si="55"/>
        <v>#N/A</v>
      </c>
      <c r="F152" s="182">
        <f t="shared" si="56"/>
        <v>0.73076923076923073</v>
      </c>
      <c r="G152" s="182">
        <f t="shared" si="57"/>
        <v>0.76666666666666672</v>
      </c>
      <c r="H152" s="184">
        <f t="shared" si="58"/>
        <v>0.6706586826347305</v>
      </c>
      <c r="I152" s="115"/>
      <c r="J152" s="115"/>
      <c r="K152" s="186"/>
      <c r="L152" s="186"/>
      <c r="M152" s="186"/>
      <c r="N152" s="186"/>
      <c r="O152" s="186"/>
      <c r="P152" s="186"/>
      <c r="Q152" s="187"/>
      <c r="R152" s="177"/>
      <c r="S152" s="177"/>
      <c r="T152" s="186"/>
      <c r="U152" s="139"/>
      <c r="V152" s="154"/>
      <c r="W152" s="170"/>
      <c r="X152" s="424" t="str">
        <f t="shared" si="59"/>
        <v>Medway</v>
      </c>
      <c r="Y152" s="534">
        <f>IF(Year1_Medway Year1_LAC_under16_2.5years_sameplacement2years="","",Year1_Medway Year1_LAC_under16_2.5years_sameplacement2years)</f>
        <v>85</v>
      </c>
      <c r="Z152" s="424" t="str">
        <f>IF(Year2_Medway Year2_LAC_under16_2.5years_sameplacement2years="","",Year2_Medway Year2_LAC_under16_2.5years_sameplacement2years)</f>
        <v/>
      </c>
      <c r="AA152" s="424">
        <f>IF(Year3_Medway Year3_LAC_under16_2.5years_sameplacement2years="","",Year3_Medway Year3_LAC_under16_2.5years_sameplacement2years)</f>
        <v>95</v>
      </c>
      <c r="AB152" s="424">
        <f>IF(Year4_Medway Year4_LAC_under16_2.5years_sameplacement2years="","",Year4_Medway Year4_LAC_under16_2.5years_sameplacement2years)</f>
        <v>115</v>
      </c>
      <c r="AC152" s="424">
        <f>IF(Year5_Medway Year5_LAC_under16_2.5years_sameplacement2years="","",Year5_Medway Year5_LAC_under16_2.5years_sameplacement2years)</f>
        <v>112</v>
      </c>
      <c r="AD152" s="436"/>
      <c r="AE152" s="437"/>
      <c r="AF152" s="438"/>
      <c r="AG152" s="438"/>
      <c r="AH152" s="438"/>
      <c r="AI152" s="650"/>
      <c r="AJ152" s="178"/>
    </row>
    <row r="153" spans="1:44" s="101" customFormat="1" ht="12.75" customHeight="1" x14ac:dyDescent="0.2">
      <c r="A153" s="533">
        <f>VLOOKUP(B153,Sheet1!$B$4:$C$25,2,FALSE)</f>
        <v>0</v>
      </c>
      <c r="B153" s="112" t="str">
        <f t="shared" si="52"/>
        <v>Milton Keynes</v>
      </c>
      <c r="C153" s="97"/>
      <c r="D153" s="182">
        <f t="shared" si="54"/>
        <v>0.61111111111111116</v>
      </c>
      <c r="E153" s="182" t="e">
        <f t="shared" si="55"/>
        <v>#N/A</v>
      </c>
      <c r="F153" s="182">
        <f t="shared" si="56"/>
        <v>0.54545454545454541</v>
      </c>
      <c r="G153" s="182">
        <f t="shared" si="57"/>
        <v>0.625</v>
      </c>
      <c r="H153" s="184">
        <f t="shared" si="58"/>
        <v>0.5703125</v>
      </c>
      <c r="I153" s="115"/>
      <c r="J153" s="115"/>
      <c r="K153" s="186"/>
      <c r="L153" s="186"/>
      <c r="M153" s="186"/>
      <c r="N153" s="186"/>
      <c r="O153" s="186"/>
      <c r="P153" s="186"/>
      <c r="Q153" s="187"/>
      <c r="R153" s="177"/>
      <c r="S153" s="177"/>
      <c r="T153" s="186"/>
      <c r="U153" s="139"/>
      <c r="V153" s="154"/>
      <c r="W153" s="170"/>
      <c r="X153" s="424" t="str">
        <f t="shared" si="59"/>
        <v>Milton Keynes</v>
      </c>
      <c r="Y153" s="534">
        <f>IF(Year1_Milton_Keynes Year1_LAC_under16_2.5years_sameplacement2years="","",Year1_Milton_Keynes Year1_LAC_under16_2.5years_sameplacement2years)</f>
        <v>55</v>
      </c>
      <c r="Z153" s="424" t="str">
        <f>IF(Year2_Milton_Keynes Year2_LAC_under16_2.5years_sameplacement2years="","",Year2_Milton_Keynes Year2_LAC_under16_2.5years_sameplacement2years)</f>
        <v/>
      </c>
      <c r="AA153" s="424">
        <f>IF(Year3_Milton_Keynes Year3_LAC_under16_2.5years_sameplacement2years="","",Year3_Milton_Keynes Year3_LAC_under16_2.5years_sameplacement2years)</f>
        <v>60</v>
      </c>
      <c r="AB153" s="424">
        <f>IF(Year4_Milton_Keynes Year4_LAC_under16_2.5years_sameplacement2years="","",Year4_Milton_Keynes Year4_LAC_under16_2.5years_sameplacement2years)</f>
        <v>75</v>
      </c>
      <c r="AC153" s="424">
        <f>IF(Year5_Milton_Keynes Year5_LAC_under16_2.5years_sameplacement2years="","",Year5_Milton_Keynes Year5_LAC_under16_2.5years_sameplacement2years)</f>
        <v>73</v>
      </c>
      <c r="AD153" s="436"/>
      <c r="AE153" s="437"/>
      <c r="AF153" s="438"/>
      <c r="AG153" s="438"/>
      <c r="AH153" s="438"/>
      <c r="AI153" s="650"/>
      <c r="AJ153" s="179"/>
    </row>
    <row r="154" spans="1:44" s="101" customFormat="1" ht="12.75" customHeight="1" x14ac:dyDescent="0.2">
      <c r="A154" s="533">
        <f>VLOOKUP(B154,Sheet1!$B$4:$C$25,2,FALSE)</f>
        <v>0</v>
      </c>
      <c r="B154" s="112" t="str">
        <f t="shared" si="52"/>
        <v>Oxfordshire</v>
      </c>
      <c r="C154" s="97"/>
      <c r="D154" s="182">
        <f t="shared" si="54"/>
        <v>0.65</v>
      </c>
      <c r="E154" s="182" t="e">
        <f t="shared" si="55"/>
        <v>#N/A</v>
      </c>
      <c r="F154" s="182">
        <f t="shared" si="56"/>
        <v>0.66666666666666663</v>
      </c>
      <c r="G154" s="182">
        <f t="shared" si="57"/>
        <v>0.69230769230769229</v>
      </c>
      <c r="H154" s="184">
        <f t="shared" si="58"/>
        <v>0.65432098765432101</v>
      </c>
      <c r="I154" s="115"/>
      <c r="J154" s="115"/>
      <c r="K154" s="186"/>
      <c r="L154" s="186"/>
      <c r="M154" s="186"/>
      <c r="N154" s="186"/>
      <c r="O154" s="186"/>
      <c r="P154" s="186"/>
      <c r="Q154" s="187"/>
      <c r="R154" s="177"/>
      <c r="S154" s="177"/>
      <c r="T154" s="186"/>
      <c r="U154" s="139"/>
      <c r="V154" s="154"/>
      <c r="W154" s="170"/>
      <c r="X154" s="424" t="str">
        <f t="shared" si="59"/>
        <v>Oxfordshire</v>
      </c>
      <c r="Y154" s="534">
        <f>IF(Year1_Oxfordshire Year1_LAC_under16_2.5years_sameplacement2years="","",Year1_Oxfordshire Year1_LAC_under16_2.5years_sameplacement2years)</f>
        <v>65</v>
      </c>
      <c r="Z154" s="424" t="str">
        <f>IF(Year2_Oxfordshire Year2_LAC_under16_2.5years_sameplacement2years="","",Year2_Oxfordshire Year2_LAC_under16_2.5years_sameplacement2years)</f>
        <v/>
      </c>
      <c r="AA154" s="424">
        <f>IF(Year3_Oxfordshire Year3_LAC_under16_2.5years_sameplacement2years="","",Year3_Oxfordshire Year3_LAC_under16_2.5years_sameplacement2years)</f>
        <v>80</v>
      </c>
      <c r="AB154" s="424">
        <f>IF(Year4_Oxfordshire Year4_LAC_under16_2.5years_sameplacement2years="","",Year4_Oxfordshire Year4_LAC_under16_2.5years_sameplacement2years)</f>
        <v>90</v>
      </c>
      <c r="AC154" s="424">
        <f>IF(Year5_Oxfordshire Year5_LAC_under16_2.5years_sameplacement2years="","",Year5_Oxfordshire Year5_LAC_under16_2.5years_sameplacement2years)</f>
        <v>106</v>
      </c>
      <c r="AD154" s="436"/>
      <c r="AE154" s="437"/>
      <c r="AF154" s="438"/>
      <c r="AG154" s="438"/>
      <c r="AH154" s="438"/>
      <c r="AI154" s="650"/>
      <c r="AJ154" s="178"/>
    </row>
    <row r="155" spans="1:44" s="101" customFormat="1" ht="12.75" customHeight="1" x14ac:dyDescent="0.2">
      <c r="A155" s="533">
        <f>VLOOKUP(B155,Sheet1!$B$4:$C$25,2,FALSE)</f>
        <v>0</v>
      </c>
      <c r="B155" s="112" t="str">
        <f t="shared" si="52"/>
        <v>Portsmouth</v>
      </c>
      <c r="C155" s="97"/>
      <c r="D155" s="182">
        <f t="shared" si="54"/>
        <v>0.72727272727272729</v>
      </c>
      <c r="E155" s="182" t="e">
        <f t="shared" si="55"/>
        <v>#N/A</v>
      </c>
      <c r="F155" s="182">
        <f t="shared" si="56"/>
        <v>0.54545454545454541</v>
      </c>
      <c r="G155" s="182">
        <f t="shared" si="57"/>
        <v>0.6</v>
      </c>
      <c r="H155" s="184">
        <f t="shared" si="58"/>
        <v>0.62184873949579833</v>
      </c>
      <c r="I155" s="115"/>
      <c r="J155" s="115"/>
      <c r="K155" s="186"/>
      <c r="L155" s="186"/>
      <c r="M155" s="186"/>
      <c r="N155" s="186"/>
      <c r="O155" s="186"/>
      <c r="P155" s="186"/>
      <c r="Q155" s="187"/>
      <c r="R155" s="177"/>
      <c r="S155" s="177"/>
      <c r="T155" s="186"/>
      <c r="U155" s="139"/>
      <c r="V155" s="154"/>
      <c r="W155" s="170"/>
      <c r="X155" s="424" t="str">
        <f t="shared" si="59"/>
        <v>Portsmouth</v>
      </c>
      <c r="Y155" s="534">
        <f>IF(Year1_Portsmouth Year1_LAC_under16_2.5years_sameplacement2years="","",Year1_Portsmouth Year1_LAC_under16_2.5years_sameplacement2years)</f>
        <v>80</v>
      </c>
      <c r="Z155" s="424" t="str">
        <f>IF(Year2_Portsmouth Year2_LAC_under16_2.5years_sameplacement2years="","",Year2_Portsmouth Year2_LAC_under16_2.5years_sameplacement2years)</f>
        <v/>
      </c>
      <c r="AA155" s="424">
        <f>IF(Year3_Portsmouth Year3_LAC_under16_2.5years_sameplacement2years="","",Year3_Portsmouth Year3_LAC_under16_2.5years_sameplacement2years)</f>
        <v>60</v>
      </c>
      <c r="AB155" s="424">
        <f>IF(Year4_Portsmouth Year4_LAC_under16_2.5years_sameplacement2years="","",Year4_Portsmouth Year4_LAC_under16_2.5years_sameplacement2years)</f>
        <v>75</v>
      </c>
      <c r="AC155" s="424">
        <f>IF(Year5_Portsmouth Year5_LAC_under16_2.5years_sameplacement2years="","",Year5_Portsmouth Year5_LAC_under16_2.5years_sameplacement2years)</f>
        <v>74</v>
      </c>
      <c r="AD155" s="436"/>
      <c r="AE155" s="437"/>
      <c r="AF155" s="438"/>
      <c r="AG155" s="438"/>
      <c r="AH155" s="438"/>
      <c r="AI155" s="650"/>
      <c r="AJ155" s="179"/>
    </row>
    <row r="156" spans="1:44" s="101" customFormat="1" ht="12.75" customHeight="1" x14ac:dyDescent="0.2">
      <c r="A156" s="533">
        <f>VLOOKUP(B156,Sheet1!$B$4:$C$25,2,FALSE)</f>
        <v>0</v>
      </c>
      <c r="B156" s="112" t="str">
        <f t="shared" si="52"/>
        <v>Reading</v>
      </c>
      <c r="C156" s="97"/>
      <c r="D156" s="182">
        <f t="shared" si="54"/>
        <v>0.66666666666666663</v>
      </c>
      <c r="E156" s="182" t="e">
        <f t="shared" si="55"/>
        <v>#N/A</v>
      </c>
      <c r="F156" s="182">
        <f t="shared" si="56"/>
        <v>0.61538461538461542</v>
      </c>
      <c r="G156" s="182">
        <f t="shared" si="57"/>
        <v>0.75</v>
      </c>
      <c r="H156" s="184">
        <f t="shared" si="58"/>
        <v>0.63095238095238093</v>
      </c>
      <c r="I156" s="115"/>
      <c r="J156" s="115"/>
      <c r="K156" s="186"/>
      <c r="L156" s="186"/>
      <c r="M156" s="186"/>
      <c r="N156" s="186"/>
      <c r="O156" s="186"/>
      <c r="P156" s="186"/>
      <c r="Q156" s="187"/>
      <c r="R156" s="177"/>
      <c r="S156" s="177"/>
      <c r="T156" s="186"/>
      <c r="U156" s="139"/>
      <c r="V156" s="154"/>
      <c r="W156" s="170"/>
      <c r="X156" s="424" t="str">
        <f t="shared" si="59"/>
        <v>Reading</v>
      </c>
      <c r="Y156" s="534">
        <f>IF(Year1_Reading Year1_LAC_under16_2.5years_sameplacement2years="","",Year1_Reading Year1_LAC_under16_2.5years_sameplacement2years)</f>
        <v>50</v>
      </c>
      <c r="Z156" s="424" t="str">
        <f>IF(Year2_Reading Year2_LAC_under16_2.5years_sameplacement2years="","",Year2_Reading Year2_LAC_under16_2.5years_sameplacement2years)</f>
        <v/>
      </c>
      <c r="AA156" s="424">
        <f>IF(Year3_Reading Year3_LAC_under16_2.5years_sameplacement2years="","",Year3_Reading Year3_LAC_under16_2.5years_sameplacement2years)</f>
        <v>40</v>
      </c>
      <c r="AB156" s="424">
        <f>IF(Year4_Reading Year4_LAC_under16_2.5years_sameplacement2years="","",Year4_Reading Year4_LAC_under16_2.5years_sameplacement2years)</f>
        <v>45</v>
      </c>
      <c r="AC156" s="424">
        <f>IF(Year5_Reading Year5_LAC_under16_2.5years_sameplacement2years="","",Year5_Reading Year5_LAC_under16_2.5years_sameplacement2years)</f>
        <v>53</v>
      </c>
      <c r="AD156" s="436"/>
      <c r="AE156" s="437"/>
      <c r="AF156" s="438"/>
      <c r="AG156" s="438"/>
      <c r="AH156" s="438"/>
      <c r="AI156" s="650"/>
      <c r="AJ156" s="178"/>
    </row>
    <row r="157" spans="1:44" s="101" customFormat="1" ht="12.75" customHeight="1" x14ac:dyDescent="0.2">
      <c r="A157" s="533">
        <f>VLOOKUP(B157,Sheet1!$B$4:$C$25,2,FALSE)</f>
        <v>0</v>
      </c>
      <c r="B157" s="112" t="str">
        <f t="shared" si="52"/>
        <v>Slough</v>
      </c>
      <c r="C157" s="97"/>
      <c r="D157" s="182">
        <f t="shared" si="54"/>
        <v>0.5</v>
      </c>
      <c r="E157" s="182" t="e">
        <f t="shared" si="55"/>
        <v>#N/A</v>
      </c>
      <c r="F157" s="182">
        <f t="shared" si="56"/>
        <v>0.54545454545454541</v>
      </c>
      <c r="G157" s="182">
        <f t="shared" si="57"/>
        <v>0.6</v>
      </c>
      <c r="H157" s="184">
        <f t="shared" si="58"/>
        <v>0.71739130434782605</v>
      </c>
      <c r="I157" s="115"/>
      <c r="J157" s="115"/>
      <c r="K157" s="186"/>
      <c r="L157" s="186"/>
      <c r="M157" s="186"/>
      <c r="N157" s="186"/>
      <c r="O157" s="186"/>
      <c r="P157" s="186"/>
      <c r="Q157" s="187"/>
      <c r="R157" s="177"/>
      <c r="S157" s="177"/>
      <c r="T157" s="186"/>
      <c r="U157" s="139"/>
      <c r="V157" s="154"/>
      <c r="W157" s="170"/>
      <c r="X157" s="424" t="str">
        <f t="shared" si="59"/>
        <v>Slough</v>
      </c>
      <c r="Y157" s="534">
        <f>IF(Year1_Slough Year1_LAC_under16_2.5years_sameplacement2years="","",Year1_Slough Year1_LAC_under16_2.5years_sameplacement2years)</f>
        <v>25</v>
      </c>
      <c r="Z157" s="424" t="str">
        <f>IF(Year2_Slough Year2_LAC_under16_2.5years_sameplacement2years="","",Year2_Slough Year2_LAC_under16_2.5years_sameplacement2years)</f>
        <v/>
      </c>
      <c r="AA157" s="424">
        <f>IF(Year3_Slough Year3_LAC_under16_2.5years_sameplacement2years="","",Year3_Slough Year3_LAC_under16_2.5years_sameplacement2years)</f>
        <v>30</v>
      </c>
      <c r="AB157" s="424">
        <f>IF(Year4_Slough Year4_LAC_under16_2.5years_sameplacement2years="","",Year4_Slough Year4_LAC_under16_2.5years_sameplacement2years)</f>
        <v>30</v>
      </c>
      <c r="AC157" s="424">
        <f>IF(Year5_Slough Year5_LAC_under16_2.5years_sameplacement2years="","",Year5_Slough Year5_LAC_under16_2.5years_sameplacement2years)</f>
        <v>33</v>
      </c>
      <c r="AD157" s="436"/>
      <c r="AE157" s="437"/>
      <c r="AF157" s="438"/>
      <c r="AG157" s="438"/>
      <c r="AH157" s="438"/>
      <c r="AI157" s="650"/>
      <c r="AJ157" s="179"/>
    </row>
    <row r="158" spans="1:44" s="101" customFormat="1" ht="12.75" customHeight="1" x14ac:dyDescent="0.2">
      <c r="A158" s="533">
        <f>VLOOKUP(B158,Sheet1!$B$4:$C$25,2,FALSE)</f>
        <v>0</v>
      </c>
      <c r="B158" s="112" t="str">
        <f t="shared" si="52"/>
        <v>Somerset</v>
      </c>
      <c r="C158" s="97"/>
      <c r="D158" s="182">
        <f t="shared" si="54"/>
        <v>0.60869565217391308</v>
      </c>
      <c r="E158" s="182" t="e">
        <f t="shared" si="55"/>
        <v>#N/A</v>
      </c>
      <c r="F158" s="182">
        <f t="shared" si="56"/>
        <v>0.56666666666666665</v>
      </c>
      <c r="G158" s="182">
        <f t="shared" si="57"/>
        <v>0.6</v>
      </c>
      <c r="H158" s="184">
        <f t="shared" si="58"/>
        <v>0.61963190184049077</v>
      </c>
      <c r="I158" s="115"/>
      <c r="J158" s="115"/>
      <c r="K158" s="186"/>
      <c r="L158" s="186"/>
      <c r="M158" s="186"/>
      <c r="N158" s="186"/>
      <c r="O158" s="186"/>
      <c r="P158" s="186"/>
      <c r="Q158" s="187"/>
      <c r="R158" s="177"/>
      <c r="S158" s="177"/>
      <c r="T158" s="186"/>
      <c r="U158" s="139"/>
      <c r="V158" s="154"/>
      <c r="W158" s="170"/>
      <c r="X158" s="424" t="str">
        <f t="shared" si="59"/>
        <v>Somerset</v>
      </c>
      <c r="Y158" s="534">
        <f>IF(Year1_Somerset Year1_LAC_under16_2.5years_sameplacement2years="","",Year1_Somerset Year1_LAC_under16_2.5years_sameplacement2years)</f>
        <v>70</v>
      </c>
      <c r="Z158" s="424" t="str">
        <f>IF(Year2_Somerset Year2_LAC_under16_2.5years_sameplacement2years="","",Year2_Somerset Year2_LAC_under16_2.5years_sameplacement2years)</f>
        <v/>
      </c>
      <c r="AA158" s="424">
        <f>IF(Year3_Somerset Year3_LAC_under16_2.5years_sameplacement2years="","",Year3_Somerset Year3_LAC_under16_2.5years_sameplacement2years)</f>
        <v>85</v>
      </c>
      <c r="AB158" s="424">
        <f>IF(Year4_Somerset Year4_LAC_under16_2.5years_sameplacement2years="","",Year4_Somerset Year4_LAC_under16_2.5years_sameplacement2years)</f>
        <v>90</v>
      </c>
      <c r="AC158" s="424">
        <f>IF(Year5_Somerset Year5_LAC_under16_2.5years_sameplacement2years="","",Year5_Somerset Year5_LAC_under16_2.5years_sameplacement2years)</f>
        <v>101</v>
      </c>
      <c r="AD158" s="436"/>
      <c r="AE158" s="437"/>
      <c r="AF158" s="438"/>
      <c r="AG158" s="438"/>
      <c r="AH158" s="438"/>
      <c r="AI158" s="650"/>
      <c r="AJ158" s="178"/>
    </row>
    <row r="159" spans="1:44" s="101" customFormat="1" ht="12.75" customHeight="1" x14ac:dyDescent="0.2">
      <c r="A159" s="533">
        <f>VLOOKUP(B159,Sheet1!$B$4:$C$25,2,FALSE)</f>
        <v>0</v>
      </c>
      <c r="B159" s="112" t="str">
        <f t="shared" si="52"/>
        <v>Southampton</v>
      </c>
      <c r="C159" s="97"/>
      <c r="D159" s="182">
        <f t="shared" si="54"/>
        <v>0.7</v>
      </c>
      <c r="E159" s="182" t="e">
        <f t="shared" si="55"/>
        <v>#N/A</v>
      </c>
      <c r="F159" s="182">
        <f t="shared" si="56"/>
        <v>0.69230769230769229</v>
      </c>
      <c r="G159" s="182">
        <f t="shared" si="57"/>
        <v>0.65217391304347827</v>
      </c>
      <c r="H159" s="184">
        <f t="shared" si="58"/>
        <v>0.70940170940170943</v>
      </c>
      <c r="I159" s="115"/>
      <c r="J159" s="115"/>
      <c r="K159" s="186"/>
      <c r="L159" s="186"/>
      <c r="M159" s="186"/>
      <c r="N159" s="186"/>
      <c r="O159" s="186"/>
      <c r="P159" s="186"/>
      <c r="Q159" s="187"/>
      <c r="R159" s="177"/>
      <c r="S159" s="177"/>
      <c r="T159" s="186"/>
      <c r="U159" s="139"/>
      <c r="V159" s="154"/>
      <c r="W159" s="170"/>
      <c r="X159" s="424" t="str">
        <f t="shared" si="59"/>
        <v>Southampton</v>
      </c>
      <c r="Y159" s="534">
        <f>IF(Year1_Southampton Year1_LAC_under16_2.5years_sameplacement2years="","",Year1_Southampton Year1_LAC_under16_2.5years_sameplacement2years)</f>
        <v>105</v>
      </c>
      <c r="Z159" s="424" t="str">
        <f>IF(Year2_Southampton Year2_LAC_under16_2.5years_sameplacement2years="","",Year2_Southampton Year2_LAC_under16_2.5years_sameplacement2years)</f>
        <v/>
      </c>
      <c r="AA159" s="424">
        <f>IF(Year3_Southampton Year3_LAC_under16_2.5years_sameplacement2years="","",Year3_Southampton Year3_LAC_under16_2.5years_sameplacement2years)</f>
        <v>135</v>
      </c>
      <c r="AB159" s="424">
        <f>IF(Year4_Southampton Year4_LAC_under16_2.5years_sameplacement2years="","",Year4_Southampton Year4_LAC_under16_2.5years_sameplacement2years)</f>
        <v>150</v>
      </c>
      <c r="AC159" s="424">
        <f>IF(Year5_Southampton Year5_LAC_under16_2.5years_sameplacement2years="","",Year5_Southampton Year5_LAC_under16_2.5years_sameplacement2years)</f>
        <v>166</v>
      </c>
      <c r="AD159" s="436"/>
      <c r="AE159" s="437"/>
      <c r="AF159" s="438"/>
      <c r="AG159" s="438"/>
      <c r="AH159" s="438"/>
      <c r="AI159" s="650"/>
      <c r="AJ159" s="179"/>
    </row>
    <row r="160" spans="1:44" s="101" customFormat="1" ht="12.75" customHeight="1" x14ac:dyDescent="0.2">
      <c r="A160" s="533">
        <f>VLOOKUP(B160,Sheet1!$B$4:$C$25,2,FALSE)</f>
        <v>0</v>
      </c>
      <c r="B160" s="112" t="str">
        <f t="shared" si="52"/>
        <v>Surrey</v>
      </c>
      <c r="C160" s="97"/>
      <c r="D160" s="182">
        <f t="shared" si="54"/>
        <v>0.63414634146341464</v>
      </c>
      <c r="E160" s="182" t="e">
        <f t="shared" si="55"/>
        <v>#N/A</v>
      </c>
      <c r="F160" s="182">
        <f t="shared" si="56"/>
        <v>0.7021276595744681</v>
      </c>
      <c r="G160" s="182">
        <f t="shared" si="57"/>
        <v>0.63636363636363635</v>
      </c>
      <c r="H160" s="184">
        <f t="shared" si="58"/>
        <v>0.67213114754098358</v>
      </c>
      <c r="I160" s="115"/>
      <c r="J160" s="115"/>
      <c r="K160" s="186"/>
      <c r="L160" s="186"/>
      <c r="M160" s="186"/>
      <c r="N160" s="186"/>
      <c r="O160" s="186"/>
      <c r="P160" s="186"/>
      <c r="Q160" s="187"/>
      <c r="R160" s="177"/>
      <c r="S160" s="177"/>
      <c r="T160" s="186"/>
      <c r="U160" s="139"/>
      <c r="V160" s="154"/>
      <c r="W160" s="170"/>
      <c r="X160" s="424" t="str">
        <f t="shared" si="59"/>
        <v>Surrey</v>
      </c>
      <c r="Y160" s="534">
        <f>IF(Year1_Surrey Year1_LAC_under16_2.5years_sameplacement2years="","",Year1_Surrey Year1_LAC_under16_2.5years_sameplacement2years)</f>
        <v>130</v>
      </c>
      <c r="Z160" s="424" t="str">
        <f>IF(Year2_Surrey Year2_LAC_under16_2.5years_sameplacement2years="","",Year2_Surrey Year2_LAC_under16_2.5years_sameplacement2years)</f>
        <v/>
      </c>
      <c r="AA160" s="424">
        <f>IF(Year3_Surrey Year3_LAC_under16_2.5years_sameplacement2years="","",Year3_Surrey Year3_LAC_under16_2.5years_sameplacement2years)</f>
        <v>165</v>
      </c>
      <c r="AB160" s="424">
        <f>IF(Year4_Surrey Year4_LAC_under16_2.5years_sameplacement2years="","",Year4_Surrey Year4_LAC_under16_2.5years_sameplacement2years)</f>
        <v>140</v>
      </c>
      <c r="AC160" s="424">
        <f>IF(Year5_Surrey Year5_LAC_under16_2.5years_sameplacement2years="","",Year5_Surrey Year5_LAC_under16_2.5years_sameplacement2years)</f>
        <v>164</v>
      </c>
      <c r="AD160" s="436"/>
      <c r="AE160" s="437"/>
      <c r="AF160" s="438"/>
      <c r="AG160" s="438"/>
      <c r="AH160" s="438"/>
      <c r="AI160" s="650"/>
      <c r="AJ160" s="178"/>
    </row>
    <row r="161" spans="1:45" s="101" customFormat="1" ht="12.75" customHeight="1" x14ac:dyDescent="0.2">
      <c r="A161" s="533">
        <f>VLOOKUP(B161,Sheet1!$B$4:$C$25,2,FALSE)</f>
        <v>0</v>
      </c>
      <c r="B161" s="112" t="str">
        <f t="shared" si="52"/>
        <v>Swindon</v>
      </c>
      <c r="C161" s="97"/>
      <c r="D161" s="182">
        <f t="shared" si="54"/>
        <v>0.7142857142857143</v>
      </c>
      <c r="E161" s="182" t="e">
        <f t="shared" si="55"/>
        <v>#N/A</v>
      </c>
      <c r="F161" s="182">
        <f t="shared" si="56"/>
        <v>0.61538461538461542</v>
      </c>
      <c r="G161" s="182">
        <f t="shared" si="57"/>
        <v>0.75</v>
      </c>
      <c r="H161" s="184">
        <f t="shared" si="58"/>
        <v>0.61194029850746268</v>
      </c>
      <c r="I161" s="115"/>
      <c r="J161" s="115"/>
      <c r="K161" s="186"/>
      <c r="L161" s="186"/>
      <c r="M161" s="186"/>
      <c r="N161" s="186"/>
      <c r="O161" s="186"/>
      <c r="P161" s="186"/>
      <c r="Q161" s="187"/>
      <c r="R161" s="177"/>
      <c r="S161" s="177"/>
      <c r="T161" s="186"/>
      <c r="U161" s="139"/>
      <c r="V161" s="154"/>
      <c r="W161" s="170"/>
      <c r="X161" s="424" t="str">
        <f t="shared" si="59"/>
        <v>Swindon</v>
      </c>
      <c r="Y161" s="534">
        <f>IF(Year1_Swindon Year1_LAC_under16_2.5years_sameplacement2years="","",Year1_Swindon Year1_LAC_under16_2.5years_sameplacement2years)</f>
        <v>50</v>
      </c>
      <c r="Z161" s="424" t="str">
        <f>IF(Year2_Swindon Year2_LAC_under16_2.5years_sameplacement2years="","",Year2_Swindon Year2_LAC_under16_2.5years_sameplacement2years)</f>
        <v/>
      </c>
      <c r="AA161" s="424">
        <f>IF(Year3_Swindon Year3_LAC_under16_2.5years_sameplacement2years="","",Year3_Swindon Year3_LAC_under16_2.5years_sameplacement2years)</f>
        <v>40</v>
      </c>
      <c r="AB161" s="424">
        <f>IF(Year4_Swindon Year4_LAC_under16_2.5years_sameplacement2years="","",Year4_Swindon Year4_LAC_under16_2.5years_sameplacement2years)</f>
        <v>45</v>
      </c>
      <c r="AC161" s="424">
        <f>IF(Year5_Swindon Year5_LAC_under16_2.5years_sameplacement2years="","",Year5_Swindon Year5_LAC_under16_2.5years_sameplacement2years)</f>
        <v>41</v>
      </c>
      <c r="AD161" s="436"/>
      <c r="AE161" s="437"/>
      <c r="AF161" s="438"/>
      <c r="AG161" s="438"/>
      <c r="AH161" s="438"/>
      <c r="AI161" s="650"/>
      <c r="AJ161" s="179"/>
    </row>
    <row r="162" spans="1:45" s="101" customFormat="1" ht="12.75" customHeight="1" x14ac:dyDescent="0.2">
      <c r="A162" s="533">
        <f>VLOOKUP(B162,Sheet1!$B$4:$C$25,2,FALSE)</f>
        <v>0</v>
      </c>
      <c r="B162" s="112" t="str">
        <f t="shared" si="52"/>
        <v>Torbay</v>
      </c>
      <c r="C162" s="97"/>
      <c r="D162" s="182">
        <f t="shared" si="54"/>
        <v>0.625</v>
      </c>
      <c r="E162" s="182" t="e">
        <f t="shared" si="55"/>
        <v>#N/A</v>
      </c>
      <c r="F162" s="182">
        <f t="shared" si="56"/>
        <v>0.45833333333333331</v>
      </c>
      <c r="G162" s="182">
        <f t="shared" si="57"/>
        <v>0.56000000000000005</v>
      </c>
      <c r="H162" s="184">
        <f t="shared" si="58"/>
        <v>0.56818181818181823</v>
      </c>
      <c r="I162" s="115"/>
      <c r="J162" s="115"/>
      <c r="K162" s="186"/>
      <c r="L162" s="186"/>
      <c r="M162" s="186"/>
      <c r="N162" s="186"/>
      <c r="O162" s="186"/>
      <c r="P162" s="186"/>
      <c r="Q162" s="187"/>
      <c r="R162" s="177"/>
      <c r="S162" s="177"/>
      <c r="T162" s="186"/>
      <c r="U162" s="139"/>
      <c r="V162" s="154"/>
      <c r="W162" s="170"/>
      <c r="X162" s="424" t="str">
        <f t="shared" si="59"/>
        <v>Torbay</v>
      </c>
      <c r="Y162" s="534">
        <f>IF(Year1_Torbay Year1_LAC_under16_2.5years_sameplacement2years="","",Year1_Torbay Year1_LAC_under16_2.5years_sameplacement2years)</f>
        <v>50</v>
      </c>
      <c r="Z162" s="424" t="str">
        <f>IF(Year2_Torbay Year2_LAC_under16_2.5years_sameplacement2years="","",Year2_Torbay Year2_LAC_under16_2.5years_sameplacement2years)</f>
        <v/>
      </c>
      <c r="AA162" s="424">
        <f>IF(Year3_Torbay Year3_LAC_under16_2.5years_sameplacement2years="","",Year3_Torbay Year3_LAC_under16_2.5years_sameplacement2years)</f>
        <v>55</v>
      </c>
      <c r="AB162" s="424">
        <f>IF(Year4_Torbay Year4_LAC_under16_2.5years_sameplacement2years="","",Year4_Torbay Year4_LAC_under16_2.5years_sameplacement2years)</f>
        <v>70</v>
      </c>
      <c r="AC162" s="424">
        <f>IF(Year5_Torbay Year5_LAC_under16_2.5years_sameplacement2years="","",Year5_Torbay Year5_LAC_under16_2.5years_sameplacement2years)</f>
        <v>75</v>
      </c>
      <c r="AD162" s="436"/>
      <c r="AE162" s="437"/>
      <c r="AF162" s="438"/>
      <c r="AG162" s="438"/>
      <c r="AH162" s="438"/>
      <c r="AI162" s="650"/>
      <c r="AJ162" s="178"/>
    </row>
    <row r="163" spans="1:45" s="101" customFormat="1" ht="12.75" customHeight="1" x14ac:dyDescent="0.2">
      <c r="A163" s="533">
        <f>VLOOKUP(B163,Sheet1!$B$4:$C$25,2,FALSE)</f>
        <v>0</v>
      </c>
      <c r="B163" s="112" t="str">
        <f t="shared" si="52"/>
        <v>West Berkshire</v>
      </c>
      <c r="C163" s="97"/>
      <c r="D163" s="182">
        <f t="shared" si="54"/>
        <v>0.7</v>
      </c>
      <c r="E163" s="182" t="e">
        <f t="shared" si="55"/>
        <v>#N/A</v>
      </c>
      <c r="F163" s="182">
        <f t="shared" si="56"/>
        <v>0.77777777777777779</v>
      </c>
      <c r="G163" s="182">
        <f t="shared" si="57"/>
        <v>0.63636363636363635</v>
      </c>
      <c r="H163" s="184">
        <f t="shared" si="58"/>
        <v>0.63636363636363635</v>
      </c>
      <c r="I163" s="115"/>
      <c r="J163" s="115"/>
      <c r="K163" s="186"/>
      <c r="L163" s="186"/>
      <c r="M163" s="186"/>
      <c r="N163" s="186"/>
      <c r="O163" s="186"/>
      <c r="P163" s="186"/>
      <c r="Q163" s="187"/>
      <c r="R163" s="177"/>
      <c r="S163" s="177"/>
      <c r="T163" s="186"/>
      <c r="U163" s="139"/>
      <c r="V163" s="154"/>
      <c r="W163" s="170"/>
      <c r="X163" s="424" t="str">
        <f t="shared" si="59"/>
        <v>West Berkshire</v>
      </c>
      <c r="Y163" s="534">
        <f>IF(Year1_West_Berkshire Year1_LAC_under16_2.5years_sameplacement2years="","",Year1_West_Berkshire Year1_LAC_under16_2.5years_sameplacement2years)</f>
        <v>35</v>
      </c>
      <c r="Z163" s="424" t="str">
        <f>IF(Year2_West_Berkshire Year2_LAC_under16_2.5years_sameplacement2years="","",Year2_West_Berkshire Year2_LAC_under16_2.5years_sameplacement2years)</f>
        <v/>
      </c>
      <c r="AA163" s="424">
        <f>IF(Year3_West_Berkshire Year3_LAC_under16_2.5years_sameplacement2years="","",Year3_West_Berkshire Year3_LAC_under16_2.5years_sameplacement2years)</f>
        <v>35</v>
      </c>
      <c r="AB163" s="424">
        <f>IF(Year4_West_Berkshire Year4_LAC_under16_2.5years_sameplacement2years="","",Year4_West_Berkshire Year4_LAC_under16_2.5years_sameplacement2years)</f>
        <v>35</v>
      </c>
      <c r="AC163" s="637">
        <f>IF(Year5_West_Berkshire Year5_LAC_under16_2.5years_sameplacement2years="","",Year5_West_Berkshire Year5_LAC_under16_2.5years_sameplacement2years)</f>
        <v>35</v>
      </c>
      <c r="AD163" s="436"/>
      <c r="AE163" s="437"/>
      <c r="AF163" s="438"/>
      <c r="AG163" s="438"/>
      <c r="AH163" s="438"/>
      <c r="AI163" s="650"/>
      <c r="AJ163" s="179"/>
    </row>
    <row r="164" spans="1:45" s="101" customFormat="1" ht="12.75" customHeight="1" x14ac:dyDescent="0.2">
      <c r="A164" s="533">
        <f>VLOOKUP(B164,Sheet1!$B$4:$C$25,2,FALSE)</f>
        <v>0</v>
      </c>
      <c r="B164" s="112" t="str">
        <f t="shared" si="52"/>
        <v>West Sussex</v>
      </c>
      <c r="C164" s="97"/>
      <c r="D164" s="182">
        <f t="shared" si="54"/>
        <v>0.67500000000000004</v>
      </c>
      <c r="E164" s="182" t="e">
        <f t="shared" si="55"/>
        <v>#N/A</v>
      </c>
      <c r="F164" s="182">
        <f t="shared" si="56"/>
        <v>0.73529411764705888</v>
      </c>
      <c r="G164" s="182">
        <f t="shared" si="57"/>
        <v>0.76666666666666672</v>
      </c>
      <c r="H164" s="184">
        <f t="shared" si="58"/>
        <v>0.69871794871794868</v>
      </c>
      <c r="I164" s="115"/>
      <c r="J164" s="115"/>
      <c r="K164" s="186"/>
      <c r="L164" s="186"/>
      <c r="M164" s="186"/>
      <c r="N164" s="186"/>
      <c r="O164" s="186"/>
      <c r="P164" s="186"/>
      <c r="Q164" s="187"/>
      <c r="R164" s="177"/>
      <c r="S164" s="177"/>
      <c r="T164" s="186"/>
      <c r="U164" s="139"/>
      <c r="V164" s="154"/>
      <c r="W164" s="170"/>
      <c r="X164" s="424" t="str">
        <f t="shared" si="59"/>
        <v>West Sussex</v>
      </c>
      <c r="Y164" s="534">
        <f>IF(Year1_West_Sussex Year1_LAC_under16_2.5years_sameplacement2years="","",Year1_West_Sussex Year1_LAC_under16_2.5years_sameplacement2years)</f>
        <v>135</v>
      </c>
      <c r="Z164" s="424" t="str">
        <f>IF(Year2_West_Sussex Year2_LAC_under16_2.5years_sameplacement2years="","",Year2_West_Sussex Year2_LAC_under16_2.5years_sameplacement2years)</f>
        <v/>
      </c>
      <c r="AA164" s="424">
        <f>IF(Year3_West_Sussex Year3_LAC_under16_2.5years_sameplacement2years="","",Year3_West_Sussex Year3_LAC_under16_2.5years_sameplacement2years)</f>
        <v>125</v>
      </c>
      <c r="AB164" s="424">
        <f>IF(Year4_West_Sussex Year4_LAC_under16_2.5years_sameplacement2years="","",Year4_West_Sussex Year4_LAC_under16_2.5years_sameplacement2years)</f>
        <v>115</v>
      </c>
      <c r="AC164" s="637">
        <f>IF(Year5_West_Sussex Year5_LAC_under16_2.5years_sameplacement2years="","",Year5_West_Sussex Year5_LAC_under16_2.5years_sameplacement2years)</f>
        <v>109</v>
      </c>
      <c r="AD164" s="436"/>
      <c r="AE164" s="437"/>
      <c r="AF164" s="438"/>
      <c r="AG164" s="438"/>
      <c r="AH164" s="438"/>
      <c r="AI164" s="650"/>
      <c r="AJ164" s="178"/>
    </row>
    <row r="165" spans="1:45" s="101" customFormat="1" ht="12.75" customHeight="1" x14ac:dyDescent="0.2">
      <c r="A165" s="533">
        <f>VLOOKUP(B165,Sheet1!$B$4:$C$25,2,FALSE)</f>
        <v>0</v>
      </c>
      <c r="B165" s="112" t="str">
        <f t="shared" si="52"/>
        <v>Windsor &amp; Maidenhead</v>
      </c>
      <c r="C165" s="97"/>
      <c r="D165" s="182">
        <f t="shared" si="54"/>
        <v>0.33333333333333331</v>
      </c>
      <c r="E165" s="182" t="e">
        <f t="shared" si="55"/>
        <v>#N/A</v>
      </c>
      <c r="F165" s="182">
        <f t="shared" si="56"/>
        <v>0.7142857142857143</v>
      </c>
      <c r="G165" s="182">
        <f t="shared" si="57"/>
        <v>0.7142857142857143</v>
      </c>
      <c r="H165" s="184">
        <f t="shared" si="58"/>
        <v>0.70967741935483875</v>
      </c>
      <c r="I165" s="115"/>
      <c r="J165" s="115"/>
      <c r="K165" s="186"/>
      <c r="L165" s="186"/>
      <c r="M165" s="186"/>
      <c r="N165" s="186"/>
      <c r="O165" s="186"/>
      <c r="P165" s="186"/>
      <c r="Q165" s="187"/>
      <c r="R165" s="177"/>
      <c r="S165" s="177"/>
      <c r="T165" s="186"/>
      <c r="U165" s="139"/>
      <c r="V165" s="154"/>
      <c r="W165" s="170"/>
      <c r="X165" s="424" t="str">
        <f t="shared" si="59"/>
        <v>Windsor &amp; Maidenhead</v>
      </c>
      <c r="Y165" s="534">
        <f>IF(Year1_Windsor_Maidenhead Year1_LAC_under16_2.5years_sameplacement2years="","",Year1_Windsor_Maidenhead Year1_LAC_under16_2.5years_sameplacement2years)</f>
        <v>10</v>
      </c>
      <c r="Z165" s="424" t="str">
        <f>IF(Year2_Windsor_Maidenhead Year2_LAC_under16_2.5years_sameplacement2years="","",Year2_Windsor_Maidenhead Year2_LAC_under16_2.5years_sameplacement2years)</f>
        <v/>
      </c>
      <c r="AA165" s="424">
        <f>IF(Year3_Windsor_Maidenhead Year3_LAC_under16_2.5years_sameplacement2years="","",Year3_Windsor_Maidenhead Year3_LAC_under16_2.5years_sameplacement2years)</f>
        <v>25</v>
      </c>
      <c r="AB165" s="424">
        <f>IF(Year4_Windsor_Maidenhead Year4_LAC_under16_2.5years_sameplacement2years="","",Year4_Windsor_Maidenhead Year4_LAC_under16_2.5years_sameplacement2years)</f>
        <v>25</v>
      </c>
      <c r="AC165" s="637">
        <f>IF(Year5_Windsor_Maidenhead Year5_LAC_under16_2.5years_sameplacement2years="","",Year5_Windsor_Maidenhead Year5_LAC_under16_2.5years_sameplacement2years)</f>
        <v>22</v>
      </c>
      <c r="AD165" s="436"/>
      <c r="AE165" s="437"/>
      <c r="AF165" s="438"/>
      <c r="AG165" s="438"/>
      <c r="AH165" s="438"/>
      <c r="AI165" s="650"/>
      <c r="AJ165" s="179"/>
    </row>
    <row r="166" spans="1:45" s="101" customFormat="1" ht="12.75" customHeight="1" x14ac:dyDescent="0.2">
      <c r="A166" s="533">
        <f>VLOOKUP(B166,Sheet1!$B$4:$C$25,2,FALSE)</f>
        <v>0</v>
      </c>
      <c r="B166" s="112" t="str">
        <f t="shared" si="52"/>
        <v>Wokingham</v>
      </c>
      <c r="C166" s="97"/>
      <c r="D166" s="182">
        <f t="shared" si="54"/>
        <v>0.4</v>
      </c>
      <c r="E166" s="182" t="e">
        <f t="shared" si="55"/>
        <v>#N/A</v>
      </c>
      <c r="F166" s="182">
        <f t="shared" si="56"/>
        <v>0.5</v>
      </c>
      <c r="G166" s="182">
        <f t="shared" si="57"/>
        <v>0.5</v>
      </c>
      <c r="H166" s="184">
        <f t="shared" si="58"/>
        <v>0.75</v>
      </c>
      <c r="I166" s="115"/>
      <c r="J166" s="115"/>
      <c r="K166" s="186"/>
      <c r="L166" s="186"/>
      <c r="M166" s="186"/>
      <c r="N166" s="186"/>
      <c r="O166" s="186"/>
      <c r="P166" s="186"/>
      <c r="Q166" s="187"/>
      <c r="R166" s="177"/>
      <c r="S166" s="177"/>
      <c r="T166" s="186"/>
      <c r="U166" s="139"/>
      <c r="V166" s="154"/>
      <c r="W166" s="170"/>
      <c r="X166" s="424" t="str">
        <f t="shared" si="59"/>
        <v>Wokingham</v>
      </c>
      <c r="Y166" s="534">
        <f>IF(Year1_Wokingham Year1_LAC_under16_2.5years_sameplacement2years="","",Year1_Wokingham Year1_LAC_under16_2.5years_sameplacement2years)</f>
        <v>10</v>
      </c>
      <c r="Z166" s="424" t="str">
        <f>IF(Year2_Wokingham Year2_LAC_under16_2.5years_sameplacement2years="","",Year2_Wokingham Year2_LAC_under16_2.5years_sameplacement2years)</f>
        <v/>
      </c>
      <c r="AA166" s="424">
        <f>IF(Year3_Wokingham Year3_LAC_under16_2.5years_sameplacement2years="","",Year3_Wokingham Year3_LAC_under16_2.5years_sameplacement2years)</f>
        <v>10</v>
      </c>
      <c r="AB166" s="424">
        <f>IF(Year4_Wokingham Year4_LAC_under16_2.5years_sameplacement2years="","",Year4_Wokingham Year4_LAC_under16_2.5years_sameplacement2years)</f>
        <v>10</v>
      </c>
      <c r="AC166" s="637">
        <f>IF(Year5_Wokingham Year5_LAC_under16_2.5years_sameplacement2years="","",Year5_Wokingham Year5_LAC_under16_2.5years_sameplacement2years)</f>
        <v>15</v>
      </c>
      <c r="AD166" s="436"/>
      <c r="AE166" s="437"/>
      <c r="AF166" s="438"/>
      <c r="AG166" s="438"/>
      <c r="AH166" s="438"/>
      <c r="AI166" s="650"/>
      <c r="AJ166" s="178"/>
    </row>
    <row r="167" spans="1:45" s="101" customFormat="1" ht="12.75" customHeight="1" x14ac:dyDescent="0.2">
      <c r="A167" s="138"/>
      <c r="B167" s="146" t="str">
        <f t="shared" si="52"/>
        <v>South East</v>
      </c>
      <c r="C167" s="97"/>
      <c r="D167" s="183">
        <f t="shared" si="54"/>
        <v>0.63351749539594848</v>
      </c>
      <c r="E167" s="183" t="e">
        <f t="shared" si="55"/>
        <v>#N/A</v>
      </c>
      <c r="F167" s="183">
        <f t="shared" si="56"/>
        <v>0.66608996539792387</v>
      </c>
      <c r="G167" s="183">
        <f t="shared" si="57"/>
        <v>0.68305084745762712</v>
      </c>
      <c r="H167" s="185">
        <f t="shared" si="58"/>
        <v>0.68181818181818177</v>
      </c>
      <c r="I167" s="115"/>
      <c r="J167" s="115"/>
      <c r="K167" s="188"/>
      <c r="L167" s="188"/>
      <c r="M167" s="188"/>
      <c r="N167" s="188"/>
      <c r="O167" s="188"/>
      <c r="P167" s="188"/>
      <c r="Q167" s="189"/>
      <c r="R167" s="177"/>
      <c r="S167" s="177"/>
      <c r="T167" s="190"/>
      <c r="U167" s="139"/>
      <c r="V167" s="154"/>
      <c r="W167" s="170"/>
      <c r="X167" s="424" t="str">
        <f t="shared" si="59"/>
        <v>South East</v>
      </c>
      <c r="Y167" s="424">
        <f>IF(Year1_SouthEast Year1_LAC_under16_2.5years_sameplacement2years="","",Year1_SouthEast Year1_LAC_under16_2.5years_sameplacement2years)</f>
        <v>1720</v>
      </c>
      <c r="Z167" s="424" t="str">
        <f>IF(Year2_SouthEast Year2_LAC_under16_2.5years_sameplacement2years="","",Year2_SouthEast Year2_LAC_under16_2.5years_sameplacement2years)</f>
        <v/>
      </c>
      <c r="AA167" s="424">
        <f>IF(Year3_SouthEast Year3_LAC_under16_2.5years_sameplacement2years="","",Year3_SouthEast Year3_LAC_under16_2.5years_sameplacement2years)</f>
        <v>1925</v>
      </c>
      <c r="AB167" s="424">
        <f>IF(Year4_SouthEast Year4_LAC_under16_2.5years_sameplacement2years="","",Year4_SouthEast Year4_LAC_under16_2.5years_sameplacement2years)</f>
        <v>2015</v>
      </c>
      <c r="AC167" s="424">
        <f>IF(Year5_SouthEast Year5_LAC_under16_2.5years_sameplacement2years="","",Year5_SouthEast Year5_LAC_under16_2.5years_sameplacement2years)</f>
        <v>2100</v>
      </c>
      <c r="AD167" s="436"/>
      <c r="AE167" s="437"/>
      <c r="AF167" s="438"/>
      <c r="AG167" s="438"/>
      <c r="AH167" s="438"/>
      <c r="AI167" s="650"/>
      <c r="AJ167" s="179"/>
    </row>
    <row r="168" spans="1:45" s="101" customFormat="1" ht="12.75" customHeight="1" x14ac:dyDescent="0.2">
      <c r="A168" s="138"/>
      <c r="B168" s="370" t="str">
        <f t="shared" si="52"/>
        <v>England</v>
      </c>
      <c r="C168" s="97"/>
      <c r="D168" s="401">
        <f t="shared" si="54"/>
        <v>0.66547085201793721</v>
      </c>
      <c r="E168" s="401" t="e">
        <f t="shared" si="55"/>
        <v>#N/A</v>
      </c>
      <c r="F168" s="401">
        <f t="shared" si="56"/>
        <v>0.68485617597292725</v>
      </c>
      <c r="G168" s="401">
        <f t="shared" si="57"/>
        <v>0.70191507077435467</v>
      </c>
      <c r="H168" s="402">
        <f t="shared" si="58"/>
        <v>0.69813614262560775</v>
      </c>
      <c r="I168" s="115"/>
      <c r="J168" s="115"/>
      <c r="K168" s="188"/>
      <c r="L168" s="188"/>
      <c r="M168" s="188"/>
      <c r="N168" s="188"/>
      <c r="O168" s="188"/>
      <c r="P168" s="188"/>
      <c r="Q168" s="189"/>
      <c r="R168" s="177"/>
      <c r="S168" s="177"/>
      <c r="T168" s="190"/>
      <c r="U168" s="139"/>
      <c r="V168" s="154"/>
      <c r="W168" s="170"/>
      <c r="X168" s="424" t="str">
        <f t="shared" si="59"/>
        <v>England</v>
      </c>
      <c r="Y168" s="662">
        <f>IF(Year1_England Year1_LAC_under16_2.5years_sameplacement2years="","",Year1_England Year1_LAC_under16_2.5years_sameplacement2years)</f>
        <v>14840</v>
      </c>
      <c r="Z168" s="662" t="str">
        <f>IF(Year2_England Year2_LAC_under16_2.5years_sameplacement2years="","",Year2_England Year2_LAC_under16_2.5years_sameplacement2years)</f>
        <v/>
      </c>
      <c r="AA168" s="424">
        <f>IF(Year3_England Year3_LAC_under16_2.5years_sameplacement2years="","",Year3_England Year3_LAC_under16_2.5years_sameplacement2years)</f>
        <v>16190</v>
      </c>
      <c r="AB168" s="424">
        <f>IF(Year4_England Year4_LAC_under16_2.5years_sameplacement2years="","",Year4_England Year4_LAC_under16_2.5years_sameplacement2years)</f>
        <v>16860</v>
      </c>
      <c r="AC168" s="637">
        <f>IF(Year5_England Year5_LAC_under16_2.5years_sameplacement2years="","",Year5_England Year5_LAC_under16_2.5years_sameplacement2years)</f>
        <v>17230</v>
      </c>
      <c r="AD168" s="436"/>
      <c r="AE168" s="437"/>
      <c r="AF168" s="438"/>
      <c r="AG168" s="438"/>
      <c r="AH168" s="438"/>
      <c r="AI168" s="650"/>
      <c r="AJ168" s="178"/>
    </row>
    <row r="169" spans="1:45" s="101" customFormat="1" ht="7.5" customHeight="1" x14ac:dyDescent="0.2">
      <c r="A169" s="324"/>
      <c r="B169" s="115"/>
      <c r="C169" s="115"/>
      <c r="D169" s="115"/>
      <c r="E169" s="115"/>
      <c r="F169" s="115"/>
      <c r="G169" s="115"/>
      <c r="H169" s="115"/>
      <c r="I169" s="115"/>
      <c r="J169" s="115"/>
      <c r="K169" s="188"/>
      <c r="L169" s="188"/>
      <c r="M169" s="188"/>
      <c r="N169" s="188"/>
      <c r="O169" s="188"/>
      <c r="P169" s="188"/>
      <c r="Q169" s="189"/>
      <c r="R169" s="177"/>
      <c r="S169" s="177"/>
      <c r="T169" s="190"/>
      <c r="U169" s="139"/>
      <c r="V169" s="154"/>
      <c r="W169" s="170"/>
      <c r="X169" s="88"/>
      <c r="Y169" s="88"/>
      <c r="Z169" s="223"/>
      <c r="AA169" s="223"/>
      <c r="AB169" s="224"/>
      <c r="AC169" s="224"/>
      <c r="AD169" s="226"/>
      <c r="AE169" s="232"/>
      <c r="AF169" s="232"/>
      <c r="AG169" s="232"/>
      <c r="AH169" s="217"/>
      <c r="AI169" s="232"/>
      <c r="AJ169" s="178"/>
    </row>
    <row r="170" spans="1:45" s="88" customFormat="1" ht="38.25" customHeight="1" x14ac:dyDescent="0.2">
      <c r="A170" s="249"/>
      <c r="B170" s="435"/>
      <c r="C170" s="435"/>
      <c r="D170" s="435"/>
      <c r="E170" s="435"/>
      <c r="F170" s="435"/>
      <c r="G170" s="435"/>
      <c r="H170" s="435"/>
      <c r="I170" s="435"/>
      <c r="J170" s="192"/>
      <c r="K170" s="192"/>
      <c r="L170" s="192"/>
      <c r="M170" s="192"/>
      <c r="N170" s="192"/>
      <c r="O170" s="192"/>
      <c r="P170" s="192"/>
      <c r="Q170" s="151"/>
      <c r="R170" s="192"/>
      <c r="S170" s="192"/>
      <c r="T170" s="192"/>
      <c r="U170" s="134"/>
      <c r="V170" s="152"/>
      <c r="W170" s="168"/>
      <c r="AC170" s="224"/>
      <c r="AD170" s="226"/>
      <c r="AE170" s="210"/>
      <c r="AF170" s="210"/>
      <c r="AG170" s="210"/>
      <c r="AI170" s="210"/>
      <c r="AJ170" s="179"/>
    </row>
    <row r="171" spans="1:45" s="88" customFormat="1" ht="39" customHeight="1" x14ac:dyDescent="0.2">
      <c r="A171" s="249"/>
      <c r="B171" s="435"/>
      <c r="C171" s="435"/>
      <c r="D171" s="435"/>
      <c r="E171" s="435"/>
      <c r="F171" s="435"/>
      <c r="G171" s="435"/>
      <c r="H171" s="435"/>
      <c r="I171" s="435"/>
      <c r="J171" s="192"/>
      <c r="K171" s="192"/>
      <c r="L171" s="192"/>
      <c r="M171" s="192"/>
      <c r="N171" s="192"/>
      <c r="O171" s="192"/>
      <c r="P171" s="192"/>
      <c r="Q171" s="151"/>
      <c r="R171" s="192"/>
      <c r="S171" s="192"/>
      <c r="T171" s="192"/>
      <c r="U171" s="134"/>
      <c r="V171" s="152"/>
      <c r="W171" s="168"/>
      <c r="Y171" s="217"/>
      <c r="AD171" s="226"/>
      <c r="AE171" s="210"/>
      <c r="AF171" s="210"/>
      <c r="AG171" s="210"/>
      <c r="AI171" s="210"/>
      <c r="AJ171" s="179"/>
    </row>
    <row r="172" spans="1:45" s="88" customFormat="1" ht="38.25" customHeight="1" x14ac:dyDescent="0.2">
      <c r="A172" s="249"/>
      <c r="B172" s="435"/>
      <c r="C172" s="435"/>
      <c r="D172" s="435"/>
      <c r="E172" s="435"/>
      <c r="F172" s="435"/>
      <c r="G172" s="435"/>
      <c r="H172" s="435"/>
      <c r="I172" s="435"/>
      <c r="J172" s="192"/>
      <c r="K172" s="192"/>
      <c r="L172" s="192"/>
      <c r="M172" s="192"/>
      <c r="N172" s="192"/>
      <c r="O172" s="192"/>
      <c r="P172" s="192"/>
      <c r="Q172" s="151"/>
      <c r="R172" s="192"/>
      <c r="S172" s="192"/>
      <c r="T172" s="192"/>
      <c r="U172" s="134"/>
      <c r="V172" s="152"/>
      <c r="W172" s="168"/>
      <c r="Y172" s="217"/>
      <c r="AD172" s="226"/>
      <c r="AE172" s="210"/>
      <c r="AF172" s="210"/>
      <c r="AG172" s="210"/>
      <c r="AI172" s="210"/>
      <c r="AJ172" s="179"/>
    </row>
    <row r="173" spans="1:45" s="88" customFormat="1" ht="7.5" customHeight="1" x14ac:dyDescent="0.2">
      <c r="A173" s="135"/>
      <c r="B173" s="18"/>
      <c r="C173" s="18"/>
      <c r="D173" s="17"/>
      <c r="E173" s="17"/>
      <c r="F173" s="17"/>
      <c r="G173" s="17"/>
      <c r="H173" s="17"/>
      <c r="I173" s="17"/>
      <c r="J173" s="13"/>
      <c r="K173" s="19"/>
      <c r="L173" s="19"/>
      <c r="M173" s="19"/>
      <c r="N173" s="19"/>
      <c r="O173" s="19"/>
      <c r="P173" s="19"/>
      <c r="Q173" s="19"/>
      <c r="R173" s="19"/>
      <c r="S173" s="19"/>
      <c r="T173" s="20"/>
      <c r="U173" s="134"/>
      <c r="V173" s="152"/>
      <c r="W173" s="168"/>
      <c r="Y173" s="217"/>
      <c r="AI173" s="210"/>
      <c r="AJ173" s="175"/>
      <c r="AK173" s="80"/>
      <c r="AL173" s="80"/>
      <c r="AM173" s="80"/>
      <c r="AN173" s="80"/>
      <c r="AO173" s="80"/>
      <c r="AP173" s="80"/>
      <c r="AQ173" s="80"/>
    </row>
    <row r="174" spans="1:45" s="88" customFormat="1" ht="15" customHeight="1" x14ac:dyDescent="0.2">
      <c r="A174" s="1010"/>
      <c r="B174" s="1018"/>
      <c r="C174" s="1018"/>
      <c r="D174" s="1018"/>
      <c r="E174" s="1018"/>
      <c r="F174" s="1018"/>
      <c r="G174" s="1018"/>
      <c r="H174" s="1018"/>
      <c r="I174" s="1018"/>
      <c r="J174" s="1018"/>
      <c r="K174" s="1018"/>
      <c r="L174" s="1018"/>
      <c r="M174" s="1018"/>
      <c r="N174" s="1018"/>
      <c r="O174" s="1018"/>
      <c r="P174" s="1018"/>
      <c r="Q174" s="1018"/>
      <c r="R174" s="1018"/>
      <c r="S174" s="1018"/>
      <c r="T174" s="1018"/>
      <c r="U174" s="1019"/>
      <c r="V174" s="152"/>
      <c r="W174" s="168"/>
      <c r="AJ174" s="179"/>
      <c r="AS174" s="80"/>
    </row>
    <row r="175" spans="1:45" s="88" customFormat="1" ht="11.25" customHeight="1" x14ac:dyDescent="0.2">
      <c r="A175" s="1020" t="str">
        <f>Home!$A$35</f>
        <v>LA's provide quarterly data on the condition that it is used by the benchmarking group for internal reporting only. Please DO NOT share other LA's data with any external partners or the public</v>
      </c>
      <c r="B175" s="1021"/>
      <c r="C175" s="1021"/>
      <c r="D175" s="1021"/>
      <c r="E175" s="1021"/>
      <c r="F175" s="1021"/>
      <c r="G175" s="1021"/>
      <c r="H175" s="1021"/>
      <c r="I175" s="1022"/>
      <c r="J175" s="1021"/>
      <c r="K175" s="1021"/>
      <c r="L175" s="1021"/>
      <c r="M175" s="1021"/>
      <c r="N175" s="1021"/>
      <c r="O175" s="1021"/>
      <c r="P175" s="1021"/>
      <c r="Q175" s="1021"/>
      <c r="R175" s="1021"/>
      <c r="S175" s="1022"/>
      <c r="T175" s="1021"/>
      <c r="U175" s="1023"/>
      <c r="V175" s="152"/>
      <c r="W175" s="168"/>
      <c r="AI175" s="210"/>
      <c r="AJ175" s="178"/>
      <c r="AK175" s="101"/>
      <c r="AS175" s="80"/>
    </row>
    <row r="176" spans="1:45" ht="11.25" customHeight="1" x14ac:dyDescent="0.2">
      <c r="A176" s="129"/>
      <c r="B176" s="130"/>
      <c r="C176" s="130"/>
      <c r="D176" s="130"/>
      <c r="E176" s="130"/>
      <c r="F176" s="130"/>
      <c r="G176" s="130"/>
      <c r="H176" s="130"/>
      <c r="I176" s="130"/>
      <c r="J176" s="131"/>
      <c r="K176" s="130"/>
      <c r="L176" s="130"/>
      <c r="M176" s="130"/>
      <c r="N176" s="130"/>
      <c r="O176" s="130"/>
      <c r="P176" s="130"/>
      <c r="Q176" s="130"/>
      <c r="R176" s="130"/>
      <c r="S176" s="130"/>
      <c r="T176" s="130"/>
      <c r="U176" s="132"/>
      <c r="V176" s="152"/>
      <c r="W176" s="168"/>
      <c r="X176" s="225"/>
      <c r="Y176" s="223"/>
      <c r="Z176" s="215"/>
      <c r="AI176" s="210"/>
      <c r="AJ176" s="178"/>
    </row>
    <row r="177" spans="1:44" s="82" customFormat="1" ht="15" customHeight="1" x14ac:dyDescent="0.2">
      <c r="A177" s="136"/>
      <c r="B177" s="1090" t="s">
        <v>170</v>
      </c>
      <c r="C177" s="1090"/>
      <c r="D177" s="1090"/>
      <c r="E177" s="1090"/>
      <c r="F177" s="1090"/>
      <c r="G177" s="1090"/>
      <c r="H177" s="1090"/>
      <c r="I177" s="1090"/>
      <c r="J177" s="70"/>
      <c r="K177" s="70"/>
      <c r="L177" s="70"/>
      <c r="M177" s="70"/>
      <c r="N177" s="425"/>
      <c r="O177" s="70"/>
      <c r="P177" s="70"/>
      <c r="Q177" s="70"/>
      <c r="R177" s="70"/>
      <c r="S177" s="70"/>
      <c r="T177" s="70"/>
      <c r="U177" s="137"/>
      <c r="V177" s="153"/>
      <c r="W177" s="169"/>
      <c r="X177" s="436" t="s">
        <v>171</v>
      </c>
      <c r="Y177" s="437"/>
      <c r="Z177" s="438"/>
      <c r="AA177" s="438"/>
      <c r="AB177" s="438"/>
      <c r="AC177" s="88"/>
      <c r="AD177" s="88"/>
      <c r="AE177" s="88"/>
      <c r="AF177" s="88"/>
      <c r="AG177" s="88"/>
      <c r="AH177" s="88"/>
      <c r="AI177" s="210"/>
      <c r="AJ177" s="178"/>
    </row>
    <row r="178" spans="1:44" ht="15" customHeight="1" x14ac:dyDescent="0.2">
      <c r="A178" s="135"/>
      <c r="B178" s="1090"/>
      <c r="C178" s="1090"/>
      <c r="D178" s="1090"/>
      <c r="E178" s="1090"/>
      <c r="F178" s="1090"/>
      <c r="G178" s="1090"/>
      <c r="H178" s="1090"/>
      <c r="I178" s="1090"/>
      <c r="J178" s="70"/>
      <c r="K178" s="70"/>
      <c r="L178" s="70"/>
      <c r="M178" s="70"/>
      <c r="N178" s="425"/>
      <c r="O178" s="70"/>
      <c r="P178" s="70"/>
      <c r="Q178" s="10"/>
      <c r="R178" s="70"/>
      <c r="S178" s="70"/>
      <c r="T178" s="70"/>
      <c r="U178" s="134"/>
      <c r="V178" s="152"/>
      <c r="W178" s="168"/>
      <c r="X178" s="438"/>
      <c r="Y178" s="437"/>
      <c r="Z178" s="438"/>
      <c r="AA178" s="438"/>
      <c r="AB178" s="438"/>
      <c r="AI178" s="210"/>
      <c r="AJ178" s="178"/>
    </row>
    <row r="179" spans="1:44" s="101" customFormat="1" ht="27" customHeight="1" x14ac:dyDescent="0.2">
      <c r="A179" s="138"/>
      <c r="B179" s="540" t="s">
        <v>215</v>
      </c>
      <c r="C179" s="97"/>
      <c r="D179" s="393">
        <f>D144</f>
        <v>2014</v>
      </c>
      <c r="E179" s="393">
        <f t="shared" ref="E179:H179" si="60">E144</f>
        <v>2015</v>
      </c>
      <c r="F179" s="393">
        <f t="shared" si="60"/>
        <v>2016</v>
      </c>
      <c r="G179" s="393">
        <f t="shared" si="60"/>
        <v>2017</v>
      </c>
      <c r="H179" s="394">
        <f t="shared" si="60"/>
        <v>2018</v>
      </c>
      <c r="I179" s="115"/>
      <c r="J179" s="115"/>
      <c r="K179" s="62"/>
      <c r="L179" s="62"/>
      <c r="M179" s="62"/>
      <c r="N179" s="62"/>
      <c r="O179" s="62"/>
      <c r="P179" s="434"/>
      <c r="Q179" s="434"/>
      <c r="R179" s="177"/>
      <c r="S179" s="177"/>
      <c r="T179" s="433"/>
      <c r="U179" s="139"/>
      <c r="V179" s="154"/>
      <c r="W179" s="170"/>
      <c r="X179" s="424"/>
      <c r="Y179" s="534">
        <f>D179</f>
        <v>2014</v>
      </c>
      <c r="Z179" s="534">
        <f t="shared" ref="Z179:AC179" si="61">E179</f>
        <v>2015</v>
      </c>
      <c r="AA179" s="534">
        <f t="shared" si="61"/>
        <v>2016</v>
      </c>
      <c r="AB179" s="534">
        <f t="shared" si="61"/>
        <v>2017</v>
      </c>
      <c r="AC179" s="534">
        <f t="shared" si="61"/>
        <v>2018</v>
      </c>
      <c r="AD179" s="88"/>
      <c r="AE179" s="88"/>
      <c r="AF179" s="88"/>
      <c r="AG179" s="88"/>
      <c r="AH179" s="88"/>
      <c r="AI179" s="210"/>
      <c r="AJ179" s="178"/>
    </row>
    <row r="180" spans="1:44" s="101" customFormat="1" ht="12.75" customHeight="1" x14ac:dyDescent="0.2">
      <c r="A180" s="533">
        <f>VLOOKUP(B180,Sheet1!$B$4:$C$25,2,FALSE)</f>
        <v>0</v>
      </c>
      <c r="B180" s="112" t="str">
        <f>B145</f>
        <v>Bracknell Forest</v>
      </c>
      <c r="C180" s="97"/>
      <c r="D180" s="182">
        <f>IF(AND(ISNUMBER(D9),ISNUMBER(Y180)),Y180/D9,NA())</f>
        <v>0.13274336283185842</v>
      </c>
      <c r="E180" s="182" t="e">
        <f t="shared" ref="E180:H180" si="62">IF(AND(ISNUMBER(E9),ISNUMBER(Z180)),Z180/E9,NA())</f>
        <v>#N/A</v>
      </c>
      <c r="F180" s="182">
        <f t="shared" si="62"/>
        <v>0.15306122448979592</v>
      </c>
      <c r="G180" s="182">
        <f t="shared" si="62"/>
        <v>8.6206896551724144E-2</v>
      </c>
      <c r="H180" s="184">
        <f t="shared" si="62"/>
        <v>0.13768115942028986</v>
      </c>
      <c r="I180" s="115"/>
      <c r="J180" s="115"/>
      <c r="K180" s="186"/>
      <c r="L180" s="186"/>
      <c r="M180" s="186"/>
      <c r="N180" s="186"/>
      <c r="O180" s="186"/>
      <c r="P180" s="186"/>
      <c r="Q180" s="187"/>
      <c r="R180" s="177"/>
      <c r="S180" s="177"/>
      <c r="T180" s="186"/>
      <c r="U180" s="139"/>
      <c r="V180" s="154"/>
      <c r="W180" s="170"/>
      <c r="X180" s="424" t="str">
        <f>B180</f>
        <v>Bracknell Forest</v>
      </c>
      <c r="Y180" s="534">
        <f>IF(Year1_Bracknell_Forest Year1_LAC_3_or_more_Placements="","",Year1_Bracknell_Forest Year1_LAC_3_or_more_Placements)</f>
        <v>15</v>
      </c>
      <c r="Z180" s="424" t="str">
        <f>IF(Year2_Bracknell_Forest Year2_LAC_3_or_more_Placements="","",Year2_Bracknell_Forest Year2_LAC_3_or_more_Placements)</f>
        <v/>
      </c>
      <c r="AA180" s="424">
        <f>IF(Year3_Bracknell_Forest Year3_LAC_3_or_more_Placements="","",Year3_Bracknell_Forest Year3_LAC_3_or_more_Placements)</f>
        <v>15</v>
      </c>
      <c r="AB180" s="424">
        <f>IF(Year4_Bracknell_Forest Year4_LAC_3_or_more_Placements="","",Year4_Bracknell_Forest Year4_LAC_3_or_more_Placements)</f>
        <v>10</v>
      </c>
      <c r="AC180" s="634">
        <f>IF(Year5_Bracknell_Forest Year5_LAC_3_or_more_Placements="","",Year5_Bracknell_Forest Year5_LAC_3_or_more_Placements)</f>
        <v>19</v>
      </c>
      <c r="AD180" s="88"/>
      <c r="AE180" s="88"/>
      <c r="AF180" s="88"/>
      <c r="AG180" s="88"/>
      <c r="AH180" s="88"/>
      <c r="AI180" s="210"/>
      <c r="AJ180" s="178"/>
    </row>
    <row r="181" spans="1:44" s="101" customFormat="1" ht="12.75" customHeight="1" x14ac:dyDescent="0.2">
      <c r="A181" s="533">
        <f>VLOOKUP(B181,Sheet1!$B$4:$C$25,2,FALSE)</f>
        <v>0</v>
      </c>
      <c r="B181" s="112" t="str">
        <f t="shared" ref="B181:B203" si="63">B146</f>
        <v>Brighton &amp; Hove</v>
      </c>
      <c r="C181" s="97"/>
      <c r="D181" s="182">
        <f t="shared" ref="D181:D203" si="64">IF(AND(ISNUMBER(D10),ISNUMBER(Y181)),Y181/D10,NA())</f>
        <v>0.15151515151515152</v>
      </c>
      <c r="E181" s="182" t="e">
        <f t="shared" ref="E181:E203" si="65">IF(AND(ISNUMBER(E10),ISNUMBER(Z181)),Z181/E10,NA())</f>
        <v>#N/A</v>
      </c>
      <c r="F181" s="182">
        <f t="shared" ref="F181:F203" si="66">IF(AND(ISNUMBER(F10),ISNUMBER(AA181)),AA181/F10,NA())</f>
        <v>0.14840182648401826</v>
      </c>
      <c r="G181" s="182">
        <f t="shared" ref="G181:G203" si="67">IF(AND(ISNUMBER(G10),ISNUMBER(AB181)),AB181/G10,NA())</f>
        <v>0.1206140350877193</v>
      </c>
      <c r="H181" s="184">
        <f t="shared" ref="H181:H203" si="68">IF(AND(ISNUMBER(H10),ISNUMBER(AC181)),AC181/H10,NA())</f>
        <v>9.569377990430622E-2</v>
      </c>
      <c r="I181" s="115"/>
      <c r="J181" s="115"/>
      <c r="K181" s="186"/>
      <c r="L181" s="186"/>
      <c r="M181" s="186"/>
      <c r="N181" s="186"/>
      <c r="O181" s="186"/>
      <c r="P181" s="186"/>
      <c r="Q181" s="187"/>
      <c r="R181" s="177"/>
      <c r="S181" s="177"/>
      <c r="T181" s="186"/>
      <c r="U181" s="139"/>
      <c r="V181" s="154"/>
      <c r="W181" s="170"/>
      <c r="X181" s="424" t="str">
        <f t="shared" ref="X181:X203" si="69">B181</f>
        <v>Brighton &amp; Hove</v>
      </c>
      <c r="Y181" s="534">
        <f>IF(Year1_Brighton_Hove Year1_LAC_3_or_more_Placements="","",Year1_Brighton_Hove Year1_LAC_3_or_more_Placements)</f>
        <v>70</v>
      </c>
      <c r="Z181" s="424" t="str">
        <f>IF(Year2_Brighton_Hove Year2_LAC_3_or_more_Placements="","",Year2_Brighton_Hove Year2_LAC_3_or_more_Placements)</f>
        <v/>
      </c>
      <c r="AA181" s="424">
        <f>IF(Year3_Brighton_Hove Year3_LAC_3_or_more_Placements="","",Year3_Brighton_Hove Year3_LAC_3_or_more_Placements)</f>
        <v>65</v>
      </c>
      <c r="AB181" s="424">
        <f>IF(Year4_Brighton_Hove Year4_LAC_3_or_more_Placements="","",Year4_Brighton_Hove Year4_LAC_3_or_more_Placements)</f>
        <v>55</v>
      </c>
      <c r="AC181" s="634">
        <f>IF(Year5_Brighton_Hove Year5_LAC_3_or_more_Placements="","",Year5_Brighton_Hove Year5_LAC_3_or_more_Placements)</f>
        <v>40</v>
      </c>
      <c r="AD181" s="88"/>
      <c r="AE181" s="88"/>
      <c r="AF181" s="88"/>
      <c r="AG181" s="88"/>
      <c r="AH181" s="88"/>
      <c r="AI181" s="210"/>
      <c r="AJ181" s="178"/>
    </row>
    <row r="182" spans="1:44" s="101" customFormat="1" ht="12.75" customHeight="1" x14ac:dyDescent="0.2">
      <c r="A182" s="533">
        <f>VLOOKUP(B182,Sheet1!$B$4:$C$25,2,FALSE)</f>
        <v>0</v>
      </c>
      <c r="B182" s="112" t="str">
        <f t="shared" si="63"/>
        <v>Buckinghamshire</v>
      </c>
      <c r="C182" s="97"/>
      <c r="D182" s="182">
        <f t="shared" si="64"/>
        <v>5.7077625570776253E-2</v>
      </c>
      <c r="E182" s="182" t="e">
        <f t="shared" si="65"/>
        <v>#N/A</v>
      </c>
      <c r="F182" s="182">
        <f t="shared" si="66"/>
        <v>7.6252723311546838E-2</v>
      </c>
      <c r="G182" s="182">
        <f t="shared" si="67"/>
        <v>7.7092511013215861E-2</v>
      </c>
      <c r="H182" s="184">
        <f t="shared" si="68"/>
        <v>5.894736842105263E-2</v>
      </c>
      <c r="I182" s="115"/>
      <c r="J182" s="115"/>
      <c r="K182" s="186"/>
      <c r="L182" s="186"/>
      <c r="M182" s="186"/>
      <c r="N182" s="186"/>
      <c r="O182" s="186"/>
      <c r="P182" s="186"/>
      <c r="Q182" s="187"/>
      <c r="R182" s="177"/>
      <c r="S182" s="177"/>
      <c r="T182" s="186"/>
      <c r="U182" s="139"/>
      <c r="V182" s="154"/>
      <c r="W182" s="170"/>
      <c r="X182" s="424" t="str">
        <f t="shared" si="69"/>
        <v>Buckinghamshire</v>
      </c>
      <c r="Y182" s="534">
        <f>IF(Year1_Buckinghamshire Year1_LAC_3_or_more_Placements="","",Year1_Buckinghamshire Year1_LAC_3_or_more_Placements)</f>
        <v>25</v>
      </c>
      <c r="Z182" s="424" t="str">
        <f>IF(Year2_Buckinghamshire Year2_LAC_3_or_more_Placements="","",Year2_Buckinghamshire Year2_LAC_3_or_more_Placements)</f>
        <v/>
      </c>
      <c r="AA182" s="424">
        <f>IF(Year3_Buckinghamshire Year3_LAC_3_or_more_Placements="","",Year3_Buckinghamshire Year3_LAC_3_or_more_Placements)</f>
        <v>35</v>
      </c>
      <c r="AB182" s="424">
        <f>IF(Year4_Buckinghamshire Year4_LAC_3_or_more_Placements="","",Year4_Buckinghamshire Year4_LAC_3_or_more_Placements)</f>
        <v>35</v>
      </c>
      <c r="AC182" s="634">
        <f>IF(Year5_Buckinghamshire Year5_LAC_3_or_more_Placements="","",Year5_Buckinghamshire Year5_LAC_3_or_more_Placements)</f>
        <v>28</v>
      </c>
      <c r="AD182" s="88"/>
      <c r="AE182" s="88"/>
      <c r="AF182" s="88"/>
      <c r="AG182" s="88"/>
      <c r="AH182" s="88"/>
      <c r="AI182" s="210"/>
      <c r="AJ182" s="178"/>
    </row>
    <row r="183" spans="1:44" s="101" customFormat="1" ht="12.75" customHeight="1" x14ac:dyDescent="0.2">
      <c r="A183" s="533">
        <f>VLOOKUP(B183,Sheet1!$B$4:$C$25,2,FALSE)</f>
        <v>0</v>
      </c>
      <c r="B183" s="112" t="str">
        <f t="shared" si="63"/>
        <v>East Sussex</v>
      </c>
      <c r="C183" s="97"/>
      <c r="D183" s="182">
        <f t="shared" si="64"/>
        <v>8.7108013937282236E-2</v>
      </c>
      <c r="E183" s="182" t="e">
        <f t="shared" si="65"/>
        <v>#N/A</v>
      </c>
      <c r="F183" s="182">
        <f t="shared" si="66"/>
        <v>0.11049723756906077</v>
      </c>
      <c r="G183" s="182">
        <f t="shared" si="67"/>
        <v>0.13513513513513514</v>
      </c>
      <c r="H183" s="184">
        <f t="shared" si="68"/>
        <v>0.1111111111111111</v>
      </c>
      <c r="I183" s="115"/>
      <c r="J183" s="115"/>
      <c r="K183" s="186"/>
      <c r="L183" s="186"/>
      <c r="M183" s="186"/>
      <c r="N183" s="186"/>
      <c r="O183" s="186"/>
      <c r="P183" s="186"/>
      <c r="Q183" s="187"/>
      <c r="R183" s="177"/>
      <c r="S183" s="177"/>
      <c r="T183" s="186"/>
      <c r="U183" s="139"/>
      <c r="V183" s="154"/>
      <c r="W183" s="170"/>
      <c r="X183" s="424" t="str">
        <f t="shared" si="69"/>
        <v>East Sussex</v>
      </c>
      <c r="Y183" s="534">
        <f>IF(Year1_East_Sussex Year1_LAC_3_or_more_Placements="","",Year1_East_Sussex Year1_LAC_3_or_more_Placements)</f>
        <v>50</v>
      </c>
      <c r="Z183" s="424" t="str">
        <f>IF(Year2_East_Sussex Year2_LAC_3_or_more_Placements="","",Year2_East_Sussex Year2_LAC_3_or_more_Placements)</f>
        <v/>
      </c>
      <c r="AA183" s="424">
        <f>IF(Year3_East_Sussex Year3_LAC_3_or_more_Placements="","",Year3_East_Sussex Year3_LAC_3_or_more_Placements)</f>
        <v>60</v>
      </c>
      <c r="AB183" s="424">
        <f>IF(Year4_East_Sussex Year4_LAC_3_or_more_Placements="","",Year4_East_Sussex Year4_LAC_3_or_more_Placements)</f>
        <v>75</v>
      </c>
      <c r="AC183" s="634">
        <f>IF(Year5_East_Sussex Year5_LAC_3_or_more_Placements="","",Year5_East_Sussex Year5_LAC_3_or_more_Placements)</f>
        <v>67</v>
      </c>
      <c r="AD183" s="88"/>
      <c r="AE183" s="88"/>
      <c r="AF183" s="88"/>
      <c r="AG183" s="88"/>
      <c r="AH183" s="88"/>
      <c r="AI183" s="210"/>
      <c r="AJ183" s="178"/>
    </row>
    <row r="184" spans="1:44" s="101" customFormat="1" ht="12.75" customHeight="1" x14ac:dyDescent="0.2">
      <c r="A184" s="533">
        <f>VLOOKUP(B184,Sheet1!$B$4:$C$25,2,FALSE)</f>
        <v>0</v>
      </c>
      <c r="B184" s="112" t="str">
        <f t="shared" si="63"/>
        <v>Hampshire</v>
      </c>
      <c r="C184" s="97"/>
      <c r="D184" s="182">
        <f t="shared" si="64"/>
        <v>0.16996047430830039</v>
      </c>
      <c r="E184" s="182" t="e">
        <f t="shared" si="65"/>
        <v>#N/A</v>
      </c>
      <c r="F184" s="182">
        <f t="shared" si="66"/>
        <v>0.17241379310344829</v>
      </c>
      <c r="G184" s="182">
        <f t="shared" si="67"/>
        <v>0.15625</v>
      </c>
      <c r="H184" s="184">
        <f t="shared" si="68"/>
        <v>0.16436637390213299</v>
      </c>
      <c r="I184" s="115"/>
      <c r="J184" s="115"/>
      <c r="K184" s="186"/>
      <c r="L184" s="186"/>
      <c r="M184" s="186"/>
      <c r="N184" s="186"/>
      <c r="O184" s="186"/>
      <c r="P184" s="186"/>
      <c r="Q184" s="187"/>
      <c r="R184" s="177"/>
      <c r="S184" s="177"/>
      <c r="T184" s="186"/>
      <c r="U184" s="139"/>
      <c r="V184" s="154"/>
      <c r="W184" s="170"/>
      <c r="X184" s="424" t="str">
        <f t="shared" si="69"/>
        <v>Hampshire</v>
      </c>
      <c r="Y184" s="534">
        <f>IF(Year1_Hampshire Year1_LAC_3_or_more_Placements="","",Year1_Hampshire Year1_LAC_3_or_more_Placements)</f>
        <v>215</v>
      </c>
      <c r="Z184" s="424" t="str">
        <f>IF(Year2_Hampshire Year2_LAC_3_or_more_Placements="","",Year2_Hampshire Year2_LAC_3_or_more_Placements)</f>
        <v/>
      </c>
      <c r="AA184" s="424">
        <f>IF(Year3_Hampshire Year3_LAC_3_or_more_Placements="","",Year3_Hampshire Year3_LAC_3_or_more_Placements)</f>
        <v>225</v>
      </c>
      <c r="AB184" s="424">
        <f>IF(Year4_Hampshire Year4_LAC_3_or_more_Placements="","",Year4_Hampshire Year4_LAC_3_or_more_Placements)</f>
        <v>225</v>
      </c>
      <c r="AC184" s="634">
        <f>IF(Year5_Hampshire Year5_LAC_3_or_more_Placements="","",Year5_Hampshire Year5_LAC_3_or_more_Placements)</f>
        <v>262</v>
      </c>
      <c r="AD184" s="88"/>
      <c r="AE184" s="88"/>
      <c r="AF184" s="88"/>
      <c r="AG184" s="88"/>
      <c r="AH184" s="88"/>
      <c r="AI184" s="210"/>
      <c r="AJ184" s="178"/>
    </row>
    <row r="185" spans="1:44" s="101" customFormat="1" ht="12.75" customHeight="1" x14ac:dyDescent="0.2">
      <c r="A185" s="533">
        <f>VLOOKUP(B185,Sheet1!$B$4:$C$25,2,FALSE)</f>
        <v>0</v>
      </c>
      <c r="B185" s="112" t="str">
        <f t="shared" si="63"/>
        <v>Isle of Wight</v>
      </c>
      <c r="C185" s="97"/>
      <c r="D185" s="182">
        <f t="shared" si="64"/>
        <v>0.13089005235602094</v>
      </c>
      <c r="E185" s="182" t="e">
        <f t="shared" si="65"/>
        <v>#N/A</v>
      </c>
      <c r="F185" s="182">
        <f t="shared" si="66"/>
        <v>0.12254901960784313</v>
      </c>
      <c r="G185" s="182">
        <f t="shared" si="67"/>
        <v>0.10964912280701754</v>
      </c>
      <c r="H185" s="184">
        <f t="shared" si="68"/>
        <v>0.18141592920353983</v>
      </c>
      <c r="I185" s="115"/>
      <c r="J185" s="115"/>
      <c r="K185" s="186"/>
      <c r="L185" s="186"/>
      <c r="M185" s="186"/>
      <c r="N185" s="186"/>
      <c r="O185" s="186"/>
      <c r="P185" s="186"/>
      <c r="Q185" s="187"/>
      <c r="R185" s="177"/>
      <c r="S185" s="177"/>
      <c r="T185" s="186"/>
      <c r="U185" s="139"/>
      <c r="V185" s="154"/>
      <c r="W185" s="170"/>
      <c r="X185" s="424" t="str">
        <f t="shared" si="69"/>
        <v>Isle of Wight</v>
      </c>
      <c r="Y185" s="534">
        <f>IF(Year1_Isle_of_Wight Year1_LAC_3_or_more_Placements="","",Year1_Isle_of_Wight Year1_LAC_3_or_more_Placements)</f>
        <v>25</v>
      </c>
      <c r="Z185" s="424" t="str">
        <f>IF(Year2_Isle_of_Wight Year2_LAC_3_or_more_Placements="","",Year2_Isle_of_Wight Year2_LAC_3_or_more_Placements)</f>
        <v/>
      </c>
      <c r="AA185" s="424">
        <f>IF(Year3_Isle_of_Wight Year3_LAC_3_or_more_Placements="","",Year3_Isle_of_Wight Year3_LAC_3_or_more_Placements)</f>
        <v>25</v>
      </c>
      <c r="AB185" s="424">
        <f>IF(Year4_Isle_of_Wight Year4_LAC_3_or_more_Placements="","",Year4_Isle_of_Wight Year4_LAC_3_or_more_Placements)</f>
        <v>25</v>
      </c>
      <c r="AC185" s="634">
        <f>IF(Year5_Isle_of_Wight Year5_LAC_3_or_more_Placements="","",Year5_Isle_of_Wight Year5_LAC_3_or_more_Placements)</f>
        <v>41</v>
      </c>
      <c r="AD185" s="88"/>
      <c r="AE185" s="88"/>
      <c r="AF185" s="88"/>
      <c r="AG185" s="88"/>
      <c r="AH185" s="88"/>
      <c r="AI185" s="210"/>
      <c r="AJ185" s="178"/>
      <c r="AR185" s="101" t="s">
        <v>104</v>
      </c>
    </row>
    <row r="186" spans="1:44" s="101" customFormat="1" ht="12.75" customHeight="1" x14ac:dyDescent="0.2">
      <c r="A186" s="533">
        <f>VLOOKUP(B186,Sheet1!$B$4:$C$25,2,FALSE)</f>
        <v>0</v>
      </c>
      <c r="B186" s="112" t="str">
        <f t="shared" si="63"/>
        <v>Kent</v>
      </c>
      <c r="C186" s="97"/>
      <c r="D186" s="182">
        <f t="shared" si="64"/>
        <v>0.13461538461538461</v>
      </c>
      <c r="E186" s="182" t="e">
        <f t="shared" si="65"/>
        <v>#N/A</v>
      </c>
      <c r="F186" s="182">
        <f t="shared" si="66"/>
        <v>0.12532411408815902</v>
      </c>
      <c r="G186" s="182">
        <f t="shared" si="67"/>
        <v>0.12618296529968454</v>
      </c>
      <c r="H186" s="184">
        <f t="shared" si="68"/>
        <v>0.11732522796352583</v>
      </c>
      <c r="I186" s="115"/>
      <c r="J186" s="115"/>
      <c r="K186" s="186"/>
      <c r="L186" s="186"/>
      <c r="M186" s="186"/>
      <c r="N186" s="186"/>
      <c r="O186" s="186"/>
      <c r="P186" s="186"/>
      <c r="Q186" s="187"/>
      <c r="R186" s="177"/>
      <c r="S186" s="177"/>
      <c r="T186" s="186"/>
      <c r="U186" s="139"/>
      <c r="V186" s="154"/>
      <c r="W186" s="170"/>
      <c r="X186" s="424" t="str">
        <f t="shared" si="69"/>
        <v>Kent</v>
      </c>
      <c r="Y186" s="534">
        <f>IF(Year1_Kent Year1_LAC_3_or_more_Placements="","",Year1_Kent Year1_LAC_3_or_more_Placements)</f>
        <v>245</v>
      </c>
      <c r="Z186" s="424" t="str">
        <f>IF(Year2_Kent Year2_LAC_3_or_more_Placements="","",Year2_Kent Year2_LAC_3_or_more_Placements)</f>
        <v/>
      </c>
      <c r="AA186" s="424">
        <f>IF(Year3_Kent Year3_LAC_3_or_more_Placements="","",Year3_Kent Year3_LAC_3_or_more_Placements)</f>
        <v>290</v>
      </c>
      <c r="AB186" s="424">
        <f>IF(Year4_Kent Year4_LAC_3_or_more_Placements="","",Year4_Kent Year4_LAC_3_or_more_Placements)</f>
        <v>240</v>
      </c>
      <c r="AC186" s="634">
        <f>IF(Year5_Kent Year5_LAC_3_or_more_Placements="","",Year5_Kent Year5_LAC_3_or_more_Placements)</f>
        <v>193</v>
      </c>
      <c r="AD186" s="88"/>
      <c r="AE186" s="88"/>
      <c r="AF186" s="88"/>
      <c r="AG186" s="88"/>
      <c r="AH186" s="88"/>
      <c r="AI186" s="210"/>
      <c r="AJ186" s="178"/>
    </row>
    <row r="187" spans="1:44" s="101" customFormat="1" ht="12.75" customHeight="1" x14ac:dyDescent="0.2">
      <c r="A187" s="533">
        <f>VLOOKUP(B187,Sheet1!$B$4:$C$25,2,FALSE)</f>
        <v>0</v>
      </c>
      <c r="B187" s="112" t="str">
        <f t="shared" si="63"/>
        <v>Medway</v>
      </c>
      <c r="C187" s="97"/>
      <c r="D187" s="182">
        <f t="shared" si="64"/>
        <v>6.5963060686015831E-2</v>
      </c>
      <c r="E187" s="182" t="e">
        <f t="shared" si="65"/>
        <v>#N/A</v>
      </c>
      <c r="F187" s="182">
        <f t="shared" si="66"/>
        <v>9.3023255813953487E-2</v>
      </c>
      <c r="G187" s="182">
        <f t="shared" si="67"/>
        <v>0.11538461538461539</v>
      </c>
      <c r="H187" s="184">
        <f t="shared" si="68"/>
        <v>9.9033816425120769E-2</v>
      </c>
      <c r="I187" s="115"/>
      <c r="J187" s="115"/>
      <c r="K187" s="186"/>
      <c r="L187" s="186"/>
      <c r="M187" s="186"/>
      <c r="N187" s="186"/>
      <c r="O187" s="186"/>
      <c r="P187" s="186"/>
      <c r="Q187" s="187"/>
      <c r="R187" s="177"/>
      <c r="S187" s="177"/>
      <c r="T187" s="186"/>
      <c r="U187" s="139"/>
      <c r="V187" s="154"/>
      <c r="W187" s="170"/>
      <c r="X187" s="424" t="str">
        <f t="shared" si="69"/>
        <v>Medway</v>
      </c>
      <c r="Y187" s="534">
        <f>IF(Year1_Medway Year1_LAC_3_or_more_Placements="","",Year1_Medway Year1_LAC_3_or_more_Placements)</f>
        <v>25</v>
      </c>
      <c r="Z187" s="424" t="str">
        <f>IF(Year2_Medway Year2_LAC_3_or_more_Placements="","",Year2_Medway Year2_LAC_3_or_more_Placements)</f>
        <v/>
      </c>
      <c r="AA187" s="424">
        <f>IF(Year3_Medway Year3_LAC_3_or_more_Placements="","",Year3_Medway Year3_LAC_3_or_more_Placements)</f>
        <v>40</v>
      </c>
      <c r="AB187" s="424">
        <f>IF(Year4_Medway Year4_LAC_3_or_more_Placements="","",Year4_Medway Year4_LAC_3_or_more_Placements)</f>
        <v>45</v>
      </c>
      <c r="AC187" s="634">
        <f>IF(Year5_Medway Year5_LAC_3_or_more_Placements="","",Year5_Medway Year5_LAC_3_or_more_Placements)</f>
        <v>41</v>
      </c>
      <c r="AD187" s="88"/>
      <c r="AE187" s="88"/>
      <c r="AF187" s="88"/>
      <c r="AG187" s="88"/>
      <c r="AH187" s="88"/>
      <c r="AI187" s="210"/>
      <c r="AJ187" s="178"/>
    </row>
    <row r="188" spans="1:44" s="101" customFormat="1" ht="12.75" customHeight="1" x14ac:dyDescent="0.2">
      <c r="A188" s="533">
        <f>VLOOKUP(B188,Sheet1!$B$4:$C$25,2,FALSE)</f>
        <v>0</v>
      </c>
      <c r="B188" s="112" t="str">
        <f t="shared" si="63"/>
        <v>Milton Keynes</v>
      </c>
      <c r="C188" s="97"/>
      <c r="D188" s="182">
        <f t="shared" si="64"/>
        <v>0.11551155115511551</v>
      </c>
      <c r="E188" s="182" t="e">
        <f t="shared" si="65"/>
        <v>#N/A</v>
      </c>
      <c r="F188" s="182">
        <f t="shared" si="66"/>
        <v>0.11594202898550725</v>
      </c>
      <c r="G188" s="182">
        <f t="shared" si="67"/>
        <v>8.8383838383838384E-2</v>
      </c>
      <c r="H188" s="184">
        <f t="shared" si="68"/>
        <v>0.11253196930946291</v>
      </c>
      <c r="I188" s="115"/>
      <c r="J188" s="115"/>
      <c r="K188" s="186"/>
      <c r="L188" s="186"/>
      <c r="M188" s="186"/>
      <c r="N188" s="186"/>
      <c r="O188" s="186"/>
      <c r="P188" s="186"/>
      <c r="Q188" s="187"/>
      <c r="R188" s="177"/>
      <c r="S188" s="177"/>
      <c r="T188" s="186"/>
      <c r="U188" s="139"/>
      <c r="V188" s="154"/>
      <c r="W188" s="170"/>
      <c r="X188" s="424" t="str">
        <f t="shared" si="69"/>
        <v>Milton Keynes</v>
      </c>
      <c r="Y188" s="534">
        <f>IF(Year1_Milton_Keynes Year1_LAC_3_or_more_Placements="","",Year1_Milton_Keynes Year1_LAC_3_or_more_Placements)</f>
        <v>35</v>
      </c>
      <c r="Z188" s="424" t="str">
        <f>IF(Year2_Milton_Keynes Year2_LAC_3_or_more_Placements="","",Year2_Milton_Keynes Year2_LAC_3_or_more_Placements)</f>
        <v/>
      </c>
      <c r="AA188" s="424">
        <f>IF(Year3_Milton_Keynes Year3_LAC_3_or_more_Placements="","",Year3_Milton_Keynes Year3_LAC_3_or_more_Placements)</f>
        <v>40</v>
      </c>
      <c r="AB188" s="424">
        <f>IF(Year4_Milton_Keynes Year4_LAC_3_or_more_Placements="","",Year4_Milton_Keynes Year4_LAC_3_or_more_Placements)</f>
        <v>35</v>
      </c>
      <c r="AC188" s="634">
        <f>IF(Year5_Milton_Keynes Year5_LAC_3_or_more_Placements="","",Year5_Milton_Keynes Year5_LAC_3_or_more_Placements)</f>
        <v>44</v>
      </c>
      <c r="AD188" s="88"/>
      <c r="AE188" s="88"/>
      <c r="AF188" s="88"/>
      <c r="AG188" s="88"/>
      <c r="AH188" s="88"/>
      <c r="AI188" s="210"/>
      <c r="AJ188" s="178"/>
    </row>
    <row r="189" spans="1:44" s="101" customFormat="1" ht="12.75" customHeight="1" x14ac:dyDescent="0.2">
      <c r="A189" s="533">
        <f>VLOOKUP(B189,Sheet1!$B$4:$C$25,2,FALSE)</f>
        <v>0</v>
      </c>
      <c r="B189" s="112" t="str">
        <f t="shared" si="63"/>
        <v>Oxfordshire</v>
      </c>
      <c r="C189" s="97"/>
      <c r="D189" s="182">
        <f t="shared" si="64"/>
        <v>0.11904761904761904</v>
      </c>
      <c r="E189" s="182" t="e">
        <f t="shared" si="65"/>
        <v>#N/A</v>
      </c>
      <c r="F189" s="182">
        <f t="shared" si="66"/>
        <v>6.7453625632377737E-2</v>
      </c>
      <c r="G189" s="182">
        <f t="shared" si="67"/>
        <v>8.2582582582582581E-2</v>
      </c>
      <c r="H189" s="184">
        <f t="shared" si="68"/>
        <v>0.11240875912408758</v>
      </c>
      <c r="I189" s="115"/>
      <c r="J189" s="115"/>
      <c r="K189" s="186"/>
      <c r="L189" s="186"/>
      <c r="M189" s="186"/>
      <c r="N189" s="186"/>
      <c r="O189" s="186"/>
      <c r="P189" s="186"/>
      <c r="Q189" s="187"/>
      <c r="R189" s="177"/>
      <c r="S189" s="177"/>
      <c r="T189" s="186"/>
      <c r="U189" s="139"/>
      <c r="V189" s="154"/>
      <c r="W189" s="170"/>
      <c r="X189" s="424" t="str">
        <f t="shared" si="69"/>
        <v>Oxfordshire</v>
      </c>
      <c r="Y189" s="534">
        <f>IF(Year1_Oxfordshire Year1_LAC_3_or_more_Placements="","",Year1_Oxfordshire Year1_LAC_3_or_more_Placements)</f>
        <v>55</v>
      </c>
      <c r="Z189" s="424" t="str">
        <f>IF(Year2_Oxfordshire Year2_LAC_3_or_more_Placements="","",Year2_Oxfordshire Year2_LAC_3_or_more_Placements)</f>
        <v/>
      </c>
      <c r="AA189" s="424">
        <f>IF(Year3_Oxfordshire Year3_LAC_3_or_more_Placements="","",Year3_Oxfordshire Year3_LAC_3_or_more_Placements)</f>
        <v>40</v>
      </c>
      <c r="AB189" s="424">
        <f>IF(Year4_Oxfordshire Year4_LAC_3_or_more_Placements="","",Year4_Oxfordshire Year4_LAC_3_or_more_Placements)</f>
        <v>55</v>
      </c>
      <c r="AC189" s="634">
        <f>IF(Year5_Oxfordshire Year5_LAC_3_or_more_Placements="","",Year5_Oxfordshire Year5_LAC_3_or_more_Placements)</f>
        <v>77</v>
      </c>
      <c r="AD189" s="88"/>
      <c r="AE189" s="88"/>
      <c r="AF189" s="88"/>
      <c r="AG189" s="88"/>
      <c r="AH189" s="88"/>
      <c r="AI189" s="210"/>
      <c r="AJ189" s="178"/>
    </row>
    <row r="190" spans="1:44" s="101" customFormat="1" ht="12.75" customHeight="1" x14ac:dyDescent="0.2">
      <c r="A190" s="533">
        <f>VLOOKUP(B190,Sheet1!$B$4:$C$25,2,FALSE)</f>
        <v>0</v>
      </c>
      <c r="B190" s="112" t="str">
        <f t="shared" si="63"/>
        <v>Portsmouth</v>
      </c>
      <c r="C190" s="97"/>
      <c r="D190" s="182">
        <f t="shared" si="64"/>
        <v>0.12578616352201258</v>
      </c>
      <c r="E190" s="182" t="e">
        <f t="shared" si="65"/>
        <v>#N/A</v>
      </c>
      <c r="F190" s="182">
        <f t="shared" si="66"/>
        <v>0.15527950310559005</v>
      </c>
      <c r="G190" s="182">
        <f t="shared" si="67"/>
        <v>0.15363128491620112</v>
      </c>
      <c r="H190" s="184">
        <f t="shared" si="68"/>
        <v>0.14457831325301204</v>
      </c>
      <c r="I190" s="115"/>
      <c r="J190" s="115"/>
      <c r="K190" s="186"/>
      <c r="L190" s="186"/>
      <c r="M190" s="186"/>
      <c r="N190" s="186"/>
      <c r="O190" s="186"/>
      <c r="P190" s="186"/>
      <c r="Q190" s="187"/>
      <c r="R190" s="177"/>
      <c r="S190" s="177"/>
      <c r="T190" s="186"/>
      <c r="U190" s="139"/>
      <c r="V190" s="154"/>
      <c r="W190" s="170"/>
      <c r="X190" s="424" t="str">
        <f t="shared" si="69"/>
        <v>Portsmouth</v>
      </c>
      <c r="Y190" s="534">
        <f>IF(Year1_Portsmouth Year1_LAC_3_or_more_Placements="","",Year1_Portsmouth Year1_LAC_3_or_more_Placements)</f>
        <v>40</v>
      </c>
      <c r="Z190" s="424" t="str">
        <f>IF(Year2_Portsmouth Year2_LAC_3_or_more_Placements="","",Year2_Portsmouth Year2_LAC_3_or_more_Placements)</f>
        <v/>
      </c>
      <c r="AA190" s="424">
        <f>IF(Year3_Portsmouth Year3_LAC_3_or_more_Placements="","",Year3_Portsmouth Year3_LAC_3_or_more_Placements)</f>
        <v>50</v>
      </c>
      <c r="AB190" s="424">
        <f>IF(Year4_Portsmouth Year4_LAC_3_or_more_Placements="","",Year4_Portsmouth Year4_LAC_3_or_more_Placements)</f>
        <v>55</v>
      </c>
      <c r="AC190" s="634">
        <f>IF(Year5_Portsmouth Year5_LAC_3_or_more_Placements="","",Year5_Portsmouth Year5_LAC_3_or_more_Placements)</f>
        <v>60</v>
      </c>
      <c r="AD190" s="88"/>
      <c r="AE190" s="88"/>
      <c r="AF190" s="88"/>
      <c r="AG190" s="88"/>
      <c r="AH190" s="88"/>
      <c r="AI190" s="210"/>
      <c r="AJ190" s="178"/>
    </row>
    <row r="191" spans="1:44" s="101" customFormat="1" ht="12.75" customHeight="1" x14ac:dyDescent="0.2">
      <c r="A191" s="533">
        <f>VLOOKUP(B191,Sheet1!$B$4:$C$25,2,FALSE)</f>
        <v>0</v>
      </c>
      <c r="B191" s="112" t="str">
        <f t="shared" si="63"/>
        <v>Reading</v>
      </c>
      <c r="C191" s="97"/>
      <c r="D191" s="182">
        <f t="shared" si="64"/>
        <v>0.12077294685990338</v>
      </c>
      <c r="E191" s="182" t="e">
        <f t="shared" si="65"/>
        <v>#N/A</v>
      </c>
      <c r="F191" s="182">
        <f t="shared" si="66"/>
        <v>9.0909090909090912E-2</v>
      </c>
      <c r="G191" s="182">
        <f t="shared" si="67"/>
        <v>3.8022813688212927E-2</v>
      </c>
      <c r="H191" s="184">
        <f t="shared" si="68"/>
        <v>0.11510791366906475</v>
      </c>
      <c r="I191" s="115"/>
      <c r="J191" s="115"/>
      <c r="K191" s="186"/>
      <c r="L191" s="186"/>
      <c r="M191" s="186"/>
      <c r="N191" s="186"/>
      <c r="O191" s="186"/>
      <c r="P191" s="186"/>
      <c r="Q191" s="187"/>
      <c r="R191" s="177"/>
      <c r="S191" s="177"/>
      <c r="T191" s="186"/>
      <c r="U191" s="139"/>
      <c r="V191" s="154"/>
      <c r="W191" s="170"/>
      <c r="X191" s="424" t="str">
        <f t="shared" si="69"/>
        <v>Reading</v>
      </c>
      <c r="Y191" s="534">
        <f>IF(Year1_Reading Year1_LAC_3_or_more_Placements="","",Year1_Reading Year1_LAC_3_or_more_Placements)</f>
        <v>25</v>
      </c>
      <c r="Z191" s="424" t="str">
        <f>IF(Year2_Reading Year2_LAC_3_or_more_Placements="","",Year2_Reading Year2_LAC_3_or_more_Placements)</f>
        <v/>
      </c>
      <c r="AA191" s="424">
        <f>IF(Year3_Reading Year3_LAC_3_or_more_Placements="","",Year3_Reading Year3_LAC_3_or_more_Placements)</f>
        <v>20</v>
      </c>
      <c r="AB191" s="424">
        <f>IF(Year4_Reading Year4_LAC_3_or_more_Placements="","",Year4_Reading Year4_LAC_3_or_more_Placements)</f>
        <v>10</v>
      </c>
      <c r="AC191" s="634">
        <f>IF(Year5_Reading Year5_LAC_3_or_more_Placements="","",Year5_Reading Year5_LAC_3_or_more_Placements)</f>
        <v>32</v>
      </c>
      <c r="AD191" s="88"/>
      <c r="AE191" s="88"/>
      <c r="AF191" s="88"/>
      <c r="AG191" s="88"/>
      <c r="AH191" s="88"/>
      <c r="AI191" s="210"/>
      <c r="AJ191" s="178"/>
    </row>
    <row r="192" spans="1:44" s="101" customFormat="1" ht="12.75" customHeight="1" x14ac:dyDescent="0.2">
      <c r="A192" s="533">
        <f>VLOOKUP(B192,Sheet1!$B$4:$C$25,2,FALSE)</f>
        <v>0</v>
      </c>
      <c r="B192" s="112" t="str">
        <f t="shared" si="63"/>
        <v>Slough</v>
      </c>
      <c r="C192" s="97"/>
      <c r="D192" s="182">
        <f t="shared" si="64"/>
        <v>0.13227513227513227</v>
      </c>
      <c r="E192" s="182" t="e">
        <f t="shared" si="65"/>
        <v>#N/A</v>
      </c>
      <c r="F192" s="182">
        <f t="shared" si="66"/>
        <v>0.13966480446927373</v>
      </c>
      <c r="G192" s="182">
        <f t="shared" si="67"/>
        <v>0.13157894736842105</v>
      </c>
      <c r="H192" s="184">
        <f t="shared" si="68"/>
        <v>0.16019417475728157</v>
      </c>
      <c r="I192" s="115"/>
      <c r="J192" s="115"/>
      <c r="K192" s="186"/>
      <c r="L192" s="186"/>
      <c r="M192" s="186"/>
      <c r="N192" s="186"/>
      <c r="O192" s="186"/>
      <c r="P192" s="186"/>
      <c r="Q192" s="187"/>
      <c r="R192" s="177"/>
      <c r="S192" s="177"/>
      <c r="T192" s="186"/>
      <c r="U192" s="139"/>
      <c r="V192" s="154"/>
      <c r="W192" s="170"/>
      <c r="X192" s="424" t="str">
        <f t="shared" si="69"/>
        <v>Slough</v>
      </c>
      <c r="Y192" s="534">
        <f>IF(Year1_Slough Year1_LAC_3_or_more_Placements="","",Year1_Slough Year1_LAC_3_or_more_Placements)</f>
        <v>25</v>
      </c>
      <c r="Z192" s="424" t="str">
        <f>IF(Year2_Slough Year2_LAC_3_or_more_Placements="","",Year2_Slough Year2_LAC_3_or_more_Placements)</f>
        <v/>
      </c>
      <c r="AA192" s="424">
        <f>IF(Year3_Slough Year3_LAC_3_or_more_Placements="","",Year3_Slough Year3_LAC_3_or_more_Placements)</f>
        <v>25</v>
      </c>
      <c r="AB192" s="424">
        <f>IF(Year4_Slough Year4_LAC_3_or_more_Placements="","",Year4_Slough Year4_LAC_3_or_more_Placements)</f>
        <v>25</v>
      </c>
      <c r="AC192" s="634">
        <f>IF(Year5_Slough Year5_LAC_3_or_more_Placements="","",Year5_Slough Year5_LAC_3_or_more_Placements)</f>
        <v>33</v>
      </c>
      <c r="AD192" s="88"/>
      <c r="AE192" s="88"/>
      <c r="AF192" s="88"/>
      <c r="AG192" s="88"/>
      <c r="AH192" s="88"/>
      <c r="AI192" s="210"/>
      <c r="AJ192" s="178"/>
    </row>
    <row r="193" spans="1:43" s="101" customFormat="1" ht="12.75" customHeight="1" x14ac:dyDescent="0.2">
      <c r="A193" s="533">
        <f>VLOOKUP(B193,Sheet1!$B$4:$C$25,2,FALSE)</f>
        <v>0</v>
      </c>
      <c r="B193" s="112" t="str">
        <f t="shared" si="63"/>
        <v>Somerset</v>
      </c>
      <c r="C193" s="97"/>
      <c r="D193" s="182">
        <f t="shared" si="64"/>
        <v>0.12295081967213115</v>
      </c>
      <c r="E193" s="182" t="e">
        <f t="shared" si="65"/>
        <v>#N/A</v>
      </c>
      <c r="F193" s="182">
        <f t="shared" si="66"/>
        <v>0.12974051896207583</v>
      </c>
      <c r="G193" s="182">
        <f t="shared" si="67"/>
        <v>0.10504201680672269</v>
      </c>
      <c r="H193" s="184">
        <f t="shared" si="68"/>
        <v>0.1532567049808429</v>
      </c>
      <c r="I193" s="115"/>
      <c r="J193" s="115"/>
      <c r="K193" s="186"/>
      <c r="L193" s="186"/>
      <c r="M193" s="186"/>
      <c r="N193" s="186"/>
      <c r="O193" s="186"/>
      <c r="P193" s="186"/>
      <c r="Q193" s="187"/>
      <c r="R193" s="177"/>
      <c r="S193" s="177"/>
      <c r="T193" s="186"/>
      <c r="U193" s="139"/>
      <c r="V193" s="154"/>
      <c r="W193" s="170"/>
      <c r="X193" s="424" t="str">
        <f t="shared" si="69"/>
        <v>Somerset</v>
      </c>
      <c r="Y193" s="534">
        <f>IF(Year1_Somerset Year1_LAC_3_or_more_Placements="","",Year1_Somerset Year1_LAC_3_or_more_Placements)</f>
        <v>60</v>
      </c>
      <c r="Z193" s="424" t="str">
        <f>IF(Year2_Somerset Year2_LAC_3_or_more_Placements="","",Year2_Somerset Year2_LAC_3_or_more_Placements)</f>
        <v/>
      </c>
      <c r="AA193" s="424">
        <f>IF(Year3_Somerset Year3_LAC_3_or_more_Placements="","",Year3_Somerset Year3_LAC_3_or_more_Placements)</f>
        <v>65</v>
      </c>
      <c r="AB193" s="424">
        <f>IF(Year4_Somerset Year4_LAC_3_or_more_Placements="","",Year4_Somerset Year4_LAC_3_or_more_Placements)</f>
        <v>50</v>
      </c>
      <c r="AC193" s="634">
        <f>IF(Year5_Somerset Year5_LAC_3_or_more_Placements="","",Year5_Somerset Year5_LAC_3_or_more_Placements)</f>
        <v>80</v>
      </c>
      <c r="AD193" s="88"/>
      <c r="AE193" s="88"/>
      <c r="AF193" s="88"/>
      <c r="AG193" s="88"/>
      <c r="AH193" s="88"/>
      <c r="AI193" s="210"/>
      <c r="AJ193" s="178"/>
    </row>
    <row r="194" spans="1:43" s="101" customFormat="1" ht="12.75" customHeight="1" x14ac:dyDescent="0.2">
      <c r="A194" s="533">
        <f>VLOOKUP(B194,Sheet1!$B$4:$C$25,2,FALSE)</f>
        <v>0</v>
      </c>
      <c r="B194" s="112" t="str">
        <f t="shared" si="63"/>
        <v>Southampton</v>
      </c>
      <c r="C194" s="97"/>
      <c r="D194" s="182">
        <f t="shared" si="64"/>
        <v>0.14000000000000001</v>
      </c>
      <c r="E194" s="182" t="e">
        <f t="shared" si="65"/>
        <v>#N/A</v>
      </c>
      <c r="F194" s="182">
        <f t="shared" si="66"/>
        <v>0.13536379018612521</v>
      </c>
      <c r="G194" s="182">
        <f t="shared" si="67"/>
        <v>0.12037037037037036</v>
      </c>
      <c r="H194" s="184">
        <f t="shared" si="68"/>
        <v>9.5785440613026823E-2</v>
      </c>
      <c r="I194" s="115"/>
      <c r="J194" s="115"/>
      <c r="K194" s="186"/>
      <c r="L194" s="186"/>
      <c r="M194" s="186"/>
      <c r="N194" s="186"/>
      <c r="O194" s="186"/>
      <c r="P194" s="186"/>
      <c r="Q194" s="187"/>
      <c r="R194" s="177"/>
      <c r="S194" s="177"/>
      <c r="T194" s="186"/>
      <c r="U194" s="139"/>
      <c r="V194" s="154"/>
      <c r="W194" s="170"/>
      <c r="X194" s="424" t="str">
        <f t="shared" si="69"/>
        <v>Southampton</v>
      </c>
      <c r="Y194" s="534">
        <f>IF(Year1_Southampton Year1_LAC_3_or_more_Placements="","",Year1_Southampton Year1_LAC_3_or_more_Placements)</f>
        <v>70</v>
      </c>
      <c r="Z194" s="424" t="str">
        <f>IF(Year2_Southampton Year2_LAC_3_or_more_Placements="","",Year2_Southampton Year2_LAC_3_or_more_Placements)</f>
        <v/>
      </c>
      <c r="AA194" s="424">
        <f>IF(Year3_Southampton Year3_LAC_3_or_more_Placements="","",Year3_Southampton Year3_LAC_3_or_more_Placements)</f>
        <v>80</v>
      </c>
      <c r="AB194" s="424">
        <f>IF(Year4_Southampton Year4_LAC_3_or_more_Placements="","",Year4_Southampton Year4_LAC_3_or_more_Placements)</f>
        <v>65</v>
      </c>
      <c r="AC194" s="634">
        <f>IF(Year5_Southampton Year5_LAC_3_or_more_Placements="","",Year5_Southampton Year5_LAC_3_or_more_Placements)</f>
        <v>50</v>
      </c>
      <c r="AD194" s="88"/>
      <c r="AE194" s="88"/>
      <c r="AF194" s="88"/>
      <c r="AG194" s="88"/>
      <c r="AH194" s="88"/>
      <c r="AI194" s="210"/>
      <c r="AJ194" s="178"/>
    </row>
    <row r="195" spans="1:43" s="101" customFormat="1" ht="12.75" customHeight="1" x14ac:dyDescent="0.2">
      <c r="A195" s="533">
        <f>VLOOKUP(B195,Sheet1!$B$4:$C$25,2,FALSE)</f>
        <v>0</v>
      </c>
      <c r="B195" s="112" t="str">
        <f t="shared" si="63"/>
        <v>Surrey</v>
      </c>
      <c r="C195" s="97"/>
      <c r="D195" s="182">
        <f t="shared" si="64"/>
        <v>9.4577553593947039E-2</v>
      </c>
      <c r="E195" s="182" t="e">
        <f t="shared" si="65"/>
        <v>#N/A</v>
      </c>
      <c r="F195" s="182">
        <f t="shared" si="66"/>
        <v>0.10380622837370242</v>
      </c>
      <c r="G195" s="182">
        <f t="shared" si="67"/>
        <v>8.0552359033371698E-2</v>
      </c>
      <c r="H195" s="184">
        <f t="shared" si="68"/>
        <v>7.6508620689655166E-2</v>
      </c>
      <c r="I195" s="115"/>
      <c r="J195" s="115"/>
      <c r="K195" s="186"/>
      <c r="L195" s="186"/>
      <c r="M195" s="186"/>
      <c r="N195" s="186"/>
      <c r="O195" s="186"/>
      <c r="P195" s="186"/>
      <c r="Q195" s="187"/>
      <c r="R195" s="177"/>
      <c r="S195" s="177"/>
      <c r="T195" s="186"/>
      <c r="U195" s="139"/>
      <c r="V195" s="154"/>
      <c r="W195" s="170"/>
      <c r="X195" s="424" t="str">
        <f t="shared" si="69"/>
        <v>Surrey</v>
      </c>
      <c r="Y195" s="534">
        <f>IF(Year1_Surrey Year1_LAC_3_or_more_Placements="","",Year1_Surrey Year1_LAC_3_or_more_Placements)</f>
        <v>75</v>
      </c>
      <c r="Z195" s="424" t="str">
        <f>IF(Year2_Surrey Year2_LAC_3_or_more_Placements="","",Year2_Surrey Year2_LAC_3_or_more_Placements)</f>
        <v/>
      </c>
      <c r="AA195" s="424">
        <f>IF(Year3_Surrey Year3_LAC_3_or_more_Placements="","",Year3_Surrey Year3_LAC_3_or_more_Placements)</f>
        <v>90</v>
      </c>
      <c r="AB195" s="424">
        <f>IF(Year4_Surrey Year4_LAC_3_or_more_Placements="","",Year4_Surrey Year4_LAC_3_or_more_Placements)</f>
        <v>70</v>
      </c>
      <c r="AC195" s="634">
        <f>IF(Year5_Surrey Year5_LAC_3_or_more_Placements="","",Year5_Surrey Year5_LAC_3_or_more_Placements)</f>
        <v>71</v>
      </c>
      <c r="AD195" s="88"/>
      <c r="AE195" s="88"/>
      <c r="AF195" s="88"/>
      <c r="AG195" s="88"/>
      <c r="AH195" s="88"/>
      <c r="AI195" s="210"/>
      <c r="AJ195" s="178"/>
    </row>
    <row r="196" spans="1:43" s="101" customFormat="1" ht="12.75" customHeight="1" x14ac:dyDescent="0.2">
      <c r="A196" s="533">
        <f>VLOOKUP(B196,Sheet1!$B$4:$C$25,2,FALSE)</f>
        <v>0</v>
      </c>
      <c r="B196" s="112" t="str">
        <f t="shared" si="63"/>
        <v>Swindon</v>
      </c>
      <c r="C196" s="97"/>
      <c r="D196" s="182">
        <f t="shared" si="64"/>
        <v>0.17786561264822134</v>
      </c>
      <c r="E196" s="182" t="e">
        <f t="shared" si="65"/>
        <v>#N/A</v>
      </c>
      <c r="F196" s="182">
        <f t="shared" si="66"/>
        <v>0.10238907849829351</v>
      </c>
      <c r="G196" s="182">
        <f t="shared" si="67"/>
        <v>0.12121212121212122</v>
      </c>
      <c r="H196" s="184">
        <f t="shared" si="68"/>
        <v>0.12222222222222222</v>
      </c>
      <c r="I196" s="115"/>
      <c r="J196" s="115"/>
      <c r="K196" s="186"/>
      <c r="L196" s="186"/>
      <c r="M196" s="186"/>
      <c r="N196" s="186"/>
      <c r="O196" s="186"/>
      <c r="P196" s="186"/>
      <c r="Q196" s="187"/>
      <c r="R196" s="177"/>
      <c r="S196" s="177"/>
      <c r="T196" s="186"/>
      <c r="U196" s="139"/>
      <c r="V196" s="154"/>
      <c r="W196" s="170"/>
      <c r="X196" s="424" t="str">
        <f t="shared" si="69"/>
        <v>Swindon</v>
      </c>
      <c r="Y196" s="534">
        <f>IF(Year1_Swindon Year1_LAC_3_or_more_Placements="","",Year1_Swindon Year1_LAC_3_or_more_Placements)</f>
        <v>45</v>
      </c>
      <c r="Z196" s="424" t="str">
        <f>IF(Year2_Swindon Year2_LAC_3_or_more_Placements="","",Year2_Swindon Year2_LAC_3_or_more_Placements)</f>
        <v/>
      </c>
      <c r="AA196" s="424">
        <f>IF(Year3_Swindon Year3_LAC_3_or_more_Placements="","",Year3_Swindon Year3_LAC_3_or_more_Placements)</f>
        <v>30</v>
      </c>
      <c r="AB196" s="637">
        <f>IF(Year4_Swindon Year4_LAC_3_or_more_Placements="","",Year4_Swindon Year4_LAC_3_or_more_Placements)</f>
        <v>40</v>
      </c>
      <c r="AC196" s="659">
        <f>IF(Year5_Swindon Year5_LAC_3_or_more_Placements="","",Year5_Swindon Year5_LAC_3_or_more_Placements)</f>
        <v>44</v>
      </c>
      <c r="AD196" s="88"/>
      <c r="AE196" s="88"/>
      <c r="AF196" s="88"/>
      <c r="AG196" s="88"/>
      <c r="AH196" s="88"/>
      <c r="AI196" s="210"/>
      <c r="AJ196" s="178"/>
    </row>
    <row r="197" spans="1:43" s="101" customFormat="1" ht="12.75" customHeight="1" x14ac:dyDescent="0.2">
      <c r="A197" s="533">
        <f>VLOOKUP(B197,Sheet1!$B$4:$C$25,2,FALSE)</f>
        <v>0</v>
      </c>
      <c r="B197" s="112" t="str">
        <f t="shared" si="63"/>
        <v>Torbay</v>
      </c>
      <c r="C197" s="97"/>
      <c r="D197" s="182">
        <f t="shared" si="64"/>
        <v>0.15923566878980891</v>
      </c>
      <c r="E197" s="182" t="e">
        <f t="shared" si="65"/>
        <v>#N/A</v>
      </c>
      <c r="F197" s="182">
        <f t="shared" si="66"/>
        <v>0.21505376344086022</v>
      </c>
      <c r="G197" s="182">
        <f t="shared" si="67"/>
        <v>0.26041666666666669</v>
      </c>
      <c r="H197" s="184">
        <f t="shared" si="68"/>
        <v>0.25382262996941896</v>
      </c>
      <c r="I197" s="115"/>
      <c r="J197" s="115"/>
      <c r="K197" s="186"/>
      <c r="L197" s="186"/>
      <c r="M197" s="186"/>
      <c r="N197" s="186"/>
      <c r="O197" s="186"/>
      <c r="P197" s="186"/>
      <c r="Q197" s="187"/>
      <c r="R197" s="177"/>
      <c r="S197" s="177"/>
      <c r="T197" s="186"/>
      <c r="U197" s="139"/>
      <c r="V197" s="154"/>
      <c r="W197" s="170"/>
      <c r="X197" s="424" t="str">
        <f t="shared" si="69"/>
        <v>Torbay</v>
      </c>
      <c r="Y197" s="534">
        <f>IF(Year1_Torbay Year1_LAC_3_or_more_Placements="","",Year1_Torbay Year1_LAC_3_or_more_Placements)</f>
        <v>50</v>
      </c>
      <c r="Z197" s="424" t="str">
        <f>IF(Year2_Torbay Year2_LAC_3_or_more_Placements="","",Year2_Torbay Year2_LAC_3_or_more_Placements)</f>
        <v/>
      </c>
      <c r="AA197" s="424">
        <f>IF(Year3_Torbay Year3_LAC_3_or_more_Placements="","",Year3_Torbay Year3_LAC_3_or_more_Placements)</f>
        <v>60</v>
      </c>
      <c r="AB197" s="637">
        <f>IF(Year4_Torbay Year4_LAC_3_or_more_Placements="","",Year4_Torbay Year4_LAC_3_or_more_Placements)</f>
        <v>75</v>
      </c>
      <c r="AC197" s="659">
        <f>IF(Year5_Torbay Year5_LAC_3_or_more_Placements="","",Year5_Torbay Year5_LAC_3_or_more_Placements)</f>
        <v>83</v>
      </c>
      <c r="AD197" s="88"/>
      <c r="AE197" s="88"/>
      <c r="AF197" s="88"/>
      <c r="AG197" s="88"/>
      <c r="AH197" s="88"/>
      <c r="AI197" s="210"/>
      <c r="AJ197" s="178"/>
    </row>
    <row r="198" spans="1:43" s="101" customFormat="1" ht="12.75" customHeight="1" x14ac:dyDescent="0.2">
      <c r="A198" s="533">
        <f>VLOOKUP(B198,Sheet1!$B$4:$C$25,2,FALSE)</f>
        <v>0</v>
      </c>
      <c r="B198" s="112" t="str">
        <f t="shared" si="63"/>
        <v>West Berkshire</v>
      </c>
      <c r="C198" s="97"/>
      <c r="D198" s="182">
        <f t="shared" si="64"/>
        <v>6.4102564102564097E-2</v>
      </c>
      <c r="E198" s="182" t="e">
        <f t="shared" si="65"/>
        <v>#N/A</v>
      </c>
      <c r="F198" s="182">
        <f t="shared" si="66"/>
        <v>6.3694267515923567E-2</v>
      </c>
      <c r="G198" s="182">
        <f t="shared" si="67"/>
        <v>9.3167701863354033E-2</v>
      </c>
      <c r="H198" s="184">
        <f t="shared" si="68"/>
        <v>5.5172413793103448E-2</v>
      </c>
      <c r="I198" s="115"/>
      <c r="J198" s="115"/>
      <c r="K198" s="186"/>
      <c r="L198" s="186"/>
      <c r="M198" s="186"/>
      <c r="N198" s="186"/>
      <c r="O198" s="186"/>
      <c r="P198" s="186"/>
      <c r="Q198" s="187"/>
      <c r="R198" s="177"/>
      <c r="S198" s="177"/>
      <c r="T198" s="186"/>
      <c r="U198" s="139"/>
      <c r="V198" s="154"/>
      <c r="W198" s="170"/>
      <c r="X198" s="424" t="str">
        <f t="shared" si="69"/>
        <v>West Berkshire</v>
      </c>
      <c r="Y198" s="534">
        <f>IF(Year1_West_Berkshire Year1_LAC_3_or_more_Placements="","",Year1_West_Berkshire Year1_LAC_3_or_more_Placements)</f>
        <v>10</v>
      </c>
      <c r="Z198" s="424" t="str">
        <f>IF(Year2_West_Berkshire Year2_LAC_3_or_more_Placements="","",Year2_West_Berkshire Year2_LAC_3_or_more_Placements)</f>
        <v/>
      </c>
      <c r="AA198" s="424">
        <f>IF(Year3_West_Berkshire Year3_LAC_3_or_more_Placements="","",Year3_West_Berkshire Year3_LAC_3_or_more_Placements)</f>
        <v>10</v>
      </c>
      <c r="AB198" s="424">
        <f>IF(Year4_West_Berkshire Year4_LAC_3_or_more_Placements="","",Year4_West_Berkshire Year4_LAC_3_or_more_Placements)</f>
        <v>15</v>
      </c>
      <c r="AC198" s="634">
        <f>IF(Year5_West_Berkshire Year5_LAC_3_or_more_Placements="","",Year5_West_Berkshire Year5_LAC_3_or_more_Placements)</f>
        <v>8</v>
      </c>
      <c r="AD198" s="88"/>
      <c r="AE198" s="88"/>
      <c r="AF198" s="88"/>
      <c r="AG198" s="88"/>
      <c r="AH198" s="88"/>
      <c r="AI198" s="210"/>
      <c r="AJ198" s="178"/>
    </row>
    <row r="199" spans="1:43" s="101" customFormat="1" ht="12.75" customHeight="1" x14ac:dyDescent="0.2">
      <c r="A199" s="533">
        <f>VLOOKUP(B199,Sheet1!$B$4:$C$25,2,FALSE)</f>
        <v>0</v>
      </c>
      <c r="B199" s="112" t="str">
        <f t="shared" si="63"/>
        <v>West Sussex</v>
      </c>
      <c r="C199" s="97"/>
      <c r="D199" s="182">
        <f t="shared" si="64"/>
        <v>0.1079734219269103</v>
      </c>
      <c r="E199" s="182" t="e">
        <f t="shared" si="65"/>
        <v>#N/A</v>
      </c>
      <c r="F199" s="182">
        <f t="shared" si="66"/>
        <v>0.10954616588419405</v>
      </c>
      <c r="G199" s="182">
        <f t="shared" si="67"/>
        <v>0.12066365007541478</v>
      </c>
      <c r="H199" s="184">
        <f t="shared" si="68"/>
        <v>0.140625</v>
      </c>
      <c r="I199" s="115"/>
      <c r="J199" s="115"/>
      <c r="K199" s="186"/>
      <c r="L199" s="186"/>
      <c r="M199" s="186"/>
      <c r="N199" s="186"/>
      <c r="O199" s="186"/>
      <c r="P199" s="186"/>
      <c r="Q199" s="187"/>
      <c r="R199" s="177"/>
      <c r="S199" s="177"/>
      <c r="T199" s="186"/>
      <c r="U199" s="139"/>
      <c r="V199" s="154"/>
      <c r="W199" s="170"/>
      <c r="X199" s="424" t="str">
        <f t="shared" si="69"/>
        <v>West Sussex</v>
      </c>
      <c r="Y199" s="534">
        <f>IF(Year1_West_Sussex Year1_LAC_3_or_more_Placements="","",Year1_West_Sussex Year1_LAC_3_or_more_Placements)</f>
        <v>65</v>
      </c>
      <c r="Z199" s="424" t="str">
        <f>IF(Year2_West_Sussex Year2_LAC_3_or_more_Placements="","",Year2_West_Sussex Year2_LAC_3_or_more_Placements)</f>
        <v/>
      </c>
      <c r="AA199" s="424">
        <f>IF(Year3_West_Sussex Year3_LAC_3_or_more_Placements="","",Year3_West_Sussex Year3_LAC_3_or_more_Placements)</f>
        <v>70</v>
      </c>
      <c r="AB199" s="424">
        <f>IF(Year4_West_Sussex Year4_LAC_3_or_more_Placements="","",Year4_West_Sussex Year4_LAC_3_or_more_Placements)</f>
        <v>80</v>
      </c>
      <c r="AC199" s="634">
        <f>IF(Year5_West_Sussex Year5_LAC_3_or_more_Placements="","",Year5_West_Sussex Year5_LAC_3_or_more_Placements)</f>
        <v>99</v>
      </c>
      <c r="AD199" s="88"/>
      <c r="AE199" s="88"/>
      <c r="AF199" s="88"/>
      <c r="AG199" s="88"/>
      <c r="AH199" s="88"/>
      <c r="AI199" s="210"/>
      <c r="AJ199" s="178"/>
    </row>
    <row r="200" spans="1:43" s="101" customFormat="1" ht="12.75" customHeight="1" x14ac:dyDescent="0.2">
      <c r="A200" s="533">
        <f>VLOOKUP(B200,Sheet1!$B$4:$C$25,2,FALSE)</f>
        <v>0</v>
      </c>
      <c r="B200" s="112" t="str">
        <f t="shared" si="63"/>
        <v>Windsor &amp; Maidenhead</v>
      </c>
      <c r="C200" s="97"/>
      <c r="D200" s="182">
        <f t="shared" si="64"/>
        <v>0.14150943396226415</v>
      </c>
      <c r="E200" s="182" t="e">
        <f t="shared" si="65"/>
        <v>#N/A</v>
      </c>
      <c r="F200" s="182">
        <f t="shared" si="66"/>
        <v>0.16853932584269662</v>
      </c>
      <c r="G200" s="182">
        <f t="shared" si="67"/>
        <v>0.13761467889908258</v>
      </c>
      <c r="H200" s="184">
        <f t="shared" si="68"/>
        <v>0.13084112149532709</v>
      </c>
      <c r="I200" s="115"/>
      <c r="J200" s="115"/>
      <c r="K200" s="186"/>
      <c r="L200" s="186"/>
      <c r="M200" s="186"/>
      <c r="N200" s="186"/>
      <c r="O200" s="186"/>
      <c r="P200" s="186"/>
      <c r="Q200" s="187"/>
      <c r="R200" s="177"/>
      <c r="S200" s="177"/>
      <c r="T200" s="186"/>
      <c r="U200" s="139"/>
      <c r="V200" s="154"/>
      <c r="W200" s="170"/>
      <c r="X200" s="424" t="str">
        <f t="shared" si="69"/>
        <v>Windsor &amp; Maidenhead</v>
      </c>
      <c r="Y200" s="534">
        <f>IF(Year1_Windsor_Maidenhead Year1_LAC_3_or_more_Placements="","",Year1_Windsor_Maidenhead Year1_LAC_3_or_more_Placements)</f>
        <v>15</v>
      </c>
      <c r="Z200" s="424" t="str">
        <f>IF(Year2_Windsor_Maidenhead Year2_LAC_3_or_more_Placements="","",Year2_Windsor_Maidenhead Year2_LAC_3_or_more_Placements)</f>
        <v/>
      </c>
      <c r="AA200" s="424">
        <f>IF(Year3_Windsor_Maidenhead Year3_LAC_3_or_more_Placements="","",Year3_Windsor_Maidenhead Year3_LAC_3_or_more_Placements)</f>
        <v>15</v>
      </c>
      <c r="AB200" s="424">
        <f>IF(Year4_Windsor_Maidenhead Year4_LAC_3_or_more_Placements="","",Year4_Windsor_Maidenhead Year4_LAC_3_or_more_Placements)</f>
        <v>15</v>
      </c>
      <c r="AC200" s="634">
        <f>IF(Year5_Windsor_Maidenhead Year5_LAC_3_or_more_Placements="","",Year5_Windsor_Maidenhead Year5_LAC_3_or_more_Placements)</f>
        <v>14</v>
      </c>
      <c r="AD200" s="88"/>
      <c r="AE200" s="88"/>
      <c r="AF200" s="88"/>
      <c r="AG200" s="88"/>
      <c r="AH200" s="88"/>
      <c r="AI200" s="210"/>
      <c r="AJ200" s="178"/>
    </row>
    <row r="201" spans="1:43" s="101" customFormat="1" ht="12.75" customHeight="1" x14ac:dyDescent="0.2">
      <c r="A201" s="533">
        <f>VLOOKUP(B201,Sheet1!$B$4:$C$25,2,FALSE)</f>
        <v>0</v>
      </c>
      <c r="B201" s="112" t="str">
        <f t="shared" si="63"/>
        <v>Wokingham</v>
      </c>
      <c r="C201" s="97"/>
      <c r="D201" s="182">
        <f t="shared" si="64"/>
        <v>0.1388888888888889</v>
      </c>
      <c r="E201" s="182" t="e">
        <f t="shared" si="65"/>
        <v>#N/A</v>
      </c>
      <c r="F201" s="182">
        <f t="shared" si="66"/>
        <v>0.12345679012345678</v>
      </c>
      <c r="G201" s="182">
        <f t="shared" si="67"/>
        <v>0.2</v>
      </c>
      <c r="H201" s="184">
        <f t="shared" si="68"/>
        <v>0.13207547169811321</v>
      </c>
      <c r="I201" s="115"/>
      <c r="J201" s="115"/>
      <c r="K201" s="186"/>
      <c r="L201" s="186"/>
      <c r="M201" s="186"/>
      <c r="N201" s="186"/>
      <c r="O201" s="186"/>
      <c r="P201" s="186"/>
      <c r="Q201" s="187"/>
      <c r="R201" s="177"/>
      <c r="S201" s="177"/>
      <c r="T201" s="186"/>
      <c r="U201" s="139"/>
      <c r="V201" s="154"/>
      <c r="W201" s="170"/>
      <c r="X201" s="424" t="str">
        <f t="shared" si="69"/>
        <v>Wokingham</v>
      </c>
      <c r="Y201" s="534">
        <f>IF(Year1_Wokingham Year1_LAC_3_or_more_Placements="","",Year1_Wokingham Year1_LAC_3_or_more_Placements)</f>
        <v>10</v>
      </c>
      <c r="Z201" s="424" t="str">
        <f>IF(Year2_Wokingham Year2_LAC_3_or_more_Placements="","",Year2_Wokingham Year2_LAC_3_or_more_Placements)</f>
        <v/>
      </c>
      <c r="AA201" s="424">
        <f>IF(Year3_Wokingham Year3_LAC_3_or_more_Placements="","",Year3_Wokingham Year3_LAC_3_or_more_Placements)</f>
        <v>10</v>
      </c>
      <c r="AB201" s="424">
        <f>IF(Year4_Wokingham Year4_LAC_3_or_more_Placements="","",Year4_Wokingham Year4_LAC_3_or_more_Placements)</f>
        <v>15</v>
      </c>
      <c r="AC201" s="634">
        <f>IF(Year5_Wokingham Year5_LAC_3_or_more_Placements="","",Year5_Wokingham Year5_LAC_3_or_more_Placements)</f>
        <v>14</v>
      </c>
      <c r="AD201" s="88"/>
      <c r="AE201" s="88"/>
      <c r="AF201" s="88"/>
      <c r="AG201" s="88"/>
      <c r="AH201" s="88"/>
      <c r="AI201" s="210"/>
      <c r="AJ201" s="178"/>
    </row>
    <row r="202" spans="1:43" s="101" customFormat="1" ht="12.75" customHeight="1" x14ac:dyDescent="0.2">
      <c r="A202" s="138"/>
      <c r="B202" s="146" t="str">
        <f t="shared" si="63"/>
        <v>South East</v>
      </c>
      <c r="C202" s="97"/>
      <c r="D202" s="183">
        <f t="shared" si="64"/>
        <v>0.12234636871508379</v>
      </c>
      <c r="E202" s="183" t="e">
        <f t="shared" si="65"/>
        <v>#N/A</v>
      </c>
      <c r="F202" s="183">
        <f t="shared" si="66"/>
        <v>0.12208713272543059</v>
      </c>
      <c r="G202" s="183">
        <f t="shared" si="67"/>
        <v>0.11698880976602238</v>
      </c>
      <c r="H202" s="185">
        <f t="shared" si="68"/>
        <v>0.11899999999999999</v>
      </c>
      <c r="I202" s="115"/>
      <c r="J202" s="115"/>
      <c r="K202" s="188"/>
      <c r="L202" s="188"/>
      <c r="M202" s="188"/>
      <c r="N202" s="188"/>
      <c r="O202" s="188"/>
      <c r="P202" s="188"/>
      <c r="Q202" s="189"/>
      <c r="R202" s="177"/>
      <c r="S202" s="177"/>
      <c r="T202" s="190"/>
      <c r="U202" s="139"/>
      <c r="V202" s="154"/>
      <c r="W202" s="170"/>
      <c r="X202" s="424" t="str">
        <f t="shared" si="69"/>
        <v>South East</v>
      </c>
      <c r="Y202" s="662">
        <f>IF(Year1_SouthEast Year1_LAC_3_or_more_Placements="","",Year1_SouthEast Year1_LAC_3_or_more_Placements)</f>
        <v>1095</v>
      </c>
      <c r="Z202" s="662" t="str">
        <f>IF(Year2_SouthEast Year2_LAC_3_or_more_Placements="","",Year2_SouthEast Year2_LAC_3_or_more_Placements)</f>
        <v/>
      </c>
      <c r="AA202" s="662">
        <f>IF(Year3_SouthEast Year3_LAC_3_or_more_Placements="","",Year3_SouthEast Year3_LAC_3_or_more_Placements)</f>
        <v>1205</v>
      </c>
      <c r="AB202" s="424">
        <f>IF(Year4_SouthEast Year4_LAC_3_or_more_Placements="","",Year4_SouthEast Year4_LAC_3_or_more_Placements)</f>
        <v>1150</v>
      </c>
      <c r="AC202" s="634">
        <f>IF(Year5_SouthEast Year5_LAC_3_or_more_Placements="","",Year5_SouthEast Year5_LAC_3_or_more_Placements)</f>
        <v>1190</v>
      </c>
      <c r="AD202" s="88"/>
      <c r="AE202" s="88"/>
      <c r="AF202" s="88"/>
      <c r="AG202" s="88"/>
      <c r="AH202" s="88"/>
      <c r="AI202" s="210"/>
      <c r="AJ202" s="178"/>
    </row>
    <row r="203" spans="1:43" s="101" customFormat="1" ht="12.75" customHeight="1" x14ac:dyDescent="0.2">
      <c r="A203" s="138"/>
      <c r="B203" s="370" t="str">
        <f t="shared" si="63"/>
        <v>England</v>
      </c>
      <c r="C203" s="97"/>
      <c r="D203" s="401">
        <f t="shared" si="64"/>
        <v>0.10928644092428426</v>
      </c>
      <c r="E203" s="401" t="e">
        <f t="shared" si="65"/>
        <v>#N/A</v>
      </c>
      <c r="F203" s="401">
        <f t="shared" si="66"/>
        <v>0.10298295454545454</v>
      </c>
      <c r="G203" s="401">
        <f t="shared" si="67"/>
        <v>0.10359553657528585</v>
      </c>
      <c r="H203" s="402">
        <f t="shared" si="68"/>
        <v>0.10461416070007955</v>
      </c>
      <c r="I203" s="115"/>
      <c r="J203" s="115"/>
      <c r="K203" s="188"/>
      <c r="L203" s="188"/>
      <c r="M203" s="188"/>
      <c r="N203" s="188"/>
      <c r="O203" s="188"/>
      <c r="P203" s="188"/>
      <c r="Q203" s="189"/>
      <c r="R203" s="177"/>
      <c r="S203" s="177"/>
      <c r="T203" s="190"/>
      <c r="U203" s="139"/>
      <c r="V203" s="154"/>
      <c r="W203" s="170"/>
      <c r="X203" s="424" t="str">
        <f t="shared" si="69"/>
        <v>England</v>
      </c>
      <c r="Y203" s="662">
        <f>IF(Year1_England Year1_LAC_3_or_more_Placements="","",Year1_England Year1_LAC_3_or_more_Placements)</f>
        <v>7520</v>
      </c>
      <c r="Z203" s="662" t="str">
        <f>IF(Year2_England Year2_LAC_3_or_more_Placements="","",Year2_England Year2_LAC_3_or_more_Placements)</f>
        <v/>
      </c>
      <c r="AA203" s="662">
        <f>IF(Year3_England Year3_LAC_3_or_more_Placements="","",Year3_England Year3_LAC_3_or_more_Placements)</f>
        <v>7250</v>
      </c>
      <c r="AB203" s="424">
        <f>IF(Year4_England Year4_LAC_3_or_more_Placements="","",Year4_England Year4_LAC_3_or_more_Placements)</f>
        <v>7520</v>
      </c>
      <c r="AC203" s="634">
        <f>IF(Year5_England Year5_LAC_3_or_more_Placements="","",Year5_England Year5_LAC_3_or_more_Placements)</f>
        <v>7890</v>
      </c>
      <c r="AD203" s="88"/>
      <c r="AE203" s="88"/>
      <c r="AF203" s="88"/>
      <c r="AG203" s="88"/>
      <c r="AH203" s="88"/>
      <c r="AI203" s="210"/>
      <c r="AJ203" s="178"/>
    </row>
    <row r="204" spans="1:43" s="101" customFormat="1" ht="7.5" customHeight="1" x14ac:dyDescent="0.2">
      <c r="A204" s="324"/>
      <c r="B204" s="115"/>
      <c r="C204" s="115"/>
      <c r="D204" s="115"/>
      <c r="E204" s="115"/>
      <c r="F204" s="115"/>
      <c r="G204" s="115"/>
      <c r="H204" s="115"/>
      <c r="I204" s="115"/>
      <c r="J204" s="115"/>
      <c r="K204" s="188"/>
      <c r="L204" s="188"/>
      <c r="M204" s="188"/>
      <c r="N204" s="188"/>
      <c r="O204" s="188"/>
      <c r="P204" s="188"/>
      <c r="Q204" s="189"/>
      <c r="R204" s="177"/>
      <c r="S204" s="177"/>
      <c r="T204" s="190"/>
      <c r="U204" s="139"/>
      <c r="V204" s="154"/>
      <c r="W204" s="170"/>
      <c r="X204" s="88"/>
      <c r="Y204" s="88"/>
      <c r="Z204" s="223"/>
      <c r="AA204" s="223"/>
      <c r="AB204" s="224"/>
      <c r="AC204" s="88"/>
      <c r="AD204" s="88"/>
      <c r="AE204" s="88"/>
      <c r="AF204" s="88"/>
      <c r="AG204" s="88"/>
      <c r="AH204" s="88"/>
      <c r="AI204" s="210"/>
      <c r="AJ204" s="178"/>
    </row>
    <row r="205" spans="1:43" s="88" customFormat="1" ht="38.25" customHeight="1" x14ac:dyDescent="0.2">
      <c r="A205" s="249"/>
      <c r="B205" s="435"/>
      <c r="C205" s="435"/>
      <c r="D205" s="435"/>
      <c r="E205" s="435"/>
      <c r="F205" s="435"/>
      <c r="G205" s="435"/>
      <c r="H205" s="435"/>
      <c r="I205" s="435"/>
      <c r="J205" s="192"/>
      <c r="K205" s="192"/>
      <c r="L205" s="192"/>
      <c r="M205" s="192"/>
      <c r="N205" s="192"/>
      <c r="O205" s="192"/>
      <c r="P205" s="192"/>
      <c r="Q205" s="151"/>
      <c r="R205" s="192"/>
      <c r="S205" s="192"/>
      <c r="T205" s="192"/>
      <c r="U205" s="134"/>
      <c r="V205" s="152"/>
      <c r="W205" s="168"/>
      <c r="AC205" s="224"/>
      <c r="AD205" s="226"/>
      <c r="AE205" s="210"/>
      <c r="AF205" s="210"/>
      <c r="AG205" s="210"/>
      <c r="AI205" s="210"/>
      <c r="AJ205" s="179"/>
    </row>
    <row r="206" spans="1:43" s="88" customFormat="1" ht="39" customHeight="1" x14ac:dyDescent="0.2">
      <c r="A206" s="249"/>
      <c r="B206" s="435"/>
      <c r="C206" s="435"/>
      <c r="D206" s="435"/>
      <c r="E206" s="435"/>
      <c r="F206" s="435"/>
      <c r="G206" s="435"/>
      <c r="H206" s="435"/>
      <c r="I206" s="435"/>
      <c r="J206" s="192"/>
      <c r="K206" s="192"/>
      <c r="L206" s="192"/>
      <c r="M206" s="192"/>
      <c r="N206" s="192"/>
      <c r="O206" s="192"/>
      <c r="P206" s="192"/>
      <c r="Q206" s="151"/>
      <c r="R206" s="192"/>
      <c r="S206" s="192"/>
      <c r="T206" s="192"/>
      <c r="U206" s="134"/>
      <c r="V206" s="152"/>
      <c r="W206" s="168"/>
      <c r="Y206" s="217"/>
      <c r="AD206" s="226"/>
      <c r="AE206" s="210"/>
      <c r="AF206" s="210"/>
      <c r="AG206" s="210"/>
      <c r="AI206" s="210"/>
      <c r="AJ206" s="179"/>
    </row>
    <row r="207" spans="1:43" s="88" customFormat="1" ht="38.25" customHeight="1" x14ac:dyDescent="0.2">
      <c r="A207" s="249"/>
      <c r="B207" s="435"/>
      <c r="C207" s="435"/>
      <c r="D207" s="435"/>
      <c r="E207" s="435"/>
      <c r="F207" s="435"/>
      <c r="G207" s="435"/>
      <c r="H207" s="435"/>
      <c r="I207" s="435"/>
      <c r="J207" s="192"/>
      <c r="K207" s="192"/>
      <c r="L207" s="192"/>
      <c r="M207" s="192"/>
      <c r="N207" s="192"/>
      <c r="O207" s="192"/>
      <c r="P207" s="192"/>
      <c r="Q207" s="151"/>
      <c r="R207" s="192"/>
      <c r="S207" s="192"/>
      <c r="T207" s="192"/>
      <c r="U207" s="134"/>
      <c r="V207" s="152"/>
      <c r="W207" s="168"/>
      <c r="Y207" s="217"/>
      <c r="AD207" s="226"/>
      <c r="AE207" s="210"/>
      <c r="AF207" s="210"/>
      <c r="AG207" s="210"/>
      <c r="AI207" s="210"/>
      <c r="AJ207" s="179"/>
    </row>
    <row r="208" spans="1:43" s="88" customFormat="1" ht="7.5" customHeight="1" x14ac:dyDescent="0.2">
      <c r="A208" s="135"/>
      <c r="B208" s="18"/>
      <c r="C208" s="18"/>
      <c r="D208" s="17"/>
      <c r="E208" s="17"/>
      <c r="F208" s="17"/>
      <c r="G208" s="17"/>
      <c r="H208" s="17"/>
      <c r="I208" s="17"/>
      <c r="J208" s="13"/>
      <c r="K208" s="19"/>
      <c r="L208" s="19"/>
      <c r="M208" s="19"/>
      <c r="N208" s="19"/>
      <c r="O208" s="19"/>
      <c r="P208" s="19"/>
      <c r="Q208" s="19"/>
      <c r="R208" s="19"/>
      <c r="S208" s="19"/>
      <c r="T208" s="20"/>
      <c r="U208" s="134"/>
      <c r="V208" s="152"/>
      <c r="W208" s="168"/>
      <c r="Y208" s="217"/>
      <c r="AI208" s="210"/>
      <c r="AJ208" s="175"/>
      <c r="AK208" s="80"/>
      <c r="AL208" s="80"/>
      <c r="AM208" s="80"/>
      <c r="AN208" s="80"/>
      <c r="AO208" s="80"/>
      <c r="AP208" s="80"/>
      <c r="AQ208" s="80"/>
    </row>
    <row r="209" spans="1:45" s="88" customFormat="1" ht="15" customHeight="1" x14ac:dyDescent="0.2">
      <c r="A209" s="1010"/>
      <c r="B209" s="1018"/>
      <c r="C209" s="1018"/>
      <c r="D209" s="1018"/>
      <c r="E209" s="1018"/>
      <c r="F209" s="1018"/>
      <c r="G209" s="1018"/>
      <c r="H209" s="1018"/>
      <c r="I209" s="1018"/>
      <c r="J209" s="1018"/>
      <c r="K209" s="1018"/>
      <c r="L209" s="1018"/>
      <c r="M209" s="1018"/>
      <c r="N209" s="1018"/>
      <c r="O209" s="1018"/>
      <c r="P209" s="1018"/>
      <c r="Q209" s="1018"/>
      <c r="R209" s="1018"/>
      <c r="S209" s="1018"/>
      <c r="T209" s="1018"/>
      <c r="U209" s="1019"/>
      <c r="V209" s="152"/>
      <c r="W209" s="168"/>
      <c r="AJ209" s="179"/>
      <c r="AS209" s="80"/>
    </row>
    <row r="210" spans="1:45" s="88" customFormat="1" ht="11.25" customHeight="1" x14ac:dyDescent="0.2">
      <c r="A210" s="1020" t="str">
        <f>Home!$A$35</f>
        <v>LA's provide quarterly data on the condition that it is used by the benchmarking group for internal reporting only. Please DO NOT share other LA's data with any external partners or the public</v>
      </c>
      <c r="B210" s="1021"/>
      <c r="C210" s="1021"/>
      <c r="D210" s="1021"/>
      <c r="E210" s="1021"/>
      <c r="F210" s="1021"/>
      <c r="G210" s="1021"/>
      <c r="H210" s="1021"/>
      <c r="I210" s="1022"/>
      <c r="J210" s="1021"/>
      <c r="K210" s="1021"/>
      <c r="L210" s="1021"/>
      <c r="M210" s="1021"/>
      <c r="N210" s="1021"/>
      <c r="O210" s="1021"/>
      <c r="P210" s="1021"/>
      <c r="Q210" s="1021"/>
      <c r="R210" s="1021"/>
      <c r="S210" s="1022"/>
      <c r="T210" s="1021"/>
      <c r="U210" s="1023"/>
      <c r="V210" s="152"/>
      <c r="W210" s="168"/>
      <c r="AI210" s="210"/>
      <c r="AJ210" s="178"/>
      <c r="AK210" s="101"/>
      <c r="AS210" s="80"/>
    </row>
    <row r="211" spans="1:45" ht="11.25" customHeight="1" x14ac:dyDescent="0.2">
      <c r="A211" s="129"/>
      <c r="B211" s="130"/>
      <c r="C211" s="130"/>
      <c r="D211" s="130"/>
      <c r="E211" s="130"/>
      <c r="F211" s="130"/>
      <c r="G211" s="130"/>
      <c r="H211" s="130"/>
      <c r="I211" s="130"/>
      <c r="J211" s="131"/>
      <c r="K211" s="130"/>
      <c r="L211" s="130"/>
      <c r="M211" s="130"/>
      <c r="N211" s="130"/>
      <c r="O211" s="130"/>
      <c r="P211" s="130"/>
      <c r="Q211" s="130"/>
      <c r="R211" s="130"/>
      <c r="S211" s="130"/>
      <c r="T211" s="130"/>
      <c r="U211" s="132"/>
      <c r="V211" s="152"/>
      <c r="W211" s="168"/>
      <c r="X211" s="225"/>
      <c r="Y211" s="223"/>
      <c r="Z211" s="215"/>
      <c r="AI211" s="210"/>
      <c r="AJ211" s="178"/>
    </row>
    <row r="212" spans="1:45" s="82" customFormat="1" ht="15" customHeight="1" x14ac:dyDescent="0.2">
      <c r="A212" s="136"/>
      <c r="B212" s="1090" t="s">
        <v>196</v>
      </c>
      <c r="C212" s="1090"/>
      <c r="D212" s="1090"/>
      <c r="E212" s="1090"/>
      <c r="F212" s="1090"/>
      <c r="G212" s="1090"/>
      <c r="H212" s="1090"/>
      <c r="I212" s="1090"/>
      <c r="J212" s="70"/>
      <c r="K212" s="70"/>
      <c r="L212" s="70"/>
      <c r="M212" s="70"/>
      <c r="N212" s="477"/>
      <c r="O212" s="70"/>
      <c r="P212" s="70"/>
      <c r="Q212" s="70"/>
      <c r="R212" s="70"/>
      <c r="S212" s="70"/>
      <c r="T212" s="70"/>
      <c r="U212" s="137"/>
      <c r="V212" s="153"/>
      <c r="W212" s="169"/>
      <c r="X212" s="436" t="s">
        <v>198</v>
      </c>
      <c r="Y212" s="437"/>
      <c r="Z212" s="438"/>
      <c r="AA212" s="438"/>
      <c r="AB212" s="438"/>
      <c r="AC212" s="88"/>
      <c r="AD212" s="88"/>
      <c r="AE212" s="88"/>
      <c r="AF212" s="88"/>
      <c r="AG212" s="88"/>
      <c r="AH212" s="88"/>
      <c r="AI212" s="210"/>
      <c r="AJ212" s="178"/>
    </row>
    <row r="213" spans="1:45" ht="15" customHeight="1" x14ac:dyDescent="0.2">
      <c r="A213" s="135"/>
      <c r="B213" s="1090"/>
      <c r="C213" s="1090"/>
      <c r="D213" s="1090"/>
      <c r="E213" s="1090"/>
      <c r="F213" s="1090"/>
      <c r="G213" s="1090"/>
      <c r="H213" s="1090"/>
      <c r="I213" s="1090"/>
      <c r="J213" s="70"/>
      <c r="K213" s="70"/>
      <c r="L213" s="70"/>
      <c r="M213" s="70"/>
      <c r="N213" s="477"/>
      <c r="O213" s="70"/>
      <c r="P213" s="70"/>
      <c r="Q213" s="10"/>
      <c r="R213" s="70"/>
      <c r="S213" s="70"/>
      <c r="T213" s="70"/>
      <c r="U213" s="134"/>
      <c r="V213" s="152"/>
      <c r="W213" s="168"/>
      <c r="X213" s="438"/>
      <c r="Y213" s="437"/>
      <c r="Z213" s="438"/>
      <c r="AA213" s="438"/>
      <c r="AB213" s="438"/>
      <c r="AI213" s="210"/>
      <c r="AJ213" s="178"/>
    </row>
    <row r="214" spans="1:45" s="101" customFormat="1" ht="27" customHeight="1" x14ac:dyDescent="0.2">
      <c r="A214" s="138"/>
      <c r="B214" s="540" t="s">
        <v>215</v>
      </c>
      <c r="C214" s="97"/>
      <c r="D214" s="393">
        <f>D179</f>
        <v>2014</v>
      </c>
      <c r="E214" s="393">
        <f t="shared" ref="E214:H214" si="70">E179</f>
        <v>2015</v>
      </c>
      <c r="F214" s="393">
        <f t="shared" si="70"/>
        <v>2016</v>
      </c>
      <c r="G214" s="393">
        <f t="shared" si="70"/>
        <v>2017</v>
      </c>
      <c r="H214" s="394">
        <f t="shared" si="70"/>
        <v>2018</v>
      </c>
      <c r="I214" s="115"/>
      <c r="J214" s="115"/>
      <c r="K214" s="62"/>
      <c r="L214" s="62"/>
      <c r="M214" s="62"/>
      <c r="N214" s="62"/>
      <c r="O214" s="62"/>
      <c r="P214" s="453"/>
      <c r="Q214" s="453"/>
      <c r="R214" s="177"/>
      <c r="S214" s="177"/>
      <c r="T214" s="451"/>
      <c r="U214" s="139"/>
      <c r="V214" s="154"/>
      <c r="W214" s="170"/>
      <c r="X214" s="424"/>
      <c r="Y214" s="490">
        <f>D214</f>
        <v>2014</v>
      </c>
      <c r="Z214" s="490">
        <f t="shared" ref="Z214" si="71">E214</f>
        <v>2015</v>
      </c>
      <c r="AA214" s="490">
        <f t="shared" ref="AA214" si="72">F214</f>
        <v>2016</v>
      </c>
      <c r="AB214" s="490">
        <f t="shared" ref="AB214" si="73">G214</f>
        <v>2017</v>
      </c>
      <c r="AC214" s="635">
        <f t="shared" ref="AC214" si="74">H214</f>
        <v>2018</v>
      </c>
      <c r="AD214" s="668"/>
      <c r="AE214" s="88"/>
      <c r="AF214" s="88"/>
      <c r="AG214" s="88"/>
      <c r="AH214" s="88"/>
      <c r="AI214" s="210"/>
      <c r="AJ214" s="178"/>
    </row>
    <row r="215" spans="1:45" s="101" customFormat="1" ht="12.75" customHeight="1" x14ac:dyDescent="0.2">
      <c r="A215" s="533">
        <f>VLOOKUP(B215,Sheet1!$B$4:$C$25,2,FALSE)</f>
        <v>0</v>
      </c>
      <c r="B215" s="112" t="str">
        <f t="shared" ref="B215:B238" si="75">B180</f>
        <v>Bracknell Forest</v>
      </c>
      <c r="C215" s="97"/>
      <c r="D215" s="182" t="e">
        <f t="shared" ref="D215:D238" si="76">IF(AND(ISNUMBER(D9),ISNUMBER(Y215)),Y215/D9,NA())</f>
        <v>#N/A</v>
      </c>
      <c r="E215" s="182" t="e">
        <f t="shared" ref="E215:E238" si="77">IF(AND(ISNUMBER(E9),ISNUMBER(Z215)),Z215/E9,NA())</f>
        <v>#N/A</v>
      </c>
      <c r="F215" s="182" t="e">
        <f t="shared" ref="F215:F238" si="78">IF(AND(ISNUMBER(F9),ISNUMBER(AA215)),AA215/F9,NA())</f>
        <v>#N/A</v>
      </c>
      <c r="G215" s="182" t="e">
        <f t="shared" ref="G215:G238" si="79">IF(AND(ISNUMBER(G9),ISNUMBER(AB215)),AB215/G9,NA())</f>
        <v>#N/A</v>
      </c>
      <c r="H215" s="184" t="e">
        <f t="shared" ref="H215:H238" si="80">IF(AND(ISNUMBER(H9),ISNUMBER(AC215)),AC215/H9,NA())</f>
        <v>#N/A</v>
      </c>
      <c r="I215" s="115"/>
      <c r="J215" s="115"/>
      <c r="K215" s="186"/>
      <c r="L215" s="186"/>
      <c r="M215" s="186"/>
      <c r="N215" s="186"/>
      <c r="O215" s="186"/>
      <c r="P215" s="186"/>
      <c r="Q215" s="187"/>
      <c r="R215" s="177"/>
      <c r="S215" s="177"/>
      <c r="T215" s="186"/>
      <c r="U215" s="139"/>
      <c r="V215" s="154"/>
      <c r="W215" s="170"/>
      <c r="X215" s="491" t="str">
        <f>B215</f>
        <v>Bracknell Forest</v>
      </c>
      <c r="Y215" s="534" t="str">
        <f>IF(Year1_Bracknell_Forest Year1_LAC_UASC="","",Year1_Bracknell_Forest Year1_LAC_UASC)</f>
        <v>x</v>
      </c>
      <c r="Z215" s="424" t="str">
        <f>IF(Year2_Bracknell_Forest Year2_LAC_UASC="","",Year2_Bracknell_Forest Year2_LAC_UASC)</f>
        <v>x</v>
      </c>
      <c r="AA215" s="424" t="str">
        <f>IF(Year3_Bracknell_Forest Year3_LAC_UASC="","",Year3_Bracknell_Forest Year3_LAC_UASC)</f>
        <v>x</v>
      </c>
      <c r="AB215" s="424" t="str">
        <f>IF(Year4_Bracknell_Forest Year4_LAC_UASC="","",Year4_Bracknell_Forest Year4_LAC_UASC)</f>
        <v>x</v>
      </c>
      <c r="AC215" s="634" t="str">
        <f>IF(Year5_Bracknell_Forest Year5_LAC_UASC="","",Year5_Bracknell_Forest Year5_LAC_UASC)</f>
        <v>x</v>
      </c>
      <c r="AD215" s="88"/>
      <c r="AE215" s="88"/>
      <c r="AF215" s="88"/>
      <c r="AG215" s="88"/>
      <c r="AH215" s="88"/>
      <c r="AI215" s="210"/>
      <c r="AJ215" s="178"/>
    </row>
    <row r="216" spans="1:45" s="101" customFormat="1" ht="12.75" customHeight="1" x14ac:dyDescent="0.2">
      <c r="A216" s="533">
        <f>VLOOKUP(B216,Sheet1!$B$4:$C$25,2,FALSE)</f>
        <v>0</v>
      </c>
      <c r="B216" s="112" t="str">
        <f t="shared" si="75"/>
        <v>Brighton &amp; Hove</v>
      </c>
      <c r="C216" s="97"/>
      <c r="D216" s="182">
        <f t="shared" si="76"/>
        <v>1.948051948051948E-2</v>
      </c>
      <c r="E216" s="182">
        <f t="shared" si="77"/>
        <v>2.1186440677966101E-2</v>
      </c>
      <c r="F216" s="182">
        <f t="shared" si="78"/>
        <v>7.7625570776255703E-2</v>
      </c>
      <c r="G216" s="182">
        <f t="shared" si="79"/>
        <v>8.3333333333333329E-2</v>
      </c>
      <c r="H216" s="184">
        <f t="shared" si="80"/>
        <v>6.9377990430622011E-2</v>
      </c>
      <c r="I216" s="115"/>
      <c r="J216" s="115"/>
      <c r="K216" s="186"/>
      <c r="L216" s="186"/>
      <c r="M216" s="186"/>
      <c r="N216" s="186"/>
      <c r="O216" s="186"/>
      <c r="P216" s="186"/>
      <c r="Q216" s="187"/>
      <c r="R216" s="177"/>
      <c r="S216" s="177"/>
      <c r="T216" s="186"/>
      <c r="U216" s="139"/>
      <c r="V216" s="154"/>
      <c r="W216" s="170"/>
      <c r="X216" s="491" t="str">
        <f t="shared" ref="X216:X238" si="81">B216</f>
        <v>Brighton &amp; Hove</v>
      </c>
      <c r="Y216" s="534">
        <f>IF(Year1_Brighton_Hove Year1_LAC_UASC="","",Year1_Brighton_Hove Year1_LAC_UASC)</f>
        <v>9</v>
      </c>
      <c r="Z216" s="424">
        <f>IF(Year2_Brighton_Hove Year2_LAC_UASC="","",Year2_Brighton_Hove Year2_LAC_UASC)</f>
        <v>10</v>
      </c>
      <c r="AA216" s="424">
        <f>IF(Year3_Brighton_Hove Year3_LAC_UASC="","",Year3_Brighton_Hove Year3_LAC_UASC)</f>
        <v>34</v>
      </c>
      <c r="AB216" s="424">
        <f>IF(Year4_Brighton_Hove Year4_LAC_UASC="","",Year4_Brighton_Hove Year4_LAC_UASC)</f>
        <v>38</v>
      </c>
      <c r="AC216" s="634">
        <f>IF(Year5_Brighton_Hove Year5_LAC_UASC="","",Year5_Brighton_Hove Year5_LAC_UASC)</f>
        <v>29</v>
      </c>
      <c r="AD216" s="88"/>
      <c r="AE216" s="88"/>
      <c r="AF216" s="88"/>
      <c r="AG216" s="88"/>
      <c r="AH216" s="88"/>
      <c r="AI216" s="210"/>
      <c r="AJ216" s="178"/>
    </row>
    <row r="217" spans="1:45" s="101" customFormat="1" ht="12.75" customHeight="1" x14ac:dyDescent="0.2">
      <c r="A217" s="533">
        <f>VLOOKUP(B217,Sheet1!$B$4:$C$25,2,FALSE)</f>
        <v>0</v>
      </c>
      <c r="B217" s="112" t="str">
        <f t="shared" si="75"/>
        <v>Buckinghamshire</v>
      </c>
      <c r="C217" s="97"/>
      <c r="D217" s="182">
        <f t="shared" si="76"/>
        <v>3.8812785388127852E-2</v>
      </c>
      <c r="E217" s="182">
        <f t="shared" si="77"/>
        <v>4.1379310344827586E-2</v>
      </c>
      <c r="F217" s="182">
        <f t="shared" si="78"/>
        <v>4.1394335511982572E-2</v>
      </c>
      <c r="G217" s="182">
        <f t="shared" si="79"/>
        <v>5.2863436123348019E-2</v>
      </c>
      <c r="H217" s="184">
        <f t="shared" si="80"/>
        <v>7.3684210526315783E-2</v>
      </c>
      <c r="I217" s="115"/>
      <c r="J217" s="115"/>
      <c r="K217" s="186"/>
      <c r="L217" s="186"/>
      <c r="M217" s="186"/>
      <c r="N217" s="186"/>
      <c r="O217" s="186"/>
      <c r="P217" s="186"/>
      <c r="Q217" s="187"/>
      <c r="R217" s="177"/>
      <c r="S217" s="177"/>
      <c r="T217" s="186"/>
      <c r="U217" s="139"/>
      <c r="V217" s="154"/>
      <c r="W217" s="170"/>
      <c r="X217" s="491" t="str">
        <f t="shared" si="81"/>
        <v>Buckinghamshire</v>
      </c>
      <c r="Y217" s="534">
        <f>IF(Year1_Buckinghamshire Year1_LAC_UASC="","",Year1_Buckinghamshire Year1_LAC_UASC)</f>
        <v>17</v>
      </c>
      <c r="Z217" s="424">
        <f>IF(Year2_Buckinghamshire Year2_LAC_UASC="","",Year2_Buckinghamshire Year2_LAC_UASC)</f>
        <v>18</v>
      </c>
      <c r="AA217" s="424">
        <f>IF(Year3_Buckinghamshire Year3_LAC_UASC="","",Year3_Buckinghamshire Year3_LAC_UASC)</f>
        <v>19</v>
      </c>
      <c r="AB217" s="424">
        <f>IF(Year4_Buckinghamshire Year4_LAC_UASC="","",Year4_Buckinghamshire Year4_LAC_UASC)</f>
        <v>24</v>
      </c>
      <c r="AC217" s="634">
        <f>IF(Year5_Buckinghamshire Year5_LAC_UASC="","",Year5_Buckinghamshire Year5_LAC_UASC)</f>
        <v>35</v>
      </c>
      <c r="AD217" s="88"/>
      <c r="AE217" s="88"/>
      <c r="AF217" s="88"/>
      <c r="AG217" s="88"/>
      <c r="AH217" s="88"/>
      <c r="AI217" s="210"/>
      <c r="AJ217" s="178"/>
    </row>
    <row r="218" spans="1:45" s="101" customFormat="1" ht="12.75" customHeight="1" x14ac:dyDescent="0.2">
      <c r="A218" s="533">
        <f>VLOOKUP(B218,Sheet1!$B$4:$C$25,2,FALSE)</f>
        <v>0</v>
      </c>
      <c r="B218" s="112" t="str">
        <f t="shared" si="75"/>
        <v>East Sussex</v>
      </c>
      <c r="C218" s="97"/>
      <c r="D218" s="182" t="e">
        <f t="shared" si="76"/>
        <v>#N/A</v>
      </c>
      <c r="E218" s="182">
        <f t="shared" si="77"/>
        <v>1.098901098901099E-2</v>
      </c>
      <c r="F218" s="182">
        <f t="shared" si="78"/>
        <v>3.1307550644567222E-2</v>
      </c>
      <c r="G218" s="182">
        <f t="shared" si="79"/>
        <v>4.3243243243243246E-2</v>
      </c>
      <c r="H218" s="184">
        <f t="shared" si="80"/>
        <v>3.316749585406302E-2</v>
      </c>
      <c r="I218" s="115"/>
      <c r="J218" s="115"/>
      <c r="K218" s="186"/>
      <c r="L218" s="186"/>
      <c r="M218" s="186"/>
      <c r="N218" s="186"/>
      <c r="O218" s="186"/>
      <c r="P218" s="186"/>
      <c r="Q218" s="187"/>
      <c r="R218" s="177"/>
      <c r="S218" s="177"/>
      <c r="T218" s="186"/>
      <c r="U218" s="139"/>
      <c r="V218" s="154"/>
      <c r="W218" s="170"/>
      <c r="X218" s="491" t="str">
        <f t="shared" si="81"/>
        <v>East Sussex</v>
      </c>
      <c r="Y218" s="534" t="str">
        <f>IF(Year1_East_Sussex Year1_LAC_UASC="","",Year1_East_Sussex Year1_LAC_UASC)</f>
        <v>x</v>
      </c>
      <c r="Z218" s="424">
        <f>IF(Year2_East_Sussex Year2_LAC_UASC="","",Year2_East_Sussex Year2_LAC_UASC)</f>
        <v>6</v>
      </c>
      <c r="AA218" s="424">
        <f>IF(Year3_East_Sussex Year3_LAC_UASC="","",Year3_East_Sussex Year3_LAC_UASC)</f>
        <v>17</v>
      </c>
      <c r="AB218" s="424">
        <f>IF(Year4_East_Sussex Year4_LAC_UASC="","",Year4_East_Sussex Year4_LAC_UASC)</f>
        <v>24</v>
      </c>
      <c r="AC218" s="634">
        <f>IF(Year5_East_Sussex Year5_LAC_UASC="","",Year5_East_Sussex Year5_LAC_UASC)</f>
        <v>20</v>
      </c>
      <c r="AD218" s="88"/>
      <c r="AE218" s="88"/>
      <c r="AF218" s="88"/>
      <c r="AG218" s="88"/>
      <c r="AH218" s="88"/>
      <c r="AI218" s="210"/>
      <c r="AJ218" s="178"/>
    </row>
    <row r="219" spans="1:45" s="101" customFormat="1" ht="12.75" customHeight="1" x14ac:dyDescent="0.2">
      <c r="A219" s="533">
        <f>VLOOKUP(B219,Sheet1!$B$4:$C$25,2,FALSE)</f>
        <v>0</v>
      </c>
      <c r="B219" s="112" t="str">
        <f t="shared" si="75"/>
        <v>Hampshire</v>
      </c>
      <c r="C219" s="97"/>
      <c r="D219" s="182">
        <f t="shared" si="76"/>
        <v>2.1343873517786563E-2</v>
      </c>
      <c r="E219" s="182">
        <f t="shared" si="77"/>
        <v>1.5003750937734433E-2</v>
      </c>
      <c r="F219" s="182">
        <f t="shared" si="78"/>
        <v>2.2222222222222223E-2</v>
      </c>
      <c r="G219" s="182">
        <f t="shared" si="79"/>
        <v>5.5555555555555552E-2</v>
      </c>
      <c r="H219" s="184">
        <f t="shared" si="80"/>
        <v>7.0263488080301126E-2</v>
      </c>
      <c r="I219" s="115"/>
      <c r="J219" s="115"/>
      <c r="K219" s="186"/>
      <c r="L219" s="186"/>
      <c r="M219" s="186"/>
      <c r="N219" s="186"/>
      <c r="O219" s="186"/>
      <c r="P219" s="186"/>
      <c r="Q219" s="187"/>
      <c r="R219" s="177"/>
      <c r="S219" s="177"/>
      <c r="T219" s="186"/>
      <c r="U219" s="139"/>
      <c r="V219" s="154"/>
      <c r="W219" s="170"/>
      <c r="X219" s="491" t="str">
        <f t="shared" si="81"/>
        <v>Hampshire</v>
      </c>
      <c r="Y219" s="534">
        <f>IF(Year1_Hampshire Year1_LAC_UASC="","",Year1_Hampshire Year1_LAC_UASC)</f>
        <v>27</v>
      </c>
      <c r="Z219" s="424">
        <f>IF(Year2_Hampshire Year2_LAC_UASC="","",Year2_Hampshire Year2_LAC_UASC)</f>
        <v>20</v>
      </c>
      <c r="AA219" s="424">
        <f>IF(Year3_Hampshire Year3_LAC_UASC="","",Year3_Hampshire Year3_LAC_UASC)</f>
        <v>29</v>
      </c>
      <c r="AB219" s="424">
        <f>IF(Year4_Hampshire Year4_LAC_UASC="","",Year4_Hampshire Year4_LAC_UASC)</f>
        <v>80</v>
      </c>
      <c r="AC219" s="634">
        <f>IF(Year5_Hampshire Year5_LAC_UASC="","",Year5_Hampshire Year5_LAC_UASC)</f>
        <v>112</v>
      </c>
      <c r="AD219" s="88"/>
      <c r="AE219" s="88"/>
      <c r="AF219" s="88"/>
      <c r="AG219" s="88"/>
      <c r="AH219" s="88"/>
      <c r="AI219" s="210"/>
      <c r="AJ219" s="178"/>
    </row>
    <row r="220" spans="1:45" s="101" customFormat="1" ht="12.75" customHeight="1" x14ac:dyDescent="0.2">
      <c r="A220" s="533">
        <f>VLOOKUP(B220,Sheet1!$B$4:$C$25,2,FALSE)</f>
        <v>0</v>
      </c>
      <c r="B220" s="112" t="str">
        <f t="shared" si="75"/>
        <v>Isle of Wight</v>
      </c>
      <c r="C220" s="97"/>
      <c r="D220" s="182">
        <f t="shared" si="76"/>
        <v>0</v>
      </c>
      <c r="E220" s="182">
        <f t="shared" si="77"/>
        <v>0</v>
      </c>
      <c r="F220" s="182">
        <f t="shared" si="78"/>
        <v>0</v>
      </c>
      <c r="G220" s="182">
        <f t="shared" si="79"/>
        <v>3.0701754385964911E-2</v>
      </c>
      <c r="H220" s="184">
        <f t="shared" si="80"/>
        <v>3.0973451327433628E-2</v>
      </c>
      <c r="I220" s="115"/>
      <c r="J220" s="115"/>
      <c r="K220" s="186"/>
      <c r="L220" s="186"/>
      <c r="M220" s="186"/>
      <c r="N220" s="186"/>
      <c r="O220" s="186"/>
      <c r="P220" s="186"/>
      <c r="Q220" s="187"/>
      <c r="R220" s="177"/>
      <c r="S220" s="177"/>
      <c r="T220" s="186"/>
      <c r="U220" s="139"/>
      <c r="V220" s="154"/>
      <c r="W220" s="170"/>
      <c r="X220" s="491" t="str">
        <f t="shared" si="81"/>
        <v>Isle of Wight</v>
      </c>
      <c r="Y220" s="534">
        <f>IF(Year1_Isle_of_Wight Year1_LAC_UASC="","",Year1_Isle_of_Wight Year1_LAC_UASC)</f>
        <v>0</v>
      </c>
      <c r="Z220" s="424">
        <f>IF(Year2_Isle_of_Wight Year2_LAC_UASC="","",Year2_Isle_of_Wight Year2_LAC_UASC)</f>
        <v>0</v>
      </c>
      <c r="AA220" s="424">
        <f>IF(Year3_Isle_of_Wight Year3_LAC_UASC="","",Year3_Isle_of_Wight Year3_LAC_UASC)</f>
        <v>0</v>
      </c>
      <c r="AB220" s="424">
        <f>IF(Year4_Isle_of_Wight Year4_LAC_UASC="","",Year4_Isle_of_Wight Year4_LAC_UASC)</f>
        <v>7</v>
      </c>
      <c r="AC220" s="634">
        <f>IF(Year5_Isle_of_Wight Year5_LAC_UASC="","",Year5_Isle_of_Wight Year5_LAC_UASC)</f>
        <v>7</v>
      </c>
      <c r="AD220" s="88"/>
      <c r="AE220" s="88"/>
      <c r="AF220" s="88"/>
      <c r="AG220" s="88"/>
      <c r="AH220" s="88"/>
      <c r="AI220" s="210"/>
      <c r="AJ220" s="178"/>
      <c r="AR220" s="101" t="s">
        <v>104</v>
      </c>
    </row>
    <row r="221" spans="1:45" s="101" customFormat="1" ht="12.75" customHeight="1" x14ac:dyDescent="0.2">
      <c r="A221" s="533">
        <f>VLOOKUP(B221,Sheet1!$B$4:$C$25,2,FALSE)</f>
        <v>0</v>
      </c>
      <c r="B221" s="112" t="str">
        <f t="shared" si="75"/>
        <v>Kent</v>
      </c>
      <c r="C221" s="97"/>
      <c r="D221" s="182">
        <f t="shared" si="76"/>
        <v>0.11758241758241758</v>
      </c>
      <c r="E221" s="182">
        <f t="shared" si="77"/>
        <v>0.19657204070701662</v>
      </c>
      <c r="F221" s="182">
        <f t="shared" si="78"/>
        <v>0.37510803802938636</v>
      </c>
      <c r="G221" s="182">
        <f t="shared" si="79"/>
        <v>0.25499474237644587</v>
      </c>
      <c r="H221" s="184">
        <f t="shared" si="80"/>
        <v>0.14285714285714285</v>
      </c>
      <c r="I221" s="115"/>
      <c r="J221" s="115"/>
      <c r="K221" s="186"/>
      <c r="L221" s="186"/>
      <c r="M221" s="186"/>
      <c r="N221" s="186"/>
      <c r="O221" s="186"/>
      <c r="P221" s="186"/>
      <c r="Q221" s="187"/>
      <c r="R221" s="177"/>
      <c r="S221" s="177"/>
      <c r="T221" s="186"/>
      <c r="U221" s="139"/>
      <c r="V221" s="154"/>
      <c r="W221" s="170"/>
      <c r="X221" s="491" t="str">
        <f t="shared" si="81"/>
        <v>Kent</v>
      </c>
      <c r="Y221" s="534">
        <f>IF(Year1_Kent Year1_LAC_UASC="","",Year1_Kent Year1_LAC_UASC)</f>
        <v>214</v>
      </c>
      <c r="Z221" s="424">
        <f>IF(Year2_Kent Year2_LAC_UASC="","",Year2_Kent Year2_LAC_UASC)</f>
        <v>367</v>
      </c>
      <c r="AA221" s="424">
        <f>IF(Year3_Kent Year3_LAC_UASC="","",Year3_Kent Year3_LAC_UASC)</f>
        <v>868</v>
      </c>
      <c r="AB221" s="424">
        <f>IF(Year4_Kent Year4_LAC_UASC="","",Year4_Kent Year4_LAC_UASC)</f>
        <v>485</v>
      </c>
      <c r="AC221" s="634">
        <f>IF(Year5_Kent Year5_LAC_UASC="","",Year5_Kent Year5_LAC_UASC)</f>
        <v>235</v>
      </c>
      <c r="AD221" s="88"/>
      <c r="AE221" s="88"/>
      <c r="AF221" s="88"/>
      <c r="AG221" s="88"/>
      <c r="AH221" s="88"/>
      <c r="AI221" s="210"/>
      <c r="AJ221" s="178"/>
    </row>
    <row r="222" spans="1:45" s="101" customFormat="1" ht="12.75" customHeight="1" x14ac:dyDescent="0.2">
      <c r="A222" s="533">
        <f>VLOOKUP(B222,Sheet1!$B$4:$C$25,2,FALSE)</f>
        <v>0</v>
      </c>
      <c r="B222" s="112" t="str">
        <f t="shared" si="75"/>
        <v>Medway</v>
      </c>
      <c r="C222" s="97"/>
      <c r="D222" s="182">
        <f t="shared" si="76"/>
        <v>0</v>
      </c>
      <c r="E222" s="182" t="e">
        <f t="shared" si="77"/>
        <v>#N/A</v>
      </c>
      <c r="F222" s="182" t="e">
        <f t="shared" si="78"/>
        <v>#N/A</v>
      </c>
      <c r="G222" s="182" t="e">
        <f t="shared" si="79"/>
        <v>#N/A</v>
      </c>
      <c r="H222" s="184" t="e">
        <f t="shared" si="80"/>
        <v>#N/A</v>
      </c>
      <c r="I222" s="115"/>
      <c r="J222" s="115"/>
      <c r="K222" s="186"/>
      <c r="L222" s="186"/>
      <c r="M222" s="186"/>
      <c r="N222" s="186"/>
      <c r="O222" s="186"/>
      <c r="P222" s="186"/>
      <c r="Q222" s="187"/>
      <c r="R222" s="177"/>
      <c r="S222" s="177"/>
      <c r="T222" s="186"/>
      <c r="U222" s="139"/>
      <c r="V222" s="154"/>
      <c r="W222" s="170"/>
      <c r="X222" s="491" t="str">
        <f t="shared" si="81"/>
        <v>Medway</v>
      </c>
      <c r="Y222" s="534">
        <f>IF(Year1_Medway Year1_LAC_UASC="","",Year1_Medway Year1_LAC_UASC)</f>
        <v>0</v>
      </c>
      <c r="Z222" s="424" t="str">
        <f>IF(Year2_Medway Year2_LAC_UASC="","",Year2_Medway Year2_LAC_UASC)</f>
        <v>x</v>
      </c>
      <c r="AA222" s="424" t="str">
        <f>IF(Year3_Medway Year3_LAC_UASC="","",Year3_Medway Year3_LAC_UASC)</f>
        <v>x</v>
      </c>
      <c r="AB222" s="424" t="str">
        <f>IF(Year4_Medway Year4_LAC_UASC="","",Year4_Medway Year4_LAC_UASC)</f>
        <v>x</v>
      </c>
      <c r="AC222" s="634" t="str">
        <f>IF(Year5_Medway Year5_LAC_UASC="","",Year5_Medway Year5_LAC_UASC)</f>
        <v>x</v>
      </c>
      <c r="AD222" s="88"/>
      <c r="AE222" s="88"/>
      <c r="AF222" s="88"/>
      <c r="AG222" s="88"/>
      <c r="AH222" s="88"/>
      <c r="AI222" s="210"/>
      <c r="AJ222" s="178"/>
    </row>
    <row r="223" spans="1:45" s="101" customFormat="1" ht="12.75" customHeight="1" x14ac:dyDescent="0.2">
      <c r="A223" s="533">
        <f>VLOOKUP(B223,Sheet1!$B$4:$C$25,2,FALSE)</f>
        <v>0</v>
      </c>
      <c r="B223" s="112" t="str">
        <f t="shared" si="75"/>
        <v>Milton Keynes</v>
      </c>
      <c r="C223" s="97"/>
      <c r="D223" s="182">
        <f t="shared" si="76"/>
        <v>2.6402640264026403E-2</v>
      </c>
      <c r="E223" s="182">
        <f t="shared" si="77"/>
        <v>7.3746312684365781E-2</v>
      </c>
      <c r="F223" s="182">
        <f t="shared" si="78"/>
        <v>0.11884057971014493</v>
      </c>
      <c r="G223" s="182">
        <f t="shared" si="79"/>
        <v>0.10353535353535354</v>
      </c>
      <c r="H223" s="184">
        <f t="shared" si="80"/>
        <v>6.6496163682864456E-2</v>
      </c>
      <c r="I223" s="115"/>
      <c r="J223" s="115"/>
      <c r="K223" s="186"/>
      <c r="L223" s="186"/>
      <c r="M223" s="186"/>
      <c r="N223" s="186"/>
      <c r="O223" s="186"/>
      <c r="P223" s="186"/>
      <c r="Q223" s="187"/>
      <c r="R223" s="177"/>
      <c r="S223" s="177"/>
      <c r="T223" s="186"/>
      <c r="U223" s="139"/>
      <c r="V223" s="154"/>
      <c r="W223" s="170"/>
      <c r="X223" s="491" t="str">
        <f t="shared" si="81"/>
        <v>Milton Keynes</v>
      </c>
      <c r="Y223" s="534">
        <f>IF(Year1_Milton_Keynes Year1_LAC_UASC="","",Year1_Milton_Keynes Year1_LAC_UASC)</f>
        <v>8</v>
      </c>
      <c r="Z223" s="424">
        <f>IF(Year2_Milton_Keynes Year2_LAC_UASC="","",Year2_Milton_Keynes Year2_LAC_UASC)</f>
        <v>25</v>
      </c>
      <c r="AA223" s="424">
        <f>IF(Year3_Milton_Keynes Year3_LAC_UASC="","",Year3_Milton_Keynes Year3_LAC_UASC)</f>
        <v>41</v>
      </c>
      <c r="AB223" s="424">
        <f>IF(Year4_Milton_Keynes Year4_LAC_UASC="","",Year4_Milton_Keynes Year4_LAC_UASC)</f>
        <v>41</v>
      </c>
      <c r="AC223" s="634">
        <f>IF(Year5_Milton_Keynes Year5_LAC_UASC="","",Year5_Milton_Keynes Year5_LAC_UASC)</f>
        <v>26</v>
      </c>
      <c r="AD223" s="88"/>
      <c r="AE223" s="88"/>
      <c r="AF223" s="88"/>
      <c r="AG223" s="88"/>
      <c r="AH223" s="88"/>
      <c r="AI223" s="210"/>
      <c r="AJ223" s="178"/>
    </row>
    <row r="224" spans="1:45" s="101" customFormat="1" ht="12.75" customHeight="1" x14ac:dyDescent="0.2">
      <c r="A224" s="533">
        <f>VLOOKUP(B224,Sheet1!$B$4:$C$25,2,FALSE)</f>
        <v>0</v>
      </c>
      <c r="B224" s="112" t="str">
        <f t="shared" si="75"/>
        <v>Oxfordshire</v>
      </c>
      <c r="C224" s="97"/>
      <c r="D224" s="182">
        <f t="shared" si="76"/>
        <v>4.3290043290043288E-2</v>
      </c>
      <c r="E224" s="182">
        <f t="shared" si="77"/>
        <v>8.2352941176470587E-2</v>
      </c>
      <c r="F224" s="182">
        <f t="shared" si="78"/>
        <v>9.7807757166947729E-2</v>
      </c>
      <c r="G224" s="182">
        <f t="shared" si="79"/>
        <v>8.1081081081081086E-2</v>
      </c>
      <c r="H224" s="184">
        <f t="shared" si="80"/>
        <v>8.3211678832116789E-2</v>
      </c>
      <c r="I224" s="115"/>
      <c r="J224" s="115"/>
      <c r="K224" s="186"/>
      <c r="L224" s="186"/>
      <c r="M224" s="186"/>
      <c r="N224" s="186"/>
      <c r="O224" s="186"/>
      <c r="P224" s="186"/>
      <c r="Q224" s="187"/>
      <c r="R224" s="177"/>
      <c r="S224" s="177"/>
      <c r="T224" s="186"/>
      <c r="U224" s="139"/>
      <c r="V224" s="154"/>
      <c r="W224" s="170"/>
      <c r="X224" s="491" t="str">
        <f t="shared" si="81"/>
        <v>Oxfordshire</v>
      </c>
      <c r="Y224" s="534">
        <f>IF(Year1_Oxfordshire Year1_LAC_UASC="","",Year1_Oxfordshire Year1_LAC_UASC)</f>
        <v>20</v>
      </c>
      <c r="Z224" s="424">
        <f>IF(Year2_Oxfordshire Year2_LAC_UASC="","",Year2_Oxfordshire Year2_LAC_UASC)</f>
        <v>42</v>
      </c>
      <c r="AA224" s="424">
        <f>IF(Year3_Oxfordshire Year3_LAC_UASC="","",Year3_Oxfordshire Year3_LAC_UASC)</f>
        <v>58</v>
      </c>
      <c r="AB224" s="424">
        <f>IF(Year4_Oxfordshire Year4_LAC_UASC="","",Year4_Oxfordshire Year4_LAC_UASC)</f>
        <v>54</v>
      </c>
      <c r="AC224" s="634">
        <f>IF(Year5_Oxfordshire Year5_LAC_UASC="","",Year5_Oxfordshire Year5_LAC_UASC)</f>
        <v>57</v>
      </c>
      <c r="AD224" s="88"/>
      <c r="AE224" s="88"/>
      <c r="AF224" s="88"/>
      <c r="AG224" s="88"/>
      <c r="AH224" s="88"/>
      <c r="AI224" s="210"/>
      <c r="AJ224" s="178"/>
    </row>
    <row r="225" spans="1:36" s="101" customFormat="1" ht="12.75" customHeight="1" x14ac:dyDescent="0.2">
      <c r="A225" s="533">
        <f>VLOOKUP(B225,Sheet1!$B$4:$C$25,2,FALSE)</f>
        <v>0</v>
      </c>
      <c r="B225" s="112" t="str">
        <f t="shared" si="75"/>
        <v>Portsmouth</v>
      </c>
      <c r="C225" s="97"/>
      <c r="D225" s="182">
        <f t="shared" si="76"/>
        <v>2.8301886792452831E-2</v>
      </c>
      <c r="E225" s="182">
        <f t="shared" si="77"/>
        <v>2.8125000000000001E-2</v>
      </c>
      <c r="F225" s="182">
        <f t="shared" si="78"/>
        <v>9.9378881987577633E-2</v>
      </c>
      <c r="G225" s="182">
        <f t="shared" si="79"/>
        <v>0.12569832402234637</v>
      </c>
      <c r="H225" s="184">
        <f t="shared" si="80"/>
        <v>0.17349397590361446</v>
      </c>
      <c r="I225" s="115"/>
      <c r="J225" s="115"/>
      <c r="K225" s="186"/>
      <c r="L225" s="186"/>
      <c r="M225" s="186"/>
      <c r="N225" s="186"/>
      <c r="O225" s="186"/>
      <c r="P225" s="186"/>
      <c r="Q225" s="187"/>
      <c r="R225" s="177"/>
      <c r="S225" s="177"/>
      <c r="T225" s="186"/>
      <c r="U225" s="139"/>
      <c r="V225" s="154"/>
      <c r="W225" s="170"/>
      <c r="X225" s="491" t="str">
        <f t="shared" si="81"/>
        <v>Portsmouth</v>
      </c>
      <c r="Y225" s="534">
        <f>IF(Year1_Portsmouth Year1_LAC_UASC="","",Year1_Portsmouth Year1_LAC_UASC)</f>
        <v>9</v>
      </c>
      <c r="Z225" s="424">
        <f>IF(Year2_Portsmouth Year2_LAC_UASC="","",Year2_Portsmouth Year2_LAC_UASC)</f>
        <v>9</v>
      </c>
      <c r="AA225" s="424">
        <f>IF(Year3_Portsmouth Year3_LAC_UASC="","",Year3_Portsmouth Year3_LAC_UASC)</f>
        <v>32</v>
      </c>
      <c r="AB225" s="424">
        <f>IF(Year4_Portsmouth Year4_LAC_UASC="","",Year4_Portsmouth Year4_LAC_UASC)</f>
        <v>45</v>
      </c>
      <c r="AC225" s="634">
        <f>IF(Year5_Portsmouth Year5_LAC_UASC="","",Year5_Portsmouth Year5_LAC_UASC)</f>
        <v>72</v>
      </c>
      <c r="AD225" s="88"/>
      <c r="AE225" s="88"/>
      <c r="AF225" s="88"/>
      <c r="AG225" s="88"/>
      <c r="AH225" s="88"/>
      <c r="AI225" s="210"/>
      <c r="AJ225" s="178"/>
    </row>
    <row r="226" spans="1:36" s="101" customFormat="1" ht="12.75" customHeight="1" x14ac:dyDescent="0.2">
      <c r="A226" s="533">
        <f>VLOOKUP(B226,Sheet1!$B$4:$C$25,2,FALSE)</f>
        <v>0</v>
      </c>
      <c r="B226" s="112" t="str">
        <f t="shared" si="75"/>
        <v>Reading</v>
      </c>
      <c r="C226" s="97"/>
      <c r="D226" s="182" t="e">
        <f t="shared" si="76"/>
        <v>#N/A</v>
      </c>
      <c r="E226" s="182" t="e">
        <f t="shared" si="77"/>
        <v>#N/A</v>
      </c>
      <c r="F226" s="182">
        <f t="shared" si="78"/>
        <v>2.7272727272727271E-2</v>
      </c>
      <c r="G226" s="182">
        <f t="shared" si="79"/>
        <v>4.1825095057034217E-2</v>
      </c>
      <c r="H226" s="184">
        <f t="shared" si="80"/>
        <v>3.237410071942446E-2</v>
      </c>
      <c r="I226" s="115"/>
      <c r="J226" s="115"/>
      <c r="K226" s="186"/>
      <c r="L226" s="186"/>
      <c r="M226" s="186"/>
      <c r="N226" s="186"/>
      <c r="O226" s="186"/>
      <c r="P226" s="186"/>
      <c r="Q226" s="187"/>
      <c r="R226" s="177"/>
      <c r="S226" s="177"/>
      <c r="T226" s="186"/>
      <c r="U226" s="139"/>
      <c r="V226" s="154"/>
      <c r="W226" s="170"/>
      <c r="X226" s="491" t="str">
        <f t="shared" si="81"/>
        <v>Reading</v>
      </c>
      <c r="Y226" s="534" t="str">
        <f>IF(Year1_Reading Year1_LAC_UASC="","",Year1_Reading Year1_LAC_UASC)</f>
        <v>x</v>
      </c>
      <c r="Z226" s="424" t="str">
        <f>IF(Year2_Reading Year2_LAC_UASC="","",Year2_Reading Year2_LAC_UASC)</f>
        <v>x</v>
      </c>
      <c r="AA226" s="424">
        <f>IF(Year3_Reading Year3_LAC_UASC="","",Year3_Reading Year3_LAC_UASC)</f>
        <v>6</v>
      </c>
      <c r="AB226" s="424">
        <f>IF(Year4_Reading Year4_LAC_UASC="","",Year4_Reading Year4_LAC_UASC)</f>
        <v>11</v>
      </c>
      <c r="AC226" s="634">
        <f>IF(Year5_Reading Year5_LAC_UASC="","",Year5_Reading Year5_LAC_UASC)</f>
        <v>9</v>
      </c>
      <c r="AD226" s="88"/>
      <c r="AE226" s="88"/>
      <c r="AF226" s="88"/>
      <c r="AG226" s="88"/>
      <c r="AH226" s="88"/>
      <c r="AI226" s="210"/>
      <c r="AJ226" s="178"/>
    </row>
    <row r="227" spans="1:36" s="101" customFormat="1" ht="12.75" customHeight="1" x14ac:dyDescent="0.2">
      <c r="A227" s="533">
        <f>VLOOKUP(B227,Sheet1!$B$4:$C$25,2,FALSE)</f>
        <v>0</v>
      </c>
      <c r="B227" s="112" t="str">
        <f t="shared" si="75"/>
        <v>Slough</v>
      </c>
      <c r="C227" s="97"/>
      <c r="D227" s="182">
        <f t="shared" si="76"/>
        <v>5.8201058201058198E-2</v>
      </c>
      <c r="E227" s="182">
        <f t="shared" si="77"/>
        <v>5.1020408163265307E-2</v>
      </c>
      <c r="F227" s="182">
        <f t="shared" si="78"/>
        <v>6.7039106145251395E-2</v>
      </c>
      <c r="G227" s="182">
        <f t="shared" si="79"/>
        <v>7.3684210526315783E-2</v>
      </c>
      <c r="H227" s="184">
        <f t="shared" si="80"/>
        <v>3.8834951456310676E-2</v>
      </c>
      <c r="I227" s="115"/>
      <c r="J227" s="115"/>
      <c r="K227" s="186"/>
      <c r="L227" s="186"/>
      <c r="M227" s="186"/>
      <c r="N227" s="186"/>
      <c r="O227" s="186"/>
      <c r="P227" s="186"/>
      <c r="Q227" s="187"/>
      <c r="R227" s="177"/>
      <c r="S227" s="177"/>
      <c r="T227" s="186"/>
      <c r="U227" s="139"/>
      <c r="V227" s="154"/>
      <c r="W227" s="170"/>
      <c r="X227" s="491" t="str">
        <f t="shared" si="81"/>
        <v>Slough</v>
      </c>
      <c r="Y227" s="534">
        <f>IF(Year1_Slough Year1_LAC_UASC="","",Year1_Slough Year1_LAC_UASC)</f>
        <v>11</v>
      </c>
      <c r="Z227" s="424">
        <f>IF(Year2_Slough Year2_LAC_UASC="","",Year2_Slough Year2_LAC_UASC)</f>
        <v>10</v>
      </c>
      <c r="AA227" s="424">
        <f>IF(Year3_Slough Year3_LAC_UASC="","",Year3_Slough Year3_LAC_UASC)</f>
        <v>12</v>
      </c>
      <c r="AB227" s="424">
        <f>IF(Year4_Slough Year4_LAC_UASC="","",Year4_Slough Year4_LAC_UASC)</f>
        <v>14</v>
      </c>
      <c r="AC227" s="634">
        <f>IF(Year5_Slough Year5_LAC_UASC="","",Year5_Slough Year5_LAC_UASC)</f>
        <v>8</v>
      </c>
      <c r="AD227" s="88"/>
      <c r="AE227" s="88"/>
      <c r="AF227" s="88"/>
      <c r="AG227" s="88"/>
      <c r="AH227" s="88"/>
      <c r="AI227" s="210"/>
      <c r="AJ227" s="178"/>
    </row>
    <row r="228" spans="1:36" s="101" customFormat="1" ht="12.75" customHeight="1" x14ac:dyDescent="0.2">
      <c r="A228" s="533">
        <f>VLOOKUP(B228,Sheet1!$B$4:$C$25,2,FALSE)</f>
        <v>0</v>
      </c>
      <c r="B228" s="112" t="str">
        <f t="shared" si="75"/>
        <v>Somerset</v>
      </c>
      <c r="C228" s="97"/>
      <c r="D228" s="182" t="e">
        <f t="shared" si="76"/>
        <v>#N/A</v>
      </c>
      <c r="E228" s="182" t="e">
        <f t="shared" si="77"/>
        <v>#N/A</v>
      </c>
      <c r="F228" s="182" t="e">
        <f t="shared" si="78"/>
        <v>#N/A</v>
      </c>
      <c r="G228" s="182">
        <f t="shared" si="79"/>
        <v>2.9411764705882353E-2</v>
      </c>
      <c r="H228" s="184">
        <f t="shared" si="80"/>
        <v>3.4482758620689655E-2</v>
      </c>
      <c r="I228" s="115"/>
      <c r="J228" s="115"/>
      <c r="K228" s="186"/>
      <c r="L228" s="186"/>
      <c r="M228" s="186"/>
      <c r="N228" s="186"/>
      <c r="O228" s="186"/>
      <c r="P228" s="186"/>
      <c r="Q228" s="187"/>
      <c r="R228" s="177"/>
      <c r="S228" s="177"/>
      <c r="T228" s="186"/>
      <c r="U228" s="139"/>
      <c r="V228" s="154"/>
      <c r="W228" s="170"/>
      <c r="X228" s="491" t="str">
        <f t="shared" si="81"/>
        <v>Somerset</v>
      </c>
      <c r="Y228" s="534" t="str">
        <f>IF(Year1_Somerset Year1_LAC_UASC="","",Year1_Somerset Year1_LAC_UASC)</f>
        <v>x</v>
      </c>
      <c r="Z228" s="424" t="str">
        <f>IF(Year2_Somerset Year2_LAC_UASC="","",Year2_Somerset Year2_LAC_UASC)</f>
        <v>x</v>
      </c>
      <c r="AA228" s="424" t="str">
        <f>IF(Year3_Somerset Year3_LAC_UASC="","",Year3_Somerset Year3_LAC_UASC)</f>
        <v>x</v>
      </c>
      <c r="AB228" s="424">
        <f>IF(Year4_Somerset Year4_LAC_UASC="","",Year4_Somerset Year4_LAC_UASC)</f>
        <v>14</v>
      </c>
      <c r="AC228" s="634">
        <f>IF(Year5_Somerset Year5_LAC_UASC="","",Year5_Somerset Year5_LAC_UASC)</f>
        <v>18</v>
      </c>
      <c r="AD228" s="88"/>
      <c r="AE228" s="88"/>
      <c r="AF228" s="88"/>
      <c r="AG228" s="88"/>
      <c r="AH228" s="88"/>
      <c r="AI228" s="210"/>
      <c r="AJ228" s="178"/>
    </row>
    <row r="229" spans="1:36" s="101" customFormat="1" ht="12.75" customHeight="1" x14ac:dyDescent="0.2">
      <c r="A229" s="533">
        <f>VLOOKUP(B229,Sheet1!$B$4:$C$25,2,FALSE)</f>
        <v>0</v>
      </c>
      <c r="B229" s="112" t="str">
        <f t="shared" si="75"/>
        <v>Southampton</v>
      </c>
      <c r="C229" s="97"/>
      <c r="D229" s="182" t="e">
        <f t="shared" si="76"/>
        <v>#N/A</v>
      </c>
      <c r="E229" s="182">
        <f t="shared" si="77"/>
        <v>1.0309278350515464E-2</v>
      </c>
      <c r="F229" s="182" t="e">
        <f t="shared" si="78"/>
        <v>#N/A</v>
      </c>
      <c r="G229" s="182">
        <f t="shared" si="79"/>
        <v>2.0370370370370372E-2</v>
      </c>
      <c r="H229" s="184">
        <f t="shared" si="80"/>
        <v>2.681992337164751E-2</v>
      </c>
      <c r="I229" s="115"/>
      <c r="J229" s="115"/>
      <c r="K229" s="186"/>
      <c r="L229" s="186"/>
      <c r="M229" s="186"/>
      <c r="N229" s="186"/>
      <c r="O229" s="186"/>
      <c r="P229" s="186"/>
      <c r="Q229" s="187"/>
      <c r="R229" s="177"/>
      <c r="S229" s="177"/>
      <c r="T229" s="186"/>
      <c r="U229" s="139"/>
      <c r="V229" s="154"/>
      <c r="W229" s="170"/>
      <c r="X229" s="491" t="str">
        <f t="shared" si="81"/>
        <v>Southampton</v>
      </c>
      <c r="Y229" s="534" t="str">
        <f>IF(Year1_Southampton Year1_LAC_UASC="","",Year1_Southampton Year1_LAC_UASC)</f>
        <v>x</v>
      </c>
      <c r="Z229" s="424">
        <f>IF(Year2_Southampton Year2_LAC_UASC="","",Year2_Southampton Year2_LAC_UASC)</f>
        <v>6</v>
      </c>
      <c r="AA229" s="424" t="str">
        <f>IF(Year3_Southampton Year3_LAC_UASC="","",Year3_Southampton Year3_LAC_UASC)</f>
        <v>x</v>
      </c>
      <c r="AB229" s="424">
        <f>IF(Year4_Southampton Year4_LAC_UASC="","",Year4_Southampton Year4_LAC_UASC)</f>
        <v>11</v>
      </c>
      <c r="AC229" s="634">
        <f>IF(Year5_Southampton Year5_LAC_UASC="","",Year5_Southampton Year5_LAC_UASC)</f>
        <v>14</v>
      </c>
      <c r="AD229" s="88"/>
      <c r="AE229" s="88"/>
      <c r="AF229" s="88"/>
      <c r="AG229" s="88"/>
      <c r="AH229" s="88"/>
      <c r="AI229" s="210"/>
      <c r="AJ229" s="178"/>
    </row>
    <row r="230" spans="1:36" s="101" customFormat="1" ht="12.75" customHeight="1" x14ac:dyDescent="0.2">
      <c r="A230" s="533">
        <f>VLOOKUP(B230,Sheet1!$B$4:$C$25,2,FALSE)</f>
        <v>0</v>
      </c>
      <c r="B230" s="112" t="str">
        <f t="shared" si="75"/>
        <v>Surrey</v>
      </c>
      <c r="C230" s="97"/>
      <c r="D230" s="182">
        <f t="shared" si="76"/>
        <v>9.205548549810845E-2</v>
      </c>
      <c r="E230" s="182">
        <f t="shared" si="77"/>
        <v>0.12836970474967907</v>
      </c>
      <c r="F230" s="182">
        <f t="shared" si="78"/>
        <v>0.17416378316032297</v>
      </c>
      <c r="G230" s="182">
        <f t="shared" si="79"/>
        <v>0.16340621403912542</v>
      </c>
      <c r="H230" s="184">
        <f t="shared" si="80"/>
        <v>0.11961206896551724</v>
      </c>
      <c r="I230" s="115"/>
      <c r="J230" s="115"/>
      <c r="K230" s="186"/>
      <c r="L230" s="186"/>
      <c r="M230" s="186"/>
      <c r="N230" s="186"/>
      <c r="O230" s="186"/>
      <c r="P230" s="186"/>
      <c r="Q230" s="187"/>
      <c r="R230" s="177"/>
      <c r="S230" s="177"/>
      <c r="T230" s="186"/>
      <c r="U230" s="139"/>
      <c r="V230" s="154"/>
      <c r="W230" s="170"/>
      <c r="X230" s="491" t="str">
        <f t="shared" si="81"/>
        <v>Surrey</v>
      </c>
      <c r="Y230" s="534">
        <f>IF(Year1_Surrey Year1_LAC_UASC="","",Year1_Surrey Year1_LAC_UASC)</f>
        <v>73</v>
      </c>
      <c r="Z230" s="424">
        <f>IF(Year2_Surrey Year2_LAC_UASC="","",Year2_Surrey Year2_LAC_UASC)</f>
        <v>100</v>
      </c>
      <c r="AA230" s="424">
        <f>IF(Year3_Surrey Year3_LAC_UASC="","",Year3_Surrey Year3_LAC_UASC)</f>
        <v>151</v>
      </c>
      <c r="AB230" s="424">
        <f>IF(Year4_Surrey Year4_LAC_UASC="","",Year4_Surrey Year4_LAC_UASC)</f>
        <v>142</v>
      </c>
      <c r="AC230" s="634">
        <f>IF(Year5_Surrey Year5_LAC_UASC="","",Year5_Surrey Year5_LAC_UASC)</f>
        <v>111</v>
      </c>
      <c r="AD230" s="88"/>
      <c r="AE230" s="88"/>
      <c r="AF230" s="88"/>
      <c r="AG230" s="88"/>
      <c r="AH230" s="88"/>
      <c r="AI230" s="210"/>
      <c r="AJ230" s="178"/>
    </row>
    <row r="231" spans="1:36" s="101" customFormat="1" ht="12.75" customHeight="1" x14ac:dyDescent="0.2">
      <c r="A231" s="533">
        <f>VLOOKUP(B231,Sheet1!$B$4:$C$25,2,FALSE)</f>
        <v>0</v>
      </c>
      <c r="B231" s="112" t="str">
        <f t="shared" si="75"/>
        <v>Swindon</v>
      </c>
      <c r="C231" s="97"/>
      <c r="D231" s="182" t="e">
        <f t="shared" si="76"/>
        <v>#N/A</v>
      </c>
      <c r="E231" s="182" t="e">
        <f t="shared" si="77"/>
        <v>#N/A</v>
      </c>
      <c r="F231" s="182">
        <f t="shared" si="78"/>
        <v>4.778156996587031E-2</v>
      </c>
      <c r="G231" s="182">
        <f t="shared" si="79"/>
        <v>6.363636363636363E-2</v>
      </c>
      <c r="H231" s="184">
        <f t="shared" si="80"/>
        <v>7.2222222222222215E-2</v>
      </c>
      <c r="I231" s="115"/>
      <c r="J231" s="115"/>
      <c r="K231" s="186"/>
      <c r="L231" s="186"/>
      <c r="M231" s="186"/>
      <c r="N231" s="186"/>
      <c r="O231" s="186"/>
      <c r="P231" s="186"/>
      <c r="Q231" s="187"/>
      <c r="R231" s="177"/>
      <c r="S231" s="177"/>
      <c r="T231" s="186"/>
      <c r="U231" s="139"/>
      <c r="V231" s="154"/>
      <c r="W231" s="170"/>
      <c r="X231" s="491" t="str">
        <f t="shared" si="81"/>
        <v>Swindon</v>
      </c>
      <c r="Y231" s="534" t="str">
        <f>IF(Year1_Swindon Year1_LAC_UASC="","",Year1_Swindon Year1_LAC_UASC)</f>
        <v>x</v>
      </c>
      <c r="Z231" s="424" t="str">
        <f>IF(Year2_Swindon Year2_LAC_UASC="","",Year2_Swindon Year2_LAC_UASC)</f>
        <v>x</v>
      </c>
      <c r="AA231" s="424">
        <f>IF(Year3_Swindon Year3_LAC_UASC="","",Year3_Swindon Year3_LAC_UASC)</f>
        <v>14</v>
      </c>
      <c r="AB231" s="637">
        <f>IF(Year4_Swindon Year4_LAC_UASC="","",Year4_Swindon Year4_LAC_UASC)</f>
        <v>21</v>
      </c>
      <c r="AC231" s="659">
        <f>IF(Year5_Swindon Year5_LAC_UASC="","",Year5_Swindon Year5_LAC_UASC)</f>
        <v>26</v>
      </c>
      <c r="AD231" s="88"/>
      <c r="AE231" s="88"/>
      <c r="AF231" s="88"/>
      <c r="AG231" s="88"/>
      <c r="AH231" s="88"/>
      <c r="AI231" s="210"/>
      <c r="AJ231" s="178"/>
    </row>
    <row r="232" spans="1:36" s="101" customFormat="1" ht="12.75" customHeight="1" x14ac:dyDescent="0.2">
      <c r="A232" s="533">
        <f>VLOOKUP(B232,Sheet1!$B$4:$C$25,2,FALSE)</f>
        <v>0</v>
      </c>
      <c r="B232" s="112" t="str">
        <f t="shared" si="75"/>
        <v>Torbay</v>
      </c>
      <c r="C232" s="97"/>
      <c r="D232" s="182">
        <f t="shared" si="76"/>
        <v>0</v>
      </c>
      <c r="E232" s="182">
        <f t="shared" si="77"/>
        <v>0</v>
      </c>
      <c r="F232" s="182">
        <f t="shared" si="78"/>
        <v>0</v>
      </c>
      <c r="G232" s="182" t="e">
        <f t="shared" si="79"/>
        <v>#N/A</v>
      </c>
      <c r="H232" s="184" t="e">
        <f t="shared" si="80"/>
        <v>#N/A</v>
      </c>
      <c r="I232" s="115"/>
      <c r="J232" s="115"/>
      <c r="K232" s="186"/>
      <c r="L232" s="186"/>
      <c r="M232" s="186"/>
      <c r="N232" s="186"/>
      <c r="O232" s="186"/>
      <c r="P232" s="186"/>
      <c r="Q232" s="187"/>
      <c r="R232" s="177"/>
      <c r="S232" s="177"/>
      <c r="T232" s="186"/>
      <c r="U232" s="139"/>
      <c r="V232" s="154"/>
      <c r="W232" s="170"/>
      <c r="X232" s="491" t="str">
        <f t="shared" si="81"/>
        <v>Torbay</v>
      </c>
      <c r="Y232" s="534">
        <f>IF(Year1_Torbay Year1_LAC_UASC="","",Year1_Torbay Year1_LAC_UASC)</f>
        <v>0</v>
      </c>
      <c r="Z232" s="424">
        <f>IF(Year2_Torbay Year2_LAC_UASC="","",Year2_Torbay Year2_LAC_UASC)</f>
        <v>0</v>
      </c>
      <c r="AA232" s="424">
        <f>IF(Year3_Torbay Year3_LAC_UASC="","",Year3_Torbay Year3_LAC_UASC)</f>
        <v>0</v>
      </c>
      <c r="AB232" s="637" t="str">
        <f>IF(Year4_Torbay Year4_LAC_UASC="","",Year4_Torbay Year4_LAC_UASC)</f>
        <v>x</v>
      </c>
      <c r="AC232" s="659" t="str">
        <f>IF(Year5_Torbay Year5_LAC_UASC="","",Year5_Torbay Year5_LAC_UASC)</f>
        <v>x</v>
      </c>
      <c r="AD232" s="88"/>
      <c r="AE232" s="88"/>
      <c r="AF232" s="88"/>
      <c r="AG232" s="88"/>
      <c r="AH232" s="88"/>
      <c r="AI232" s="210"/>
      <c r="AJ232" s="178"/>
    </row>
    <row r="233" spans="1:36" s="101" customFormat="1" ht="12.75" customHeight="1" x14ac:dyDescent="0.2">
      <c r="A233" s="533">
        <f>VLOOKUP(B233,Sheet1!$B$4:$C$25,2,FALSE)</f>
        <v>0</v>
      </c>
      <c r="B233" s="112" t="str">
        <f t="shared" si="75"/>
        <v>West Berkshire</v>
      </c>
      <c r="C233" s="97"/>
      <c r="D233" s="182">
        <f t="shared" si="76"/>
        <v>4.4871794871794872E-2</v>
      </c>
      <c r="E233" s="182">
        <f t="shared" si="77"/>
        <v>5.8479532163742687E-2</v>
      </c>
      <c r="F233" s="182">
        <f t="shared" si="78"/>
        <v>8.2802547770700632E-2</v>
      </c>
      <c r="G233" s="182">
        <f t="shared" si="79"/>
        <v>9.9378881987577633E-2</v>
      </c>
      <c r="H233" s="184">
        <f t="shared" si="80"/>
        <v>0.10344827586206896</v>
      </c>
      <c r="I233" s="115"/>
      <c r="J233" s="115"/>
      <c r="K233" s="186"/>
      <c r="L233" s="186"/>
      <c r="M233" s="186"/>
      <c r="N233" s="186"/>
      <c r="O233" s="186"/>
      <c r="P233" s="186"/>
      <c r="Q233" s="187"/>
      <c r="R233" s="177"/>
      <c r="S233" s="177"/>
      <c r="T233" s="186"/>
      <c r="U233" s="139"/>
      <c r="V233" s="154"/>
      <c r="W233" s="170"/>
      <c r="X233" s="491" t="str">
        <f t="shared" si="81"/>
        <v>West Berkshire</v>
      </c>
      <c r="Y233" s="534">
        <f>IF(Year1_West_Berkshire Year1_LAC_UASC="","",Year1_West_Berkshire Year1_LAC_UASC)</f>
        <v>7</v>
      </c>
      <c r="Z233" s="424">
        <f>IF(Year2_West_Berkshire Year2_LAC_UASC="","",Year2_West_Berkshire Year2_LAC_UASC)</f>
        <v>10</v>
      </c>
      <c r="AA233" s="424">
        <f>IF(Year3_West_Berkshire Year3_LAC_UASC="","",Year3_West_Berkshire Year3_LAC_UASC)</f>
        <v>13</v>
      </c>
      <c r="AB233" s="424">
        <f>IF(Year4_West_Berkshire Year4_LAC_UASC="","",Year4_West_Berkshire Year4_LAC_UASC)</f>
        <v>16</v>
      </c>
      <c r="AC233" s="634">
        <f>IF(Year5_West_Berkshire Year5_LAC_UASC="","",Year5_West_Berkshire Year5_LAC_UASC)</f>
        <v>15</v>
      </c>
      <c r="AD233" s="88"/>
      <c r="AE233" s="88"/>
      <c r="AF233" s="88"/>
      <c r="AG233" s="88"/>
      <c r="AH233" s="88"/>
      <c r="AI233" s="210"/>
      <c r="AJ233" s="178"/>
    </row>
    <row r="234" spans="1:36" s="101" customFormat="1" ht="12.75" customHeight="1" x14ac:dyDescent="0.2">
      <c r="A234" s="533">
        <f>VLOOKUP(B234,Sheet1!$B$4:$C$25,2,FALSE)</f>
        <v>0</v>
      </c>
      <c r="B234" s="112" t="str">
        <f t="shared" si="75"/>
        <v>West Sussex</v>
      </c>
      <c r="C234" s="97"/>
      <c r="D234" s="182">
        <f t="shared" si="76"/>
        <v>5.647840531561462E-2</v>
      </c>
      <c r="E234" s="182">
        <f t="shared" si="77"/>
        <v>5.5900621118012424E-2</v>
      </c>
      <c r="F234" s="182">
        <f t="shared" si="78"/>
        <v>0.10015649452269171</v>
      </c>
      <c r="G234" s="182">
        <f t="shared" si="79"/>
        <v>0.11010558069381599</v>
      </c>
      <c r="H234" s="184">
        <f t="shared" si="80"/>
        <v>9.8011363636363633E-2</v>
      </c>
      <c r="I234" s="115"/>
      <c r="J234" s="115"/>
      <c r="K234" s="186"/>
      <c r="L234" s="186"/>
      <c r="M234" s="186"/>
      <c r="N234" s="186"/>
      <c r="O234" s="186"/>
      <c r="P234" s="186"/>
      <c r="Q234" s="187"/>
      <c r="R234" s="177"/>
      <c r="S234" s="177"/>
      <c r="T234" s="186"/>
      <c r="U234" s="139"/>
      <c r="V234" s="154"/>
      <c r="W234" s="170"/>
      <c r="X234" s="491" t="str">
        <f t="shared" si="81"/>
        <v>West Sussex</v>
      </c>
      <c r="Y234" s="534">
        <f>IF(Year1_West_Sussex Year1_LAC_UASC="","",Year1_West_Sussex Year1_LAC_UASC)</f>
        <v>34</v>
      </c>
      <c r="Z234" s="424">
        <f>IF(Year2_West_Sussex Year2_LAC_UASC="","",Year2_West_Sussex Year2_LAC_UASC)</f>
        <v>36</v>
      </c>
      <c r="AA234" s="424">
        <f>IF(Year3_West_Sussex Year3_LAC_UASC="","",Year3_West_Sussex Year3_LAC_UASC)</f>
        <v>64</v>
      </c>
      <c r="AB234" s="424">
        <f>IF(Year4_West_Sussex Year4_LAC_UASC="","",Year4_West_Sussex Year4_LAC_UASC)</f>
        <v>73</v>
      </c>
      <c r="AC234" s="634">
        <f>IF(Year5_West_Sussex Year5_LAC_UASC="","",Year5_West_Sussex Year5_LAC_UASC)</f>
        <v>69</v>
      </c>
      <c r="AD234" s="88"/>
      <c r="AE234" s="88"/>
      <c r="AF234" s="88"/>
      <c r="AG234" s="88"/>
      <c r="AH234" s="88"/>
      <c r="AI234" s="210"/>
      <c r="AJ234" s="178"/>
    </row>
    <row r="235" spans="1:36" s="101" customFormat="1" ht="12.75" customHeight="1" x14ac:dyDescent="0.2">
      <c r="A235" s="533">
        <f>VLOOKUP(B235,Sheet1!$B$4:$C$25,2,FALSE)</f>
        <v>0</v>
      </c>
      <c r="B235" s="112" t="str">
        <f t="shared" si="75"/>
        <v>Windsor &amp; Maidenhead</v>
      </c>
      <c r="C235" s="97"/>
      <c r="D235" s="182" t="e">
        <f t="shared" si="76"/>
        <v>#N/A</v>
      </c>
      <c r="E235" s="182">
        <f t="shared" si="77"/>
        <v>9.0909090909090912E-2</v>
      </c>
      <c r="F235" s="182" t="e">
        <f t="shared" si="78"/>
        <v>#N/A</v>
      </c>
      <c r="G235" s="182">
        <f t="shared" si="79"/>
        <v>6.4220183486238536E-2</v>
      </c>
      <c r="H235" s="184">
        <f t="shared" si="80"/>
        <v>6.5420560747663545E-2</v>
      </c>
      <c r="I235" s="115"/>
      <c r="J235" s="115"/>
      <c r="K235" s="186"/>
      <c r="L235" s="186"/>
      <c r="M235" s="186"/>
      <c r="N235" s="186"/>
      <c r="O235" s="186"/>
      <c r="P235" s="186"/>
      <c r="Q235" s="187"/>
      <c r="R235" s="177"/>
      <c r="S235" s="177"/>
      <c r="T235" s="186"/>
      <c r="U235" s="139"/>
      <c r="V235" s="154"/>
      <c r="W235" s="170"/>
      <c r="X235" s="491" t="str">
        <f t="shared" si="81"/>
        <v>Windsor &amp; Maidenhead</v>
      </c>
      <c r="Y235" s="534" t="str">
        <f>IF(Year1_Windsor_Maidenhead Year1_LAC_UASC="","",Year1_Windsor_Maidenhead Year1_LAC_UASC)</f>
        <v>x</v>
      </c>
      <c r="Z235" s="424">
        <f>IF(Year2_Windsor_Maidenhead Year2_LAC_UASC="","",Year2_Windsor_Maidenhead Year2_LAC_UASC)</f>
        <v>9</v>
      </c>
      <c r="AA235" s="424" t="str">
        <f>IF(Year3_Windsor_Maidenhead Year3_LAC_UASC="","",Year3_Windsor_Maidenhead Year3_LAC_UASC)</f>
        <v>x</v>
      </c>
      <c r="AB235" s="424">
        <f>IF(Year4_Windsor_Maidenhead Year4_LAC_UASC="","",Year4_Windsor_Maidenhead Year4_LAC_UASC)</f>
        <v>7</v>
      </c>
      <c r="AC235" s="634">
        <f>IF(Year5_Windsor_Maidenhead Year5_LAC_UASC="","",Year5_Windsor_Maidenhead Year5_LAC_UASC)</f>
        <v>7</v>
      </c>
      <c r="AD235" s="88"/>
      <c r="AE235" s="88"/>
      <c r="AF235" s="88"/>
      <c r="AG235" s="88"/>
      <c r="AH235" s="88"/>
      <c r="AI235" s="210"/>
      <c r="AJ235" s="178"/>
    </row>
    <row r="236" spans="1:36" s="101" customFormat="1" ht="12.75" customHeight="1" x14ac:dyDescent="0.2">
      <c r="A236" s="533">
        <f>VLOOKUP(B236,Sheet1!$B$4:$C$25,2,FALSE)</f>
        <v>0</v>
      </c>
      <c r="B236" s="112" t="str">
        <f t="shared" si="75"/>
        <v>Wokingham</v>
      </c>
      <c r="C236" s="97"/>
      <c r="D236" s="182">
        <f t="shared" si="76"/>
        <v>0</v>
      </c>
      <c r="E236" s="182" t="e">
        <f t="shared" si="77"/>
        <v>#N/A</v>
      </c>
      <c r="F236" s="182" t="e">
        <f t="shared" si="78"/>
        <v>#N/A</v>
      </c>
      <c r="G236" s="182">
        <f t="shared" si="79"/>
        <v>0.10666666666666667</v>
      </c>
      <c r="H236" s="184">
        <f t="shared" si="80"/>
        <v>0.13207547169811321</v>
      </c>
      <c r="I236" s="115"/>
      <c r="J236" s="115"/>
      <c r="K236" s="186"/>
      <c r="L236" s="186"/>
      <c r="M236" s="186"/>
      <c r="N236" s="186"/>
      <c r="O236" s="186"/>
      <c r="P236" s="186"/>
      <c r="Q236" s="187"/>
      <c r="R236" s="177"/>
      <c r="S236" s="177"/>
      <c r="T236" s="186"/>
      <c r="U236" s="139"/>
      <c r="V236" s="154"/>
      <c r="W236" s="170"/>
      <c r="X236" s="491" t="str">
        <f t="shared" si="81"/>
        <v>Wokingham</v>
      </c>
      <c r="Y236" s="534">
        <f>IF(Year1_Wokingham Year1_LAC_UASC="","",Year1_Wokingham Year1_LAC_UASC)</f>
        <v>0</v>
      </c>
      <c r="Z236" s="424" t="str">
        <f>IF(Year2_Wokingham Year2_LAC_UASC="","",Year2_Wokingham Year2_LAC_UASC)</f>
        <v>x</v>
      </c>
      <c r="AA236" s="424" t="str">
        <f>IF(Year3_Wokingham Year3_LAC_UASC="","",Year3_Wokingham Year3_LAC_UASC)</f>
        <v>x</v>
      </c>
      <c r="AB236" s="424">
        <f>IF(Year4_Wokingham Year4_LAC_UASC="","",Year4_Wokingham Year4_LAC_UASC)</f>
        <v>8</v>
      </c>
      <c r="AC236" s="634">
        <f>IF(Year5_Wokingham Year5_LAC_UASC="","",Year5_Wokingham Year5_LAC_UASC)</f>
        <v>14</v>
      </c>
      <c r="AD236" s="88"/>
      <c r="AE236" s="88"/>
      <c r="AF236" s="88"/>
      <c r="AG236" s="88"/>
      <c r="AH236" s="88"/>
      <c r="AI236" s="210"/>
      <c r="AJ236" s="178"/>
    </row>
    <row r="237" spans="1:36" s="101" customFormat="1" ht="12.75" customHeight="1" x14ac:dyDescent="0.2">
      <c r="A237" s="138"/>
      <c r="B237" s="146" t="str">
        <f t="shared" si="75"/>
        <v>South East</v>
      </c>
      <c r="C237" s="97"/>
      <c r="D237" s="183">
        <f t="shared" si="76"/>
        <v>5.027932960893855E-2</v>
      </c>
      <c r="E237" s="183">
        <f t="shared" si="77"/>
        <v>7.3039742212674549E-2</v>
      </c>
      <c r="F237" s="183">
        <f t="shared" si="78"/>
        <v>0.13779128672745694</v>
      </c>
      <c r="G237" s="183">
        <f t="shared" si="79"/>
        <v>0.10986775178026449</v>
      </c>
      <c r="H237" s="185">
        <f t="shared" si="80"/>
        <v>8.5000000000000006E-2</v>
      </c>
      <c r="I237" s="115"/>
      <c r="J237" s="115"/>
      <c r="K237" s="188"/>
      <c r="L237" s="188"/>
      <c r="M237" s="188"/>
      <c r="N237" s="188"/>
      <c r="O237" s="188"/>
      <c r="P237" s="188"/>
      <c r="Q237" s="189"/>
      <c r="R237" s="177"/>
      <c r="S237" s="177"/>
      <c r="T237" s="190"/>
      <c r="U237" s="139"/>
      <c r="V237" s="154"/>
      <c r="W237" s="170"/>
      <c r="X237" s="491" t="str">
        <f t="shared" si="81"/>
        <v>South East</v>
      </c>
      <c r="Y237" s="662">
        <f>IF(Year1_SouthEast Year1_LAC_UASC="","",Year1_SouthEast Year1_LAC_UASC)</f>
        <v>450</v>
      </c>
      <c r="Z237" s="662">
        <f>IF(Year2_SouthEast Year2_LAC_UASC="","",Year2_SouthEast Year2_LAC_UASC)</f>
        <v>680</v>
      </c>
      <c r="AA237" s="662">
        <f>IF(Year3_SouthEast Year3_LAC_UASC="","",Year3_SouthEast Year3_LAC_UASC)</f>
        <v>1360</v>
      </c>
      <c r="AB237" s="424">
        <f>IF(Year4_SouthEast Year4_LAC_UASC="","",Year4_SouthEast Year4_LAC_UASC)</f>
        <v>1080</v>
      </c>
      <c r="AC237" s="634">
        <f>IF(Year5_SouthEast Year5_LAC_UASC="","",Year5_SouthEast Year5_LAC_UASC)</f>
        <v>850</v>
      </c>
      <c r="AD237" s="88"/>
      <c r="AE237" s="88"/>
      <c r="AF237" s="88"/>
      <c r="AG237" s="88"/>
      <c r="AH237" s="88"/>
      <c r="AI237" s="210"/>
      <c r="AJ237" s="178"/>
    </row>
    <row r="238" spans="1:36" s="101" customFormat="1" ht="12.75" customHeight="1" x14ac:dyDescent="0.2">
      <c r="A238" s="138"/>
      <c r="B238" s="370" t="str">
        <f t="shared" si="75"/>
        <v>England</v>
      </c>
      <c r="C238" s="97"/>
      <c r="D238" s="401">
        <f t="shared" si="76"/>
        <v>2.9937509082982126E-2</v>
      </c>
      <c r="E238" s="401">
        <f t="shared" si="77"/>
        <v>3.9729379588311499E-2</v>
      </c>
      <c r="F238" s="401">
        <f t="shared" si="78"/>
        <v>6.1647727272727271E-2</v>
      </c>
      <c r="G238" s="401">
        <f t="shared" si="79"/>
        <v>6.4609450337512059E-2</v>
      </c>
      <c r="H238" s="402">
        <f t="shared" si="80"/>
        <v>5.940068947228852E-2</v>
      </c>
      <c r="I238" s="115"/>
      <c r="J238" s="115"/>
      <c r="K238" s="188"/>
      <c r="L238" s="188"/>
      <c r="M238" s="188"/>
      <c r="N238" s="188"/>
      <c r="O238" s="188"/>
      <c r="P238" s="188"/>
      <c r="Q238" s="189"/>
      <c r="R238" s="177"/>
      <c r="S238" s="177"/>
      <c r="T238" s="190"/>
      <c r="U238" s="139"/>
      <c r="V238" s="154"/>
      <c r="W238" s="170"/>
      <c r="X238" s="491" t="str">
        <f t="shared" si="81"/>
        <v>England</v>
      </c>
      <c r="Y238" s="662">
        <f>IF(Year1_England Year1_LAC_UASC="","",Year1_England Year1_LAC_UASC)</f>
        <v>2060</v>
      </c>
      <c r="Z238" s="662">
        <f>IF(Year2_England Year2_LAC_UASC="","",Year2_England Year2_LAC_UASC)</f>
        <v>2760</v>
      </c>
      <c r="AA238" s="662">
        <f>IF(Year3_England Year3_LAC_UASC="","",Year3_England Year3_LAC_UASC)</f>
        <v>4340</v>
      </c>
      <c r="AB238" s="424">
        <f>IF(Year4_England Year4_LAC_UASC="","",Year4_England Year4_LAC_UASC)</f>
        <v>4690</v>
      </c>
      <c r="AC238" s="634">
        <f>IF(Year5_England Year5_LAC_UASC="","",Year5_England Year5_LAC_UASC)</f>
        <v>4480</v>
      </c>
      <c r="AD238" s="88"/>
      <c r="AE238" s="88"/>
      <c r="AF238" s="88"/>
      <c r="AG238" s="88"/>
      <c r="AH238" s="88"/>
      <c r="AI238" s="210"/>
      <c r="AJ238" s="178"/>
    </row>
    <row r="239" spans="1:36" s="101" customFormat="1" ht="7.5" customHeight="1" x14ac:dyDescent="0.2">
      <c r="A239" s="324"/>
      <c r="B239" s="115"/>
      <c r="C239" s="115"/>
      <c r="D239" s="115"/>
      <c r="E239" s="115"/>
      <c r="F239" s="115"/>
      <c r="G239" s="115"/>
      <c r="H239" s="115"/>
      <c r="I239" s="115"/>
      <c r="J239" s="115"/>
      <c r="K239" s="188"/>
      <c r="L239" s="188"/>
      <c r="M239" s="188"/>
      <c r="N239" s="188"/>
      <c r="O239" s="188"/>
      <c r="P239" s="188"/>
      <c r="Q239" s="189"/>
      <c r="R239" s="177"/>
      <c r="S239" s="177"/>
      <c r="T239" s="190"/>
      <c r="U239" s="139"/>
      <c r="V239" s="154"/>
      <c r="W239" s="170"/>
      <c r="X239" s="88"/>
      <c r="Y239" s="88"/>
      <c r="Z239" s="223"/>
      <c r="AA239" s="223"/>
      <c r="AB239" s="224"/>
      <c r="AC239" s="88"/>
      <c r="AD239" s="88"/>
      <c r="AE239" s="88"/>
      <c r="AF239" s="88"/>
      <c r="AG239" s="88"/>
      <c r="AH239" s="88"/>
      <c r="AI239" s="210"/>
      <c r="AJ239" s="178"/>
    </row>
    <row r="240" spans="1:36" s="88" customFormat="1" ht="38.25" customHeight="1" x14ac:dyDescent="0.2">
      <c r="A240" s="249"/>
      <c r="B240" s="452"/>
      <c r="C240" s="452"/>
      <c r="D240" s="452"/>
      <c r="E240" s="452"/>
      <c r="F240" s="452"/>
      <c r="G240" s="452"/>
      <c r="H240" s="452"/>
      <c r="I240" s="452"/>
      <c r="J240" s="192"/>
      <c r="K240" s="192"/>
      <c r="L240" s="192"/>
      <c r="M240" s="192"/>
      <c r="N240" s="192"/>
      <c r="O240" s="192"/>
      <c r="P240" s="192"/>
      <c r="Q240" s="151"/>
      <c r="R240" s="192"/>
      <c r="S240" s="192"/>
      <c r="T240" s="192"/>
      <c r="U240" s="134"/>
      <c r="V240" s="152"/>
      <c r="W240" s="168"/>
      <c r="AC240" s="224"/>
      <c r="AD240" s="226"/>
      <c r="AE240" s="210"/>
      <c r="AF240" s="210"/>
      <c r="AG240" s="210"/>
      <c r="AI240" s="210"/>
      <c r="AJ240" s="179"/>
    </row>
    <row r="241" spans="1:45" s="88" customFormat="1" ht="39" customHeight="1" x14ac:dyDescent="0.2">
      <c r="A241" s="249"/>
      <c r="B241" s="452"/>
      <c r="C241" s="452"/>
      <c r="D241" s="452"/>
      <c r="E241" s="452"/>
      <c r="F241" s="452"/>
      <c r="G241" s="452"/>
      <c r="H241" s="452"/>
      <c r="I241" s="452"/>
      <c r="J241" s="192"/>
      <c r="K241" s="192"/>
      <c r="L241" s="192"/>
      <c r="M241" s="192"/>
      <c r="N241" s="192"/>
      <c r="O241" s="192"/>
      <c r="P241" s="192"/>
      <c r="Q241" s="151"/>
      <c r="R241" s="192"/>
      <c r="S241" s="192"/>
      <c r="T241" s="192"/>
      <c r="U241" s="134"/>
      <c r="V241" s="152"/>
      <c r="W241" s="168"/>
      <c r="Y241" s="217"/>
      <c r="AD241" s="226"/>
      <c r="AE241" s="210"/>
      <c r="AF241" s="210"/>
      <c r="AG241" s="210"/>
      <c r="AI241" s="210"/>
      <c r="AJ241" s="179"/>
    </row>
    <row r="242" spans="1:45" s="88" customFormat="1" ht="38.25" customHeight="1" x14ac:dyDescent="0.2">
      <c r="A242" s="249"/>
      <c r="B242" s="452"/>
      <c r="C242" s="452"/>
      <c r="D242" s="452"/>
      <c r="E242" s="452"/>
      <c r="F242" s="452"/>
      <c r="G242" s="452"/>
      <c r="H242" s="452"/>
      <c r="I242" s="452"/>
      <c r="J242" s="192"/>
      <c r="K242" s="192"/>
      <c r="L242" s="192"/>
      <c r="M242" s="192"/>
      <c r="N242" s="192"/>
      <c r="O242" s="192"/>
      <c r="P242" s="192"/>
      <c r="Q242" s="151"/>
      <c r="R242" s="192"/>
      <c r="S242" s="192"/>
      <c r="T242" s="192"/>
      <c r="U242" s="134"/>
      <c r="V242" s="152"/>
      <c r="W242" s="168"/>
      <c r="Y242" s="217"/>
      <c r="AD242" s="226"/>
      <c r="AE242" s="210"/>
      <c r="AF242" s="210"/>
      <c r="AG242" s="210"/>
      <c r="AI242" s="210"/>
      <c r="AJ242" s="179"/>
    </row>
    <row r="243" spans="1:45" s="88" customFormat="1" ht="7.5" customHeight="1" x14ac:dyDescent="0.2">
      <c r="A243" s="135"/>
      <c r="B243" s="18"/>
      <c r="C243" s="18"/>
      <c r="D243" s="17"/>
      <c r="E243" s="17"/>
      <c r="F243" s="17"/>
      <c r="G243" s="17"/>
      <c r="H243" s="17"/>
      <c r="I243" s="17"/>
      <c r="J243" s="13"/>
      <c r="K243" s="19"/>
      <c r="L243" s="19"/>
      <c r="M243" s="19"/>
      <c r="N243" s="19"/>
      <c r="O243" s="19"/>
      <c r="P243" s="19"/>
      <c r="Q243" s="19"/>
      <c r="R243" s="19"/>
      <c r="S243" s="19"/>
      <c r="T243" s="20"/>
      <c r="U243" s="134"/>
      <c r="V243" s="152"/>
      <c r="W243" s="168"/>
      <c r="Y243" s="217"/>
      <c r="AI243" s="210"/>
      <c r="AJ243" s="175"/>
      <c r="AK243" s="80"/>
      <c r="AL243" s="80"/>
      <c r="AM243" s="80"/>
      <c r="AN243" s="80"/>
      <c r="AO243" s="80"/>
      <c r="AP243" s="80"/>
      <c r="AQ243" s="80"/>
    </row>
    <row r="244" spans="1:45" s="88" customFormat="1" ht="15" customHeight="1" x14ac:dyDescent="0.2">
      <c r="A244" s="1010"/>
      <c r="B244" s="1018"/>
      <c r="C244" s="1018"/>
      <c r="D244" s="1018"/>
      <c r="E244" s="1018"/>
      <c r="F244" s="1018"/>
      <c r="G244" s="1018"/>
      <c r="H244" s="1018"/>
      <c r="I244" s="1018"/>
      <c r="J244" s="1018"/>
      <c r="K244" s="1018"/>
      <c r="L244" s="1018"/>
      <c r="M244" s="1018"/>
      <c r="N244" s="1018"/>
      <c r="O244" s="1018"/>
      <c r="P244" s="1018"/>
      <c r="Q244" s="1018"/>
      <c r="R244" s="1018"/>
      <c r="S244" s="1018"/>
      <c r="T244" s="1018"/>
      <c r="U244" s="1019"/>
      <c r="V244" s="152"/>
      <c r="W244" s="168"/>
      <c r="AJ244" s="179"/>
      <c r="AS244" s="80"/>
    </row>
    <row r="245" spans="1:45" s="88" customFormat="1" ht="11.25" customHeight="1" x14ac:dyDescent="0.2">
      <c r="A245" s="1020" t="str">
        <f>Home!$A$35</f>
        <v>LA's provide quarterly data on the condition that it is used by the benchmarking group for internal reporting only. Please DO NOT share other LA's data with any external partners or the public</v>
      </c>
      <c r="B245" s="1021"/>
      <c r="C245" s="1021"/>
      <c r="D245" s="1021"/>
      <c r="E245" s="1021"/>
      <c r="F245" s="1021"/>
      <c r="G245" s="1021"/>
      <c r="H245" s="1021"/>
      <c r="I245" s="1022"/>
      <c r="J245" s="1021"/>
      <c r="K245" s="1021"/>
      <c r="L245" s="1021"/>
      <c r="M245" s="1021"/>
      <c r="N245" s="1021"/>
      <c r="O245" s="1021"/>
      <c r="P245" s="1021"/>
      <c r="Q245" s="1021"/>
      <c r="R245" s="1021"/>
      <c r="S245" s="1022"/>
      <c r="T245" s="1021"/>
      <c r="U245" s="1023"/>
      <c r="V245" s="152"/>
      <c r="W245" s="168"/>
      <c r="AI245" s="210"/>
      <c r="AJ245" s="178"/>
      <c r="AK245" s="101"/>
      <c r="AS245" s="80"/>
    </row>
    <row r="246" spans="1:45" ht="11.25" customHeight="1" x14ac:dyDescent="0.2">
      <c r="A246" s="129"/>
      <c r="B246" s="130"/>
      <c r="C246" s="130"/>
      <c r="D246" s="130"/>
      <c r="E246" s="130"/>
      <c r="F246" s="130"/>
      <c r="G246" s="130"/>
      <c r="H246" s="130"/>
      <c r="I246" s="130"/>
      <c r="J246" s="131"/>
      <c r="K246" s="130"/>
      <c r="L246" s="130"/>
      <c r="M246" s="130"/>
      <c r="N246" s="130"/>
      <c r="O246" s="130"/>
      <c r="P246" s="130"/>
      <c r="Q246" s="130"/>
      <c r="R246" s="130"/>
      <c r="S246" s="130"/>
      <c r="T246" s="130"/>
      <c r="U246" s="132"/>
      <c r="V246" s="152"/>
      <c r="W246" s="168"/>
      <c r="X246" s="225"/>
      <c r="Y246" s="223"/>
      <c r="Z246" s="215"/>
      <c r="AI246" s="210"/>
      <c r="AJ246" s="178"/>
    </row>
    <row r="247" spans="1:45" s="82" customFormat="1" ht="21" customHeight="1" x14ac:dyDescent="0.2">
      <c r="A247" s="136"/>
      <c r="B247" s="1090" t="s">
        <v>265</v>
      </c>
      <c r="C247" s="1090"/>
      <c r="D247" s="1090"/>
      <c r="E247" s="1090"/>
      <c r="F247" s="1090"/>
      <c r="G247" s="1090"/>
      <c r="H247" s="1090"/>
      <c r="I247" s="1090"/>
      <c r="J247" s="1090"/>
      <c r="K247" s="1090"/>
      <c r="L247" s="1090"/>
      <c r="M247" s="1090"/>
      <c r="N247" s="1090"/>
      <c r="O247" s="1090"/>
      <c r="P247" s="186"/>
      <c r="Q247" s="70"/>
      <c r="R247" s="70"/>
      <c r="S247" s="70"/>
      <c r="T247" s="70"/>
      <c r="U247" s="137"/>
      <c r="V247" s="153"/>
      <c r="W247" s="169"/>
      <c r="X247" s="436" t="s">
        <v>199</v>
      </c>
      <c r="Y247" s="437"/>
      <c r="Z247" s="438"/>
      <c r="AA247" s="438"/>
      <c r="AB247" s="438"/>
      <c r="AC247" s="88"/>
      <c r="AD247" s="88"/>
      <c r="AE247" s="88"/>
      <c r="AF247" s="88"/>
      <c r="AG247" s="88"/>
      <c r="AH247" s="88"/>
      <c r="AI247" s="210"/>
      <c r="AJ247" s="178"/>
    </row>
    <row r="248" spans="1:45" ht="25.5" customHeight="1" x14ac:dyDescent="0.2">
      <c r="A248" s="135"/>
      <c r="B248" s="1081" t="s">
        <v>215</v>
      </c>
      <c r="C248" s="256"/>
      <c r="D248" s="982" t="s">
        <v>182</v>
      </c>
      <c r="E248" s="1042"/>
      <c r="F248" s="1042"/>
      <c r="G248" s="1042"/>
      <c r="H248" s="1043"/>
      <c r="I248" s="1109" t="s">
        <v>183</v>
      </c>
      <c r="J248" s="1047"/>
      <c r="K248" s="1047"/>
      <c r="L248" s="1047"/>
      <c r="M248" s="1047"/>
      <c r="N248" s="1110"/>
      <c r="O248" s="456"/>
      <c r="P248" s="457"/>
      <c r="Q248" s="457"/>
      <c r="R248" s="457"/>
      <c r="S248" s="458"/>
      <c r="T248" s="459"/>
      <c r="U248" s="134"/>
      <c r="V248" s="152"/>
      <c r="W248" s="168"/>
      <c r="X248" s="438"/>
      <c r="Y248" s="437"/>
      <c r="Z248" s="438"/>
      <c r="AA248" s="438"/>
      <c r="AB248" s="438"/>
      <c r="AI248" s="210"/>
      <c r="AJ248" s="178"/>
    </row>
    <row r="249" spans="1:45" s="101" customFormat="1" ht="12" customHeight="1" x14ac:dyDescent="0.2">
      <c r="A249" s="138"/>
      <c r="B249" s="1111"/>
      <c r="C249" s="97"/>
      <c r="D249" s="393" t="s">
        <v>172</v>
      </c>
      <c r="E249" s="393" t="s">
        <v>174</v>
      </c>
      <c r="F249" s="393" t="s">
        <v>175</v>
      </c>
      <c r="G249" s="393" t="s">
        <v>176</v>
      </c>
      <c r="H249" s="394" t="s">
        <v>173</v>
      </c>
      <c r="I249" s="395" t="s">
        <v>177</v>
      </c>
      <c r="J249" s="1107" t="s">
        <v>178</v>
      </c>
      <c r="K249" s="1108"/>
      <c r="L249" s="443" t="s">
        <v>179</v>
      </c>
      <c r="M249" s="444" t="s">
        <v>180</v>
      </c>
      <c r="N249" s="445" t="s">
        <v>181</v>
      </c>
      <c r="O249" s="460"/>
      <c r="P249" s="442"/>
      <c r="Q249" s="442"/>
      <c r="R249" s="442"/>
      <c r="S249" s="192"/>
      <c r="T249" s="461"/>
      <c r="U249" s="139"/>
      <c r="V249" s="154"/>
      <c r="W249" s="170"/>
      <c r="X249" s="424"/>
      <c r="Y249" s="490" t="str">
        <f>D249</f>
        <v>Under 1</v>
      </c>
      <c r="Z249" s="490" t="str">
        <f t="shared" ref="Z249" si="82">E249</f>
        <v xml:space="preserve">      1 - 4    </v>
      </c>
      <c r="AA249" s="490" t="str">
        <f t="shared" ref="AA249" si="83">F249</f>
        <v xml:space="preserve">      5 - 9    </v>
      </c>
      <c r="AB249" s="490" t="str">
        <f t="shared" ref="AB249:AC249" si="84">G249</f>
        <v xml:space="preserve">   10 - 15  </v>
      </c>
      <c r="AC249" s="490" t="str">
        <f t="shared" si="84"/>
        <v>16 +</v>
      </c>
      <c r="AD249" s="88"/>
      <c r="AE249" s="88" t="s">
        <v>206</v>
      </c>
      <c r="AF249" s="88"/>
      <c r="AG249" s="88"/>
      <c r="AH249" s="88"/>
      <c r="AI249" s="210"/>
      <c r="AJ249" s="178"/>
    </row>
    <row r="250" spans="1:45" s="101" customFormat="1" ht="15" customHeight="1" x14ac:dyDescent="0.2">
      <c r="A250" s="533">
        <f>VLOOKUP(B250,Sheet1!$B$4:$C$25,2,FALSE)</f>
        <v>0</v>
      </c>
      <c r="B250" s="112" t="str">
        <f t="shared" ref="B250:B272" si="85">B180</f>
        <v>Bracknell Forest</v>
      </c>
      <c r="C250" s="97"/>
      <c r="D250" s="658">
        <f>IF(ISNUMBER(Y250),Y250,NA())</f>
        <v>7</v>
      </c>
      <c r="E250" s="658">
        <f t="shared" ref="E250:H250" si="86">IF(ISNUMBER(Z250),Z250,NA())</f>
        <v>12</v>
      </c>
      <c r="F250" s="658">
        <f t="shared" si="86"/>
        <v>20</v>
      </c>
      <c r="G250" s="658">
        <f t="shared" si="86"/>
        <v>64</v>
      </c>
      <c r="H250" s="713">
        <f t="shared" si="86"/>
        <v>35</v>
      </c>
      <c r="I250" s="714">
        <f>IF($AE250&gt;0,Y250/$AE250,NA())</f>
        <v>5.0724637681159424E-2</v>
      </c>
      <c r="J250" s="1101">
        <f>IF($AE250&gt;0,Z250/$AE250,NA())</f>
        <v>8.6956521739130432E-2</v>
      </c>
      <c r="K250" s="1102"/>
      <c r="L250" s="714">
        <f>IF($AE250&gt;0,AA250/$AE250,NA())</f>
        <v>0.14492753623188406</v>
      </c>
      <c r="M250" s="714">
        <f t="shared" ref="M250:N250" si="87">IF($AE250&gt;0,AB250/$AE250,NA())</f>
        <v>0.46376811594202899</v>
      </c>
      <c r="N250" s="715">
        <f t="shared" si="87"/>
        <v>0.25362318840579712</v>
      </c>
      <c r="O250" s="460"/>
      <c r="P250" s="442"/>
      <c r="Q250" s="442"/>
      <c r="R250" s="442"/>
      <c r="S250" s="192"/>
      <c r="T250" s="461"/>
      <c r="U250" s="139"/>
      <c r="V250" s="154"/>
      <c r="W250" s="170"/>
      <c r="X250" s="424" t="str">
        <f>B250</f>
        <v>Bracknell Forest</v>
      </c>
      <c r="Y250" s="424">
        <f>IF(Year5_Bracknell_Forest Year5_LAC_Under1="","",Year5_Bracknell_Forest Year5_LAC_Under1)</f>
        <v>7</v>
      </c>
      <c r="Z250" s="424">
        <f>IF(Year5_Bracknell_Forest Year5_LAC_1to4="","",Year5_Bracknell_Forest Year5_LAC_1to4)</f>
        <v>12</v>
      </c>
      <c r="AA250" s="424">
        <f>IF(Year5_Bracknell_Forest Year5_LAC_5to9="","",Year5_Bracknell_Forest Year5_LAC_5to9)</f>
        <v>20</v>
      </c>
      <c r="AB250" s="424">
        <f>IF(Year5_Bracknell_Forest Year5_LAC_10to15="","",Year5_Bracknell_Forest Year5_LAC_10to15)</f>
        <v>64</v>
      </c>
      <c r="AC250" s="424">
        <f>IF(Year5_Bracknell_Forest Year5_LAC_16plus="","",Year5_Bracknell_Forest Year5_LAC_16plus)</f>
        <v>35</v>
      </c>
      <c r="AD250" s="88" t="e">
        <f>IF(X250=$Y$4,1,NA())</f>
        <v>#N/A</v>
      </c>
      <c r="AE250" s="88">
        <f>IF(SUM(Y250:AC250)&gt;0,SUM(Y250:AC250),NA())</f>
        <v>138</v>
      </c>
      <c r="AF250" s="88"/>
      <c r="AG250" s="88"/>
      <c r="AH250" s="88"/>
      <c r="AI250" s="210"/>
      <c r="AJ250" s="178"/>
    </row>
    <row r="251" spans="1:45" s="101" customFormat="1" ht="15" customHeight="1" x14ac:dyDescent="0.2">
      <c r="A251" s="533">
        <f>VLOOKUP(B251,Sheet1!$B$4:$C$25,2,FALSE)</f>
        <v>0</v>
      </c>
      <c r="B251" s="112" t="str">
        <f t="shared" si="85"/>
        <v>Brighton &amp; Hove</v>
      </c>
      <c r="C251" s="97"/>
      <c r="D251" s="658">
        <f t="shared" ref="D251:D273" si="88">IF(ISNUMBER(Y251),Y251,NA())</f>
        <v>23</v>
      </c>
      <c r="E251" s="658">
        <f t="shared" ref="E251:E273" si="89">IF(ISNUMBER(Z251),Z251,NA())</f>
        <v>50</v>
      </c>
      <c r="F251" s="658">
        <f t="shared" ref="F251:F273" si="90">IF(ISNUMBER(AA251),AA251,NA())</f>
        <v>64</v>
      </c>
      <c r="G251" s="658">
        <f t="shared" ref="G251:G273" si="91">IF(ISNUMBER(AB251),AB251,NA())</f>
        <v>164</v>
      </c>
      <c r="H251" s="713">
        <f t="shared" ref="H251:H273" si="92">IF(ISNUMBER(AC251),AC251,NA())</f>
        <v>117</v>
      </c>
      <c r="I251" s="714">
        <f t="shared" ref="I251:J273" si="93">IF($AE251&gt;0,Y251/$AE251,NA())</f>
        <v>5.5023923444976079E-2</v>
      </c>
      <c r="J251" s="1101">
        <f t="shared" si="93"/>
        <v>0.11961722488038277</v>
      </c>
      <c r="K251" s="1102"/>
      <c r="L251" s="714">
        <f t="shared" ref="L251:L273" si="94">IF($AE251&gt;0,AA251/$AE251,NA())</f>
        <v>0.15311004784688995</v>
      </c>
      <c r="M251" s="714">
        <f t="shared" ref="M251:M273" si="95">IF($AE251&gt;0,AB251/$AE251,NA())</f>
        <v>0.3923444976076555</v>
      </c>
      <c r="N251" s="715">
        <f t="shared" ref="N251:N273" si="96">IF($AE251&gt;0,AC251/$AE251,NA())</f>
        <v>0.27990430622009571</v>
      </c>
      <c r="O251" s="460"/>
      <c r="P251" s="442"/>
      <c r="Q251" s="442"/>
      <c r="R251" s="442"/>
      <c r="S251" s="192"/>
      <c r="T251" s="461"/>
      <c r="U251" s="139"/>
      <c r="V251" s="154"/>
      <c r="W251" s="170"/>
      <c r="X251" s="424" t="str">
        <f t="shared" ref="X251:X273" si="97">B251</f>
        <v>Brighton &amp; Hove</v>
      </c>
      <c r="Y251" s="424">
        <f>IF(Year5_Brighton_Hove Year5_LAC_Under1="","",Year5_Brighton_Hove Year5_LAC_Under1)</f>
        <v>23</v>
      </c>
      <c r="Z251" s="424">
        <f>IF(Year5_Brighton_Hove Year5_LAC_1to4="","",Year5_Brighton_Hove Year5_LAC_1to4)</f>
        <v>50</v>
      </c>
      <c r="AA251" s="424">
        <f>IF(Year5_Brighton_Hove Year5_LAC_5to9="","",Year5_Brighton_Hove Year5_LAC_5to9)</f>
        <v>64</v>
      </c>
      <c r="AB251" s="424">
        <f>IF(Year5_Brighton_Hove Year5_LAC_10to15="","",Year5_Brighton_Hove Year5_LAC_10to15)</f>
        <v>164</v>
      </c>
      <c r="AC251" s="424">
        <f>IF(Year5_Brighton_Hove Year5_LAC_16plus="","",Year5_Brighton_Hove Year5_LAC_16plus)</f>
        <v>117</v>
      </c>
      <c r="AD251" s="88" t="e">
        <f>IF(X251=$Y$4,1,NA())</f>
        <v>#N/A</v>
      </c>
      <c r="AE251" s="88">
        <f t="shared" ref="AE251:AE273" si="98">IF(SUM(Y251:AC251)&gt;0,SUM(Y251:AC251),NA())</f>
        <v>418</v>
      </c>
      <c r="AF251" s="88"/>
      <c r="AG251" s="88"/>
      <c r="AH251" s="88"/>
      <c r="AI251" s="210"/>
      <c r="AJ251" s="178"/>
    </row>
    <row r="252" spans="1:45" s="101" customFormat="1" ht="15" customHeight="1" x14ac:dyDescent="0.2">
      <c r="A252" s="533">
        <f>VLOOKUP(B252,Sheet1!$B$4:$C$25,2,FALSE)</f>
        <v>0</v>
      </c>
      <c r="B252" s="112" t="str">
        <f t="shared" si="85"/>
        <v>Buckinghamshire</v>
      </c>
      <c r="C252" s="97"/>
      <c r="D252" s="658">
        <f t="shared" si="88"/>
        <v>20</v>
      </c>
      <c r="E252" s="658">
        <f t="shared" si="89"/>
        <v>52</v>
      </c>
      <c r="F252" s="658">
        <f t="shared" si="90"/>
        <v>75</v>
      </c>
      <c r="G252" s="658">
        <f t="shared" si="91"/>
        <v>206</v>
      </c>
      <c r="H252" s="713">
        <f t="shared" si="92"/>
        <v>122</v>
      </c>
      <c r="I252" s="714">
        <f t="shared" si="93"/>
        <v>4.2105263157894736E-2</v>
      </c>
      <c r="J252" s="1101">
        <f t="shared" si="93"/>
        <v>0.10947368421052632</v>
      </c>
      <c r="K252" s="1102"/>
      <c r="L252" s="714">
        <f t="shared" si="94"/>
        <v>0.15789473684210525</v>
      </c>
      <c r="M252" s="714">
        <f t="shared" si="95"/>
        <v>0.43368421052631578</v>
      </c>
      <c r="N252" s="715">
        <f t="shared" si="96"/>
        <v>0.25684210526315787</v>
      </c>
      <c r="O252" s="460"/>
      <c r="P252" s="442"/>
      <c r="Q252" s="442"/>
      <c r="R252" s="442"/>
      <c r="S252" s="192"/>
      <c r="T252" s="461"/>
      <c r="U252" s="139"/>
      <c r="V252" s="154"/>
      <c r="W252" s="170"/>
      <c r="X252" s="424" t="str">
        <f t="shared" si="97"/>
        <v>Buckinghamshire</v>
      </c>
      <c r="Y252" s="424">
        <f>IF(Year5_Buckinghamshire Year5_LAC_Under1="","",Year5_Buckinghamshire Year5_LAC_Under1)</f>
        <v>20</v>
      </c>
      <c r="Z252" s="424">
        <f>IF(Year5_Buckinghamshire Year5_LAC_1to4="","",Year5_Buckinghamshire Year5_LAC_1to4)</f>
        <v>52</v>
      </c>
      <c r="AA252" s="424">
        <f>IF(Year5_Buckinghamshire Year5_LAC_5to9="","",Year5_Buckinghamshire Year5_LAC_5to9)</f>
        <v>75</v>
      </c>
      <c r="AB252" s="424">
        <f>IF(Year5_Buckinghamshire Year5_LAC_10to15="","",Year5_Buckinghamshire Year5_LAC_10to15)</f>
        <v>206</v>
      </c>
      <c r="AC252" s="424">
        <f>IF(Year5_Buckinghamshire Year5_LAC_16plus="","",Year5_Buckinghamshire Year5_LAC_16plus)</f>
        <v>122</v>
      </c>
      <c r="AD252" s="88" t="e">
        <f t="shared" ref="AD252:AD273" si="99">IF(X252=$Y$4,1,NA())</f>
        <v>#N/A</v>
      </c>
      <c r="AE252" s="88">
        <f t="shared" si="98"/>
        <v>475</v>
      </c>
      <c r="AF252" s="88"/>
      <c r="AG252" s="88"/>
      <c r="AH252" s="88"/>
      <c r="AI252" s="210"/>
      <c r="AJ252" s="178"/>
    </row>
    <row r="253" spans="1:45" s="101" customFormat="1" ht="15" customHeight="1" x14ac:dyDescent="0.2">
      <c r="A253" s="533">
        <f>VLOOKUP(B253,Sheet1!$B$4:$C$25,2,FALSE)</f>
        <v>0</v>
      </c>
      <c r="B253" s="112" t="str">
        <f t="shared" si="85"/>
        <v>East Sussex</v>
      </c>
      <c r="C253" s="97"/>
      <c r="D253" s="658">
        <f t="shared" si="88"/>
        <v>36</v>
      </c>
      <c r="E253" s="658">
        <f t="shared" si="89"/>
        <v>82</v>
      </c>
      <c r="F253" s="658">
        <f t="shared" si="90"/>
        <v>119</v>
      </c>
      <c r="G253" s="658">
        <f t="shared" si="91"/>
        <v>229</v>
      </c>
      <c r="H253" s="713">
        <f t="shared" si="92"/>
        <v>137</v>
      </c>
      <c r="I253" s="714">
        <f t="shared" si="93"/>
        <v>5.9701492537313432E-2</v>
      </c>
      <c r="J253" s="1101">
        <f t="shared" si="93"/>
        <v>0.13598673300165837</v>
      </c>
      <c r="K253" s="1102"/>
      <c r="L253" s="714">
        <f t="shared" si="94"/>
        <v>0.19734660033167495</v>
      </c>
      <c r="M253" s="714">
        <f t="shared" si="95"/>
        <v>0.37976782752902155</v>
      </c>
      <c r="N253" s="715">
        <f t="shared" si="96"/>
        <v>0.22719734660033167</v>
      </c>
      <c r="O253" s="460"/>
      <c r="P253" s="442"/>
      <c r="Q253" s="442"/>
      <c r="R253" s="442"/>
      <c r="S253" s="192"/>
      <c r="T253" s="461"/>
      <c r="U253" s="139"/>
      <c r="V253" s="154"/>
      <c r="W253" s="170"/>
      <c r="X253" s="424" t="str">
        <f t="shared" si="97"/>
        <v>East Sussex</v>
      </c>
      <c r="Y253" s="424">
        <f>IF(Year5_East_Sussex Year5_LAC_Under1="","",Year5_East_Sussex Year5_LAC_Under1)</f>
        <v>36</v>
      </c>
      <c r="Z253" s="424">
        <f>IF(Year5_East_Sussex Year5_LAC_1to4="","",Year5_East_Sussex Year5_LAC_1to4)</f>
        <v>82</v>
      </c>
      <c r="AA253" s="424">
        <f>IF(Year5_East_Sussex Year5_LAC_5to9="","",Year5_East_Sussex Year5_LAC_5to9)</f>
        <v>119</v>
      </c>
      <c r="AB253" s="424">
        <f>IF(Year5_East_Sussex Year5_LAC_10to15="","",Year5_East_Sussex Year5_LAC_10to15)</f>
        <v>229</v>
      </c>
      <c r="AC253" s="424">
        <f>IF(Year5_East_Sussex Year5_LAC_16plus="","",Year5_East_Sussex Year5_LAC_16plus)</f>
        <v>137</v>
      </c>
      <c r="AD253" s="88" t="e">
        <f t="shared" si="99"/>
        <v>#N/A</v>
      </c>
      <c r="AE253" s="88">
        <f t="shared" si="98"/>
        <v>603</v>
      </c>
      <c r="AF253" s="88"/>
      <c r="AG253" s="88"/>
      <c r="AH253" s="88"/>
      <c r="AI253" s="210"/>
      <c r="AJ253" s="178"/>
    </row>
    <row r="254" spans="1:45" s="101" customFormat="1" ht="15" customHeight="1" x14ac:dyDescent="0.2">
      <c r="A254" s="533">
        <f>VLOOKUP(B254,Sheet1!$B$4:$C$25,2,FALSE)</f>
        <v>0</v>
      </c>
      <c r="B254" s="112" t="str">
        <f t="shared" si="85"/>
        <v>Hampshire</v>
      </c>
      <c r="C254" s="97"/>
      <c r="D254" s="658">
        <f t="shared" si="88"/>
        <v>67</v>
      </c>
      <c r="E254" s="658">
        <f t="shared" si="89"/>
        <v>213</v>
      </c>
      <c r="F254" s="658">
        <f t="shared" si="90"/>
        <v>317</v>
      </c>
      <c r="G254" s="658">
        <f t="shared" si="91"/>
        <v>641</v>
      </c>
      <c r="H254" s="713">
        <f t="shared" si="92"/>
        <v>356</v>
      </c>
      <c r="I254" s="714">
        <f t="shared" si="93"/>
        <v>4.2032622333751567E-2</v>
      </c>
      <c r="J254" s="1101">
        <f t="shared" si="93"/>
        <v>0.13362609786700125</v>
      </c>
      <c r="K254" s="1102"/>
      <c r="L254" s="714">
        <f t="shared" si="94"/>
        <v>0.19887076537013801</v>
      </c>
      <c r="M254" s="714">
        <f t="shared" si="95"/>
        <v>0.40213299874529485</v>
      </c>
      <c r="N254" s="715">
        <f t="shared" si="96"/>
        <v>0.2233375156838143</v>
      </c>
      <c r="O254" s="460"/>
      <c r="P254" s="442"/>
      <c r="Q254" s="442"/>
      <c r="R254" s="442"/>
      <c r="S254" s="192"/>
      <c r="T254" s="461"/>
      <c r="U254" s="139"/>
      <c r="V254" s="154"/>
      <c r="W254" s="170"/>
      <c r="X254" s="424" t="str">
        <f t="shared" si="97"/>
        <v>Hampshire</v>
      </c>
      <c r="Y254" s="424">
        <f>IF(Year5_Hampshire Year5_LAC_Under1="","",Year5_Hampshire Year5_LAC_Under1)</f>
        <v>67</v>
      </c>
      <c r="Z254" s="424">
        <f>IF(Year5_Hampshire Year5_LAC_1to4="","",Year5_Hampshire Year5_LAC_1to4)</f>
        <v>213</v>
      </c>
      <c r="AA254" s="424">
        <f>IF(Year5_Hampshire Year5_LAC_5to9="","",Year5_Hampshire Year5_LAC_5to9)</f>
        <v>317</v>
      </c>
      <c r="AB254" s="424">
        <f>IF(Year5_Hampshire Year5_LAC_10to15="","",Year5_Hampshire Year5_LAC_10to15)</f>
        <v>641</v>
      </c>
      <c r="AC254" s="424">
        <f>IF(Year5_Hampshire Year5_LAC_16plus="","",Year5_Hampshire Year5_LAC_16plus)</f>
        <v>356</v>
      </c>
      <c r="AD254" s="88" t="e">
        <f t="shared" si="99"/>
        <v>#N/A</v>
      </c>
      <c r="AE254" s="88">
        <f t="shared" si="98"/>
        <v>1594</v>
      </c>
      <c r="AF254" s="88"/>
      <c r="AG254" s="88"/>
      <c r="AH254" s="88"/>
      <c r="AI254" s="210"/>
      <c r="AJ254" s="178"/>
    </row>
    <row r="255" spans="1:45" s="101" customFormat="1" ht="15" customHeight="1" x14ac:dyDescent="0.2">
      <c r="A255" s="533">
        <f>VLOOKUP(B255,Sheet1!$B$4:$C$25,2,FALSE)</f>
        <v>0</v>
      </c>
      <c r="B255" s="112" t="str">
        <f t="shared" si="85"/>
        <v>Isle of Wight</v>
      </c>
      <c r="C255" s="97"/>
      <c r="D255" s="658">
        <f t="shared" si="88"/>
        <v>9</v>
      </c>
      <c r="E255" s="658">
        <f t="shared" si="89"/>
        <v>29</v>
      </c>
      <c r="F255" s="658">
        <f t="shared" si="90"/>
        <v>57</v>
      </c>
      <c r="G255" s="658">
        <f t="shared" si="91"/>
        <v>91</v>
      </c>
      <c r="H255" s="713">
        <f t="shared" si="92"/>
        <v>40</v>
      </c>
      <c r="I255" s="714">
        <f t="shared" si="93"/>
        <v>3.9823008849557522E-2</v>
      </c>
      <c r="J255" s="1101">
        <f t="shared" si="93"/>
        <v>0.12831858407079647</v>
      </c>
      <c r="K255" s="1102"/>
      <c r="L255" s="714">
        <f t="shared" si="94"/>
        <v>0.25221238938053098</v>
      </c>
      <c r="M255" s="714">
        <f t="shared" si="95"/>
        <v>0.40265486725663718</v>
      </c>
      <c r="N255" s="715">
        <f t="shared" si="96"/>
        <v>0.17699115044247787</v>
      </c>
      <c r="O255" s="460"/>
      <c r="P255" s="442"/>
      <c r="Q255" s="442"/>
      <c r="R255" s="442"/>
      <c r="S255" s="192"/>
      <c r="T255" s="461"/>
      <c r="U255" s="139"/>
      <c r="V255" s="154"/>
      <c r="W255" s="170"/>
      <c r="X255" s="424" t="str">
        <f t="shared" si="97"/>
        <v>Isle of Wight</v>
      </c>
      <c r="Y255" s="424">
        <f>IF(Year5_Isle_of_Wight Year5_LAC_Under1="","",Year5_Isle_of_Wight Year5_LAC_Under1)</f>
        <v>9</v>
      </c>
      <c r="Z255" s="424">
        <f>IF(Year5_Isle_of_Wight Year5_LAC_1to4="","",Year5_Isle_of_Wight Year5_LAC_1to4)</f>
        <v>29</v>
      </c>
      <c r="AA255" s="424">
        <f>IF(Year5_Isle_of_Wight Year5_LAC_5to9="","",Year5_Isle_of_Wight Year5_LAC_5to9)</f>
        <v>57</v>
      </c>
      <c r="AB255" s="424">
        <f>IF(Year5_Isle_of_Wight Year5_LAC_10to15="","",Year5_Isle_of_Wight Year5_LAC_10to15)</f>
        <v>91</v>
      </c>
      <c r="AC255" s="424">
        <f>IF(Year5_Isle_of_Wight Year5_LAC_16plus="","",Year5_Isle_of_Wight Year5_LAC_16plus)</f>
        <v>40</v>
      </c>
      <c r="AD255" s="88" t="e">
        <f t="shared" si="99"/>
        <v>#N/A</v>
      </c>
      <c r="AE255" s="88">
        <f t="shared" si="98"/>
        <v>226</v>
      </c>
      <c r="AF255" s="88"/>
      <c r="AG255" s="88"/>
      <c r="AH255" s="88"/>
      <c r="AI255" s="210"/>
      <c r="AJ255" s="178"/>
      <c r="AR255" s="101" t="s">
        <v>104</v>
      </c>
    </row>
    <row r="256" spans="1:45" s="101" customFormat="1" ht="15" customHeight="1" x14ac:dyDescent="0.2">
      <c r="A256" s="533">
        <f>VLOOKUP(B256,Sheet1!$B$4:$C$25,2,FALSE)</f>
        <v>0</v>
      </c>
      <c r="B256" s="112" t="str">
        <f t="shared" si="85"/>
        <v>Kent</v>
      </c>
      <c r="C256" s="97"/>
      <c r="D256" s="658">
        <f t="shared" si="88"/>
        <v>64</v>
      </c>
      <c r="E256" s="658">
        <f t="shared" si="89"/>
        <v>112</v>
      </c>
      <c r="F256" s="658">
        <f t="shared" si="90"/>
        <v>237</v>
      </c>
      <c r="G256" s="658">
        <f t="shared" si="91"/>
        <v>692</v>
      </c>
      <c r="H256" s="713">
        <f t="shared" si="92"/>
        <v>540</v>
      </c>
      <c r="I256" s="714">
        <f t="shared" si="93"/>
        <v>3.8905775075987845E-2</v>
      </c>
      <c r="J256" s="1101">
        <f t="shared" si="93"/>
        <v>6.8085106382978725E-2</v>
      </c>
      <c r="K256" s="1102"/>
      <c r="L256" s="714">
        <f t="shared" si="94"/>
        <v>0.14407294832826747</v>
      </c>
      <c r="M256" s="714">
        <f t="shared" si="95"/>
        <v>0.42066869300911852</v>
      </c>
      <c r="N256" s="715">
        <f t="shared" si="96"/>
        <v>0.32826747720364741</v>
      </c>
      <c r="O256" s="460"/>
      <c r="P256" s="442"/>
      <c r="Q256" s="442"/>
      <c r="R256" s="442"/>
      <c r="S256" s="192"/>
      <c r="T256" s="461"/>
      <c r="U256" s="139"/>
      <c r="V256" s="154"/>
      <c r="W256" s="170"/>
      <c r="X256" s="424" t="str">
        <f t="shared" si="97"/>
        <v>Kent</v>
      </c>
      <c r="Y256" s="424">
        <f>IF(Year5_Kent Year5_LAC_Under1="","",Year5_Kent Year5_LAC_Under1)</f>
        <v>64</v>
      </c>
      <c r="Z256" s="424">
        <f>IF(Year5_Kent Year5_LAC_1to4="","",Year5_Kent Year5_LAC_1to4)</f>
        <v>112</v>
      </c>
      <c r="AA256" s="424">
        <f>IF(Year5_Kent Year5_LAC_5to9="","",Year5_Kent Year5_LAC_5to9)</f>
        <v>237</v>
      </c>
      <c r="AB256" s="424">
        <f>IF(Year5_Kent Year5_LAC_10to15="","",Year5_Kent Year5_LAC_10to15)</f>
        <v>692</v>
      </c>
      <c r="AC256" s="424">
        <f>IF(Year5_Kent Year5_LAC_16plus="","",Year5_Kent Year5_LAC_16plus)</f>
        <v>540</v>
      </c>
      <c r="AD256" s="88" t="e">
        <f t="shared" si="99"/>
        <v>#N/A</v>
      </c>
      <c r="AE256" s="88">
        <f t="shared" si="98"/>
        <v>1645</v>
      </c>
      <c r="AF256" s="88"/>
      <c r="AG256" s="88"/>
      <c r="AH256" s="88"/>
      <c r="AI256" s="210"/>
      <c r="AJ256" s="178"/>
    </row>
    <row r="257" spans="1:36" s="101" customFormat="1" ht="15" customHeight="1" x14ac:dyDescent="0.2">
      <c r="A257" s="533">
        <f>VLOOKUP(B257,Sheet1!$B$4:$C$25,2,FALSE)</f>
        <v>0</v>
      </c>
      <c r="B257" s="112" t="str">
        <f t="shared" si="85"/>
        <v>Medway</v>
      </c>
      <c r="C257" s="97"/>
      <c r="D257" s="658">
        <f t="shared" si="88"/>
        <v>29</v>
      </c>
      <c r="E257" s="658">
        <f t="shared" si="89"/>
        <v>57</v>
      </c>
      <c r="F257" s="658">
        <f t="shared" si="90"/>
        <v>84</v>
      </c>
      <c r="G257" s="658">
        <f t="shared" si="91"/>
        <v>171</v>
      </c>
      <c r="H257" s="713">
        <f t="shared" si="92"/>
        <v>73</v>
      </c>
      <c r="I257" s="714">
        <f t="shared" si="93"/>
        <v>7.0048309178743967E-2</v>
      </c>
      <c r="J257" s="1101">
        <f t="shared" si="93"/>
        <v>0.13768115942028986</v>
      </c>
      <c r="K257" s="1102"/>
      <c r="L257" s="714">
        <f t="shared" si="94"/>
        <v>0.20289855072463769</v>
      </c>
      <c r="M257" s="714">
        <f t="shared" si="95"/>
        <v>0.41304347826086957</v>
      </c>
      <c r="N257" s="715">
        <f t="shared" si="96"/>
        <v>0.17632850241545894</v>
      </c>
      <c r="O257" s="460"/>
      <c r="P257" s="442"/>
      <c r="Q257" s="442"/>
      <c r="R257" s="442"/>
      <c r="S257" s="192"/>
      <c r="T257" s="461"/>
      <c r="U257" s="139"/>
      <c r="V257" s="154"/>
      <c r="W257" s="170"/>
      <c r="X257" s="424" t="str">
        <f t="shared" si="97"/>
        <v>Medway</v>
      </c>
      <c r="Y257" s="424">
        <f>IF(Year5_Medway Year5_LAC_Under1="","",Year5_Medway Year5_LAC_Under1)</f>
        <v>29</v>
      </c>
      <c r="Z257" s="424">
        <f>IF(Year5_Medway Year5_LAC_1to4="","",Year5_Medway Year5_LAC_1to4)</f>
        <v>57</v>
      </c>
      <c r="AA257" s="424">
        <f>IF(Year5_Medway Year5_LAC_5to9="","",Year5_Medway Year5_LAC_5to9)</f>
        <v>84</v>
      </c>
      <c r="AB257" s="424">
        <f>IF(Year5_Medway Year5_LAC_10to15="","",Year5_Medway Year5_LAC_10to15)</f>
        <v>171</v>
      </c>
      <c r="AC257" s="424">
        <f>IF(Year5_Medway Year5_LAC_16plus="","",Year5_Medway Year5_LAC_16plus)</f>
        <v>73</v>
      </c>
      <c r="AD257" s="88" t="e">
        <f t="shared" si="99"/>
        <v>#N/A</v>
      </c>
      <c r="AE257" s="88">
        <f t="shared" si="98"/>
        <v>414</v>
      </c>
      <c r="AF257" s="88"/>
      <c r="AG257" s="88"/>
      <c r="AH257" s="88"/>
      <c r="AI257" s="210"/>
      <c r="AJ257" s="178"/>
    </row>
    <row r="258" spans="1:36" s="101" customFormat="1" ht="15" customHeight="1" x14ac:dyDescent="0.2">
      <c r="A258" s="533">
        <f>VLOOKUP(B258,Sheet1!$B$4:$C$25,2,FALSE)</f>
        <v>0</v>
      </c>
      <c r="B258" s="112" t="str">
        <f t="shared" si="85"/>
        <v>Milton Keynes</v>
      </c>
      <c r="C258" s="97"/>
      <c r="D258" s="658">
        <f t="shared" si="88"/>
        <v>23</v>
      </c>
      <c r="E258" s="658">
        <f t="shared" si="89"/>
        <v>55</v>
      </c>
      <c r="F258" s="658">
        <f t="shared" si="90"/>
        <v>82</v>
      </c>
      <c r="G258" s="658">
        <f t="shared" si="91"/>
        <v>158</v>
      </c>
      <c r="H258" s="713">
        <f t="shared" si="92"/>
        <v>73</v>
      </c>
      <c r="I258" s="714">
        <f t="shared" si="93"/>
        <v>5.8823529411764705E-2</v>
      </c>
      <c r="J258" s="1101">
        <f t="shared" si="93"/>
        <v>0.14066496163682865</v>
      </c>
      <c r="K258" s="1102"/>
      <c r="L258" s="714">
        <f t="shared" si="94"/>
        <v>0.20971867007672634</v>
      </c>
      <c r="M258" s="714">
        <f t="shared" si="95"/>
        <v>0.40409207161125321</v>
      </c>
      <c r="N258" s="715">
        <f t="shared" si="96"/>
        <v>0.1867007672634271</v>
      </c>
      <c r="O258" s="460"/>
      <c r="P258" s="442"/>
      <c r="Q258" s="442"/>
      <c r="R258" s="442"/>
      <c r="S258" s="192"/>
      <c r="T258" s="461"/>
      <c r="U258" s="139"/>
      <c r="V258" s="154"/>
      <c r="W258" s="170"/>
      <c r="X258" s="424" t="str">
        <f t="shared" si="97"/>
        <v>Milton Keynes</v>
      </c>
      <c r="Y258" s="424">
        <f>IF(Year5_Milton_Keynes Year5_LAC_Under1="","",Year5_Milton_Keynes Year5_LAC_Under1)</f>
        <v>23</v>
      </c>
      <c r="Z258" s="424">
        <f>IF(Year5_Milton_Keynes Year5_LAC_1to4="","",Year5_Milton_Keynes Year5_LAC_1to4)</f>
        <v>55</v>
      </c>
      <c r="AA258" s="424">
        <f>IF(Year5_Milton_Keynes Year5_LAC_5to9="","",Year5_Milton_Keynes Year5_LAC_5to9)</f>
        <v>82</v>
      </c>
      <c r="AB258" s="424">
        <f>IF(Year5_Milton_Keynes Year5_LAC_10to15="","",Year5_Milton_Keynes Year5_LAC_10to15)</f>
        <v>158</v>
      </c>
      <c r="AC258" s="424">
        <f>IF(Year5_Milton_Keynes Year5_LAC_16plus="","",Year5_Milton_Keynes Year5_LAC_16plus)</f>
        <v>73</v>
      </c>
      <c r="AD258" s="88" t="e">
        <f t="shared" si="99"/>
        <v>#N/A</v>
      </c>
      <c r="AE258" s="88">
        <f t="shared" si="98"/>
        <v>391</v>
      </c>
      <c r="AF258" s="88"/>
      <c r="AG258" s="88"/>
      <c r="AH258" s="88"/>
      <c r="AI258" s="210"/>
      <c r="AJ258" s="178"/>
    </row>
    <row r="259" spans="1:36" s="101" customFormat="1" ht="15" customHeight="1" x14ac:dyDescent="0.2">
      <c r="A259" s="533">
        <f>VLOOKUP(B259,Sheet1!$B$4:$C$25,2,FALSE)</f>
        <v>0</v>
      </c>
      <c r="B259" s="112" t="str">
        <f t="shared" si="85"/>
        <v>Oxfordshire</v>
      </c>
      <c r="C259" s="97"/>
      <c r="D259" s="658">
        <f t="shared" si="88"/>
        <v>36</v>
      </c>
      <c r="E259" s="658">
        <f t="shared" si="89"/>
        <v>75</v>
      </c>
      <c r="F259" s="658">
        <f t="shared" si="90"/>
        <v>119</v>
      </c>
      <c r="G259" s="658">
        <f t="shared" si="91"/>
        <v>284</v>
      </c>
      <c r="H259" s="713">
        <f t="shared" si="92"/>
        <v>171</v>
      </c>
      <c r="I259" s="714">
        <f t="shared" si="93"/>
        <v>5.2554744525547446E-2</v>
      </c>
      <c r="J259" s="1101">
        <f t="shared" si="93"/>
        <v>0.10948905109489052</v>
      </c>
      <c r="K259" s="1102"/>
      <c r="L259" s="714">
        <f t="shared" si="94"/>
        <v>0.17372262773722627</v>
      </c>
      <c r="M259" s="714">
        <f t="shared" si="95"/>
        <v>0.41459854014598541</v>
      </c>
      <c r="N259" s="715">
        <f t="shared" si="96"/>
        <v>0.24963503649635035</v>
      </c>
      <c r="O259" s="460"/>
      <c r="P259" s="442"/>
      <c r="Q259" s="442"/>
      <c r="R259" s="442"/>
      <c r="S259" s="192"/>
      <c r="T259" s="461"/>
      <c r="U259" s="139"/>
      <c r="V259" s="154"/>
      <c r="W259" s="170"/>
      <c r="X259" s="424" t="str">
        <f t="shared" si="97"/>
        <v>Oxfordshire</v>
      </c>
      <c r="Y259" s="424">
        <f>IF(Year5_Oxfordshire Year5_LAC_Under1="","",Year5_Oxfordshire Year5_LAC_Under1)</f>
        <v>36</v>
      </c>
      <c r="Z259" s="424">
        <f>IF(Year5_Oxfordshire Year5_LAC_1to4="","",Year5_Oxfordshire Year5_LAC_1to4)</f>
        <v>75</v>
      </c>
      <c r="AA259" s="424">
        <f>IF(Year5_Oxfordshire Year5_LAC_5to9="","",Year5_Oxfordshire Year5_LAC_5to9)</f>
        <v>119</v>
      </c>
      <c r="AB259" s="424">
        <f>IF(Year5_Oxfordshire Year5_LAC_10to15="","",Year5_Oxfordshire Year5_LAC_10to15)</f>
        <v>284</v>
      </c>
      <c r="AC259" s="424">
        <f>IF(Year5_Oxfordshire Year5_LAC_16plus="","",Year5_Oxfordshire Year5_LAC_16plus)</f>
        <v>171</v>
      </c>
      <c r="AD259" s="88" t="e">
        <f t="shared" si="99"/>
        <v>#N/A</v>
      </c>
      <c r="AE259" s="88">
        <f t="shared" si="98"/>
        <v>685</v>
      </c>
      <c r="AF259" s="88"/>
      <c r="AG259" s="88"/>
      <c r="AH259" s="88"/>
      <c r="AI259" s="210"/>
      <c r="AJ259" s="178"/>
    </row>
    <row r="260" spans="1:36" s="101" customFormat="1" ht="15" customHeight="1" x14ac:dyDescent="0.2">
      <c r="A260" s="533">
        <f>VLOOKUP(B260,Sheet1!$B$4:$C$25,2,FALSE)</f>
        <v>0</v>
      </c>
      <c r="B260" s="112" t="str">
        <f t="shared" si="85"/>
        <v>Portsmouth</v>
      </c>
      <c r="C260" s="97"/>
      <c r="D260" s="658">
        <f t="shared" si="88"/>
        <v>16</v>
      </c>
      <c r="E260" s="658">
        <f t="shared" si="89"/>
        <v>47</v>
      </c>
      <c r="F260" s="658">
        <f t="shared" si="90"/>
        <v>58</v>
      </c>
      <c r="G260" s="658">
        <f t="shared" si="91"/>
        <v>173</v>
      </c>
      <c r="H260" s="713">
        <f t="shared" si="92"/>
        <v>121</v>
      </c>
      <c r="I260" s="714">
        <f t="shared" si="93"/>
        <v>3.8554216867469883E-2</v>
      </c>
      <c r="J260" s="1101">
        <f t="shared" si="93"/>
        <v>0.11325301204819277</v>
      </c>
      <c r="K260" s="1102"/>
      <c r="L260" s="714">
        <f t="shared" si="94"/>
        <v>0.13975903614457832</v>
      </c>
      <c r="M260" s="714">
        <f t="shared" si="95"/>
        <v>0.41686746987951806</v>
      </c>
      <c r="N260" s="715">
        <f t="shared" si="96"/>
        <v>0.29156626506024097</v>
      </c>
      <c r="O260" s="460"/>
      <c r="P260" s="442"/>
      <c r="Q260" s="442"/>
      <c r="R260" s="442"/>
      <c r="S260" s="192"/>
      <c r="T260" s="461"/>
      <c r="U260" s="139"/>
      <c r="V260" s="154"/>
      <c r="W260" s="170"/>
      <c r="X260" s="424" t="str">
        <f t="shared" si="97"/>
        <v>Portsmouth</v>
      </c>
      <c r="Y260" s="424">
        <f>IF(Year5_Portsmouth Year5_LAC_Under1="","",Year5_Portsmouth Year5_LAC_Under1)</f>
        <v>16</v>
      </c>
      <c r="Z260" s="424">
        <f>IF(Year5_Portsmouth Year5_LAC_1to4="","",Year5_Portsmouth Year5_LAC_1to4)</f>
        <v>47</v>
      </c>
      <c r="AA260" s="424">
        <f>IF(Year5_Portsmouth Year5_LAC_5to9="","",Year5_Portsmouth Year5_LAC_5to9)</f>
        <v>58</v>
      </c>
      <c r="AB260" s="424">
        <f>IF(Year5_Portsmouth Year5_LAC_10to15="","",Year5_Portsmouth Year5_LAC_10to15)</f>
        <v>173</v>
      </c>
      <c r="AC260" s="424">
        <f>IF(Year5_Portsmouth Year5_LAC_16plus="","",Year5_Portsmouth Year5_LAC_16plus)</f>
        <v>121</v>
      </c>
      <c r="AD260" s="88" t="e">
        <f t="shared" si="99"/>
        <v>#N/A</v>
      </c>
      <c r="AE260" s="88">
        <f t="shared" si="98"/>
        <v>415</v>
      </c>
      <c r="AF260" s="88"/>
      <c r="AG260" s="88"/>
      <c r="AH260" s="88"/>
      <c r="AI260" s="210"/>
      <c r="AJ260" s="178"/>
    </row>
    <row r="261" spans="1:36" s="101" customFormat="1" ht="15" customHeight="1" x14ac:dyDescent="0.2">
      <c r="A261" s="533">
        <f>VLOOKUP(B261,Sheet1!$B$4:$C$25,2,FALSE)</f>
        <v>0</v>
      </c>
      <c r="B261" s="112" t="str">
        <f t="shared" si="85"/>
        <v>Reading</v>
      </c>
      <c r="C261" s="97"/>
      <c r="D261" s="658">
        <f t="shared" si="88"/>
        <v>21</v>
      </c>
      <c r="E261" s="658">
        <f t="shared" si="89"/>
        <v>45</v>
      </c>
      <c r="F261" s="658">
        <f t="shared" si="90"/>
        <v>56</v>
      </c>
      <c r="G261" s="658">
        <f t="shared" si="91"/>
        <v>104</v>
      </c>
      <c r="H261" s="713">
        <f t="shared" si="92"/>
        <v>52</v>
      </c>
      <c r="I261" s="714">
        <f t="shared" si="93"/>
        <v>7.5539568345323743E-2</v>
      </c>
      <c r="J261" s="1101">
        <f t="shared" si="93"/>
        <v>0.16187050359712229</v>
      </c>
      <c r="K261" s="1102"/>
      <c r="L261" s="714">
        <f t="shared" si="94"/>
        <v>0.20143884892086331</v>
      </c>
      <c r="M261" s="714">
        <f t="shared" si="95"/>
        <v>0.37410071942446044</v>
      </c>
      <c r="N261" s="715">
        <f t="shared" si="96"/>
        <v>0.18705035971223022</v>
      </c>
      <c r="O261" s="460"/>
      <c r="P261" s="442"/>
      <c r="Q261" s="442"/>
      <c r="R261" s="442"/>
      <c r="S261" s="192"/>
      <c r="T261" s="461"/>
      <c r="U261" s="139"/>
      <c r="V261" s="154"/>
      <c r="W261" s="170"/>
      <c r="X261" s="424" t="str">
        <f t="shared" si="97"/>
        <v>Reading</v>
      </c>
      <c r="Y261" s="424">
        <f>IF(Year5_Reading Year5_LAC_Under1="","",Year5_Reading Year5_LAC_Under1)</f>
        <v>21</v>
      </c>
      <c r="Z261" s="424">
        <f>IF(Year5_Reading Year5_LAC_1to4="","",Year5_Reading Year5_LAC_1to4)</f>
        <v>45</v>
      </c>
      <c r="AA261" s="424">
        <f>IF(Year5_Reading Year5_LAC_5to9="","",Year5_Reading Year5_LAC_5to9)</f>
        <v>56</v>
      </c>
      <c r="AB261" s="424">
        <f>IF(Year5_Reading Year5_LAC_10to15="","",Year5_Reading Year5_LAC_10to15)</f>
        <v>104</v>
      </c>
      <c r="AC261" s="424">
        <f>IF(Year5_Reading Year5_LAC_16plus="","",Year5_Reading Year5_LAC_16plus)</f>
        <v>52</v>
      </c>
      <c r="AD261" s="88" t="e">
        <f t="shared" si="99"/>
        <v>#N/A</v>
      </c>
      <c r="AE261" s="88">
        <f t="shared" si="98"/>
        <v>278</v>
      </c>
      <c r="AF261" s="88"/>
      <c r="AG261" s="88"/>
      <c r="AH261" s="88"/>
      <c r="AI261" s="210"/>
      <c r="AJ261" s="178"/>
    </row>
    <row r="262" spans="1:36" s="101" customFormat="1" ht="15" customHeight="1" x14ac:dyDescent="0.2">
      <c r="A262" s="533">
        <f>VLOOKUP(B262,Sheet1!$B$4:$C$25,2,FALSE)</f>
        <v>0</v>
      </c>
      <c r="B262" s="112" t="str">
        <f t="shared" si="85"/>
        <v>Slough</v>
      </c>
      <c r="C262" s="97"/>
      <c r="D262" s="658">
        <f t="shared" si="88"/>
        <v>12</v>
      </c>
      <c r="E262" s="658">
        <f t="shared" si="89"/>
        <v>26</v>
      </c>
      <c r="F262" s="658">
        <f t="shared" si="90"/>
        <v>40</v>
      </c>
      <c r="G262" s="658">
        <f t="shared" si="91"/>
        <v>73</v>
      </c>
      <c r="H262" s="713">
        <f t="shared" si="92"/>
        <v>55</v>
      </c>
      <c r="I262" s="714">
        <f t="shared" si="93"/>
        <v>5.8252427184466021E-2</v>
      </c>
      <c r="J262" s="1101">
        <f t="shared" si="93"/>
        <v>0.12621359223300971</v>
      </c>
      <c r="K262" s="1102"/>
      <c r="L262" s="714">
        <f t="shared" si="94"/>
        <v>0.1941747572815534</v>
      </c>
      <c r="M262" s="714">
        <f t="shared" si="95"/>
        <v>0.35436893203883496</v>
      </c>
      <c r="N262" s="715">
        <f t="shared" si="96"/>
        <v>0.26699029126213591</v>
      </c>
      <c r="O262" s="460"/>
      <c r="P262" s="442"/>
      <c r="Q262" s="442"/>
      <c r="R262" s="442"/>
      <c r="S262" s="192"/>
      <c r="T262" s="461"/>
      <c r="U262" s="139"/>
      <c r="V262" s="154"/>
      <c r="W262" s="170"/>
      <c r="X262" s="424" t="str">
        <f t="shared" si="97"/>
        <v>Slough</v>
      </c>
      <c r="Y262" s="424">
        <f>IF(Year5_Slough Year5_LAC_Under1="","",Year5_Slough Year5_LAC_Under1)</f>
        <v>12</v>
      </c>
      <c r="Z262" s="424">
        <f>IF(Year5_Slough Year5_LAC_1to4="","",Year5_Slough Year5_LAC_1to4)</f>
        <v>26</v>
      </c>
      <c r="AA262" s="424">
        <f>IF(Year5_Slough Year5_LAC_5to9="","",Year5_Slough Year5_LAC_5to9)</f>
        <v>40</v>
      </c>
      <c r="AB262" s="424">
        <f>IF(Year5_Slough Year5_LAC_10to15="","",Year5_Slough Year5_LAC_10to15)</f>
        <v>73</v>
      </c>
      <c r="AC262" s="424">
        <f>IF(Year5_Slough Year5_LAC_16plus="","",Year5_Slough Year5_LAC_16plus)</f>
        <v>55</v>
      </c>
      <c r="AD262" s="88" t="e">
        <f t="shared" si="99"/>
        <v>#N/A</v>
      </c>
      <c r="AE262" s="88">
        <f t="shared" si="98"/>
        <v>206</v>
      </c>
      <c r="AF262" s="88"/>
      <c r="AG262" s="88"/>
      <c r="AH262" s="88"/>
      <c r="AI262" s="210"/>
      <c r="AJ262" s="178"/>
    </row>
    <row r="263" spans="1:36" s="101" customFormat="1" ht="15" customHeight="1" x14ac:dyDescent="0.2">
      <c r="A263" s="533">
        <f>VLOOKUP(B263,Sheet1!$B$4:$C$25,2,FALSE)</f>
        <v>0</v>
      </c>
      <c r="B263" s="112" t="str">
        <f t="shared" si="85"/>
        <v>Somerset</v>
      </c>
      <c r="C263" s="97"/>
      <c r="D263" s="658">
        <f t="shared" si="88"/>
        <v>38</v>
      </c>
      <c r="E263" s="658">
        <f t="shared" si="89"/>
        <v>52</v>
      </c>
      <c r="F263" s="658">
        <f t="shared" si="90"/>
        <v>78</v>
      </c>
      <c r="G263" s="658">
        <f t="shared" si="91"/>
        <v>223</v>
      </c>
      <c r="H263" s="713">
        <f t="shared" si="92"/>
        <v>131</v>
      </c>
      <c r="I263" s="714">
        <f t="shared" si="93"/>
        <v>7.2796934865900387E-2</v>
      </c>
      <c r="J263" s="1101">
        <f t="shared" si="93"/>
        <v>9.9616858237547887E-2</v>
      </c>
      <c r="K263" s="1102"/>
      <c r="L263" s="714">
        <f t="shared" si="94"/>
        <v>0.14942528735632185</v>
      </c>
      <c r="M263" s="714">
        <f t="shared" si="95"/>
        <v>0.42720306513409961</v>
      </c>
      <c r="N263" s="715">
        <f t="shared" si="96"/>
        <v>0.25095785440613028</v>
      </c>
      <c r="O263" s="460"/>
      <c r="P263" s="442"/>
      <c r="Q263" s="442"/>
      <c r="R263" s="442"/>
      <c r="S263" s="192"/>
      <c r="T263" s="461"/>
      <c r="U263" s="139"/>
      <c r="V263" s="154"/>
      <c r="W263" s="170"/>
      <c r="X263" s="424" t="str">
        <f t="shared" si="97"/>
        <v>Somerset</v>
      </c>
      <c r="Y263" s="424">
        <f>IF(Year5_Somerset Year5_LAC_Under1="","",Year5_Somerset Year5_LAC_Under1)</f>
        <v>38</v>
      </c>
      <c r="Z263" s="424">
        <f>IF(Year5_Somerset Year5_LAC_1to4="","",Year5_Somerset Year5_LAC_1to4)</f>
        <v>52</v>
      </c>
      <c r="AA263" s="424">
        <f>IF(Year5_Somerset Year5_LAC_5to9="","",Year5_Somerset Year5_LAC_5to9)</f>
        <v>78</v>
      </c>
      <c r="AB263" s="424">
        <f>IF(Year5_Somerset Year5_LAC_10to15="","",Year5_Somerset Year5_LAC_10to15)</f>
        <v>223</v>
      </c>
      <c r="AC263" s="424">
        <f>IF(Year5_Somerset Year5_LAC_16plus="","",Year5_Somerset Year5_LAC_16plus)</f>
        <v>131</v>
      </c>
      <c r="AD263" s="88" t="e">
        <f t="shared" si="99"/>
        <v>#N/A</v>
      </c>
      <c r="AE263" s="88">
        <f t="shared" si="98"/>
        <v>522</v>
      </c>
      <c r="AF263" s="88"/>
      <c r="AG263" s="88"/>
      <c r="AH263" s="88"/>
      <c r="AI263" s="210"/>
      <c r="AJ263" s="178"/>
    </row>
    <row r="264" spans="1:36" s="101" customFormat="1" ht="15" customHeight="1" x14ac:dyDescent="0.2">
      <c r="A264" s="533">
        <f>VLOOKUP(B264,Sheet1!$B$4:$C$25,2,FALSE)</f>
        <v>0</v>
      </c>
      <c r="B264" s="112" t="str">
        <f t="shared" si="85"/>
        <v>Southampton</v>
      </c>
      <c r="C264" s="97"/>
      <c r="D264" s="658">
        <f t="shared" si="88"/>
        <v>40</v>
      </c>
      <c r="E264" s="658">
        <f t="shared" si="89"/>
        <v>64</v>
      </c>
      <c r="F264" s="658">
        <f t="shared" si="90"/>
        <v>132</v>
      </c>
      <c r="G264" s="658">
        <f t="shared" si="91"/>
        <v>205</v>
      </c>
      <c r="H264" s="713">
        <f t="shared" si="92"/>
        <v>81</v>
      </c>
      <c r="I264" s="714">
        <f t="shared" si="93"/>
        <v>7.662835249042145E-2</v>
      </c>
      <c r="J264" s="1101">
        <f t="shared" si="93"/>
        <v>0.12260536398467432</v>
      </c>
      <c r="K264" s="1102"/>
      <c r="L264" s="714">
        <f t="shared" si="94"/>
        <v>0.25287356321839083</v>
      </c>
      <c r="M264" s="714">
        <f t="shared" si="95"/>
        <v>0.39272030651340994</v>
      </c>
      <c r="N264" s="715">
        <f t="shared" si="96"/>
        <v>0.15517241379310345</v>
      </c>
      <c r="O264" s="460"/>
      <c r="P264" s="442"/>
      <c r="Q264" s="442"/>
      <c r="R264" s="442"/>
      <c r="S264" s="192"/>
      <c r="T264" s="461"/>
      <c r="U264" s="139"/>
      <c r="V264" s="154"/>
      <c r="W264" s="170"/>
      <c r="X264" s="424" t="str">
        <f t="shared" si="97"/>
        <v>Southampton</v>
      </c>
      <c r="Y264" s="424">
        <f>IF(Year5_Southampton Year5_LAC_Under1="","",Year5_Southampton Year5_LAC_Under1)</f>
        <v>40</v>
      </c>
      <c r="Z264" s="424">
        <f>IF(Year5_Southampton Year5_LAC_1to4="","",Year5_Southampton Year5_LAC_1to4)</f>
        <v>64</v>
      </c>
      <c r="AA264" s="424">
        <f>IF(Year5_Southampton Year5_LAC_5to9="","",Year5_Southampton Year5_LAC_5to9)</f>
        <v>132</v>
      </c>
      <c r="AB264" s="424">
        <f>IF(Year5_Southampton Year5_LAC_10to15="","",Year5_Southampton Year5_LAC_10to15)</f>
        <v>205</v>
      </c>
      <c r="AC264" s="424">
        <f>IF(Year5_Southampton Year5_LAC_16plus="","",Year5_Southampton Year5_LAC_16plus)</f>
        <v>81</v>
      </c>
      <c r="AD264" s="88" t="e">
        <f t="shared" si="99"/>
        <v>#N/A</v>
      </c>
      <c r="AE264" s="88">
        <f t="shared" si="98"/>
        <v>522</v>
      </c>
      <c r="AF264" s="88"/>
      <c r="AG264" s="88"/>
      <c r="AH264" s="88"/>
      <c r="AI264" s="210"/>
      <c r="AJ264" s="178"/>
    </row>
    <row r="265" spans="1:36" s="101" customFormat="1" ht="15" customHeight="1" x14ac:dyDescent="0.2">
      <c r="A265" s="533">
        <f>VLOOKUP(B265,Sheet1!$B$4:$C$25,2,FALSE)</f>
        <v>0</v>
      </c>
      <c r="B265" s="112" t="str">
        <f t="shared" si="85"/>
        <v>Surrey</v>
      </c>
      <c r="C265" s="97"/>
      <c r="D265" s="658">
        <f t="shared" si="88"/>
        <v>45</v>
      </c>
      <c r="E265" s="658">
        <f t="shared" si="89"/>
        <v>80</v>
      </c>
      <c r="F265" s="658">
        <f t="shared" si="90"/>
        <v>154</v>
      </c>
      <c r="G265" s="658">
        <f t="shared" si="91"/>
        <v>375</v>
      </c>
      <c r="H265" s="713">
        <f t="shared" si="92"/>
        <v>274</v>
      </c>
      <c r="I265" s="714">
        <f t="shared" si="93"/>
        <v>4.8491379310344827E-2</v>
      </c>
      <c r="J265" s="1101">
        <f t="shared" si="93"/>
        <v>8.6206896551724144E-2</v>
      </c>
      <c r="K265" s="1102"/>
      <c r="L265" s="714">
        <f t="shared" si="94"/>
        <v>0.16594827586206898</v>
      </c>
      <c r="M265" s="714">
        <f t="shared" si="95"/>
        <v>0.40409482758620691</v>
      </c>
      <c r="N265" s="715">
        <f t="shared" si="96"/>
        <v>0.29525862068965519</v>
      </c>
      <c r="O265" s="460"/>
      <c r="P265" s="442"/>
      <c r="Q265" s="442"/>
      <c r="R265" s="442"/>
      <c r="S265" s="192"/>
      <c r="T265" s="461"/>
      <c r="U265" s="139"/>
      <c r="V265" s="154"/>
      <c r="W265" s="170"/>
      <c r="X265" s="424" t="str">
        <f t="shared" si="97"/>
        <v>Surrey</v>
      </c>
      <c r="Y265" s="424">
        <f>IF(Year5_Surrey Year5_LAC_Under1="","",Year5_Surrey Year5_LAC_Under1)</f>
        <v>45</v>
      </c>
      <c r="Z265" s="424">
        <f>IF(Year5_Surrey Year5_LAC_1to4="","",Year5_Surrey Year5_LAC_1to4)</f>
        <v>80</v>
      </c>
      <c r="AA265" s="424">
        <f>IF(Year5_Surrey Year5_LAC_5to9="","",Year5_Surrey Year5_LAC_5to9)</f>
        <v>154</v>
      </c>
      <c r="AB265" s="424">
        <f>IF(Year5_Surrey Year5_LAC_10to15="","",Year5_Surrey Year5_LAC_10to15)</f>
        <v>375</v>
      </c>
      <c r="AC265" s="424">
        <f>IF(Year5_Surrey Year5_LAC_16plus="","",Year5_Surrey Year5_LAC_16plus)</f>
        <v>274</v>
      </c>
      <c r="AD265" s="88" t="e">
        <f t="shared" si="99"/>
        <v>#N/A</v>
      </c>
      <c r="AE265" s="88">
        <f t="shared" si="98"/>
        <v>928</v>
      </c>
      <c r="AF265" s="88"/>
      <c r="AG265" s="88"/>
      <c r="AH265" s="88"/>
      <c r="AI265" s="210"/>
      <c r="AJ265" s="178"/>
    </row>
    <row r="266" spans="1:36" s="101" customFormat="1" ht="15" customHeight="1" x14ac:dyDescent="0.2">
      <c r="A266" s="533">
        <f>VLOOKUP(B266,Sheet1!$B$4:$C$25,2,FALSE)</f>
        <v>0</v>
      </c>
      <c r="B266" s="112" t="str">
        <f t="shared" si="85"/>
        <v>Swindon</v>
      </c>
      <c r="C266" s="97"/>
      <c r="D266" s="658">
        <f t="shared" si="88"/>
        <v>21</v>
      </c>
      <c r="E266" s="658">
        <f t="shared" si="89"/>
        <v>61</v>
      </c>
      <c r="F266" s="658">
        <f t="shared" si="90"/>
        <v>76</v>
      </c>
      <c r="G266" s="658">
        <f t="shared" si="91"/>
        <v>121</v>
      </c>
      <c r="H266" s="713">
        <f t="shared" si="92"/>
        <v>81</v>
      </c>
      <c r="I266" s="714">
        <f t="shared" si="93"/>
        <v>5.8333333333333334E-2</v>
      </c>
      <c r="J266" s="1101">
        <f t="shared" si="93"/>
        <v>0.16944444444444445</v>
      </c>
      <c r="K266" s="1102"/>
      <c r="L266" s="714">
        <f t="shared" si="94"/>
        <v>0.21111111111111111</v>
      </c>
      <c r="M266" s="714">
        <f t="shared" si="95"/>
        <v>0.33611111111111114</v>
      </c>
      <c r="N266" s="715">
        <f t="shared" si="96"/>
        <v>0.22500000000000001</v>
      </c>
      <c r="O266" s="460"/>
      <c r="P266" s="442"/>
      <c r="Q266" s="442"/>
      <c r="R266" s="442"/>
      <c r="S266" s="192"/>
      <c r="T266" s="461"/>
      <c r="U266" s="139"/>
      <c r="V266" s="154"/>
      <c r="W266" s="170"/>
      <c r="X266" s="424" t="str">
        <f t="shared" si="97"/>
        <v>Swindon</v>
      </c>
      <c r="Y266" s="660">
        <f>IF(Year5_Swindon Year5_LAC_Under1="","",Year5_Swindon Year5_LAC_Under1)</f>
        <v>21</v>
      </c>
      <c r="Z266" s="660">
        <f>IF(Year5_Swindon Year5_LAC_1to4="","",Year5_Swindon Year5_LAC_1to4)</f>
        <v>61</v>
      </c>
      <c r="AA266" s="660">
        <f>IF(Year5_Swindon Year5_LAC_5to9="","",Year5_Swindon Year5_LAC_5to9)</f>
        <v>76</v>
      </c>
      <c r="AB266" s="660">
        <f>IF(Year5_Swindon Year5_LAC_10to15="","",Year5_Swindon Year5_LAC_10to15)</f>
        <v>121</v>
      </c>
      <c r="AC266" s="660">
        <f>IF(Year5_Swindon Year5_LAC_16plus="","",Year5_Swindon Year5_LAC_16plus)</f>
        <v>81</v>
      </c>
      <c r="AD266" s="88" t="e">
        <f t="shared" si="99"/>
        <v>#N/A</v>
      </c>
      <c r="AE266" s="88">
        <f t="shared" si="98"/>
        <v>360</v>
      </c>
      <c r="AF266" s="88"/>
      <c r="AG266" s="88"/>
      <c r="AH266" s="88"/>
      <c r="AI266" s="210"/>
      <c r="AJ266" s="178"/>
    </row>
    <row r="267" spans="1:36" s="101" customFormat="1" ht="15" customHeight="1" x14ac:dyDescent="0.2">
      <c r="A267" s="533">
        <f>VLOOKUP(B267,Sheet1!$B$4:$C$25,2,FALSE)</f>
        <v>0</v>
      </c>
      <c r="B267" s="112" t="str">
        <f t="shared" si="85"/>
        <v>Torbay</v>
      </c>
      <c r="C267" s="97"/>
      <c r="D267" s="658">
        <f t="shared" si="88"/>
        <v>29</v>
      </c>
      <c r="E267" s="658">
        <f t="shared" si="89"/>
        <v>40</v>
      </c>
      <c r="F267" s="658">
        <f t="shared" si="90"/>
        <v>59</v>
      </c>
      <c r="G267" s="658">
        <f t="shared" si="91"/>
        <v>141</v>
      </c>
      <c r="H267" s="713">
        <f t="shared" si="92"/>
        <v>58</v>
      </c>
      <c r="I267" s="714">
        <f t="shared" si="93"/>
        <v>8.8685015290519878E-2</v>
      </c>
      <c r="J267" s="1101">
        <f t="shared" si="93"/>
        <v>0.12232415902140673</v>
      </c>
      <c r="K267" s="1102"/>
      <c r="L267" s="714">
        <f t="shared" si="94"/>
        <v>0.18042813455657492</v>
      </c>
      <c r="M267" s="714">
        <f t="shared" si="95"/>
        <v>0.43119266055045874</v>
      </c>
      <c r="N267" s="715">
        <f t="shared" si="96"/>
        <v>0.17737003058103976</v>
      </c>
      <c r="O267" s="460"/>
      <c r="P267" s="442"/>
      <c r="Q267" s="442"/>
      <c r="R267" s="442"/>
      <c r="S267" s="192"/>
      <c r="T267" s="461"/>
      <c r="U267" s="139"/>
      <c r="V267" s="154"/>
      <c r="W267" s="170"/>
      <c r="X267" s="424" t="str">
        <f t="shared" si="97"/>
        <v>Torbay</v>
      </c>
      <c r="Y267" s="660">
        <f>IF(Year5_Torbay Year5_LAC_Under1="","",Year5_Torbay Year5_LAC_Under1)</f>
        <v>29</v>
      </c>
      <c r="Z267" s="660">
        <f>IF(Year5_Torbay Year5_LAC_1to4="","",Year5_Torbay Year5_LAC_1to4)</f>
        <v>40</v>
      </c>
      <c r="AA267" s="660">
        <f>IF(Year5_Torbay Year5_LAC_5to9="","",Year5_Torbay Year5_LAC_5to9)</f>
        <v>59</v>
      </c>
      <c r="AB267" s="660">
        <f>IF(Year5_Torbay Year5_LAC_10to15="","",Year5_Torbay Year5_LAC_10to15)</f>
        <v>141</v>
      </c>
      <c r="AC267" s="660">
        <f>IF(Year5_Torbay Year5_LAC_16plus="","",Year5_Torbay Year5_LAC_16plus)</f>
        <v>58</v>
      </c>
      <c r="AD267" s="88" t="e">
        <f t="shared" si="99"/>
        <v>#N/A</v>
      </c>
      <c r="AE267" s="88">
        <f t="shared" si="98"/>
        <v>327</v>
      </c>
      <c r="AF267" s="88"/>
      <c r="AG267" s="88"/>
      <c r="AH267" s="88"/>
      <c r="AI267" s="210"/>
      <c r="AJ267" s="178"/>
    </row>
    <row r="268" spans="1:36" s="101" customFormat="1" ht="15" customHeight="1" x14ac:dyDescent="0.2">
      <c r="A268" s="533">
        <f>VLOOKUP(B268,Sheet1!$B$4:$C$25,2,FALSE)</f>
        <v>0</v>
      </c>
      <c r="B268" s="112" t="str">
        <f t="shared" si="85"/>
        <v>West Berkshire</v>
      </c>
      <c r="C268" s="97"/>
      <c r="D268" s="658" t="e">
        <f t="shared" si="88"/>
        <v>#N/A</v>
      </c>
      <c r="E268" s="658" t="e">
        <f t="shared" si="89"/>
        <v>#N/A</v>
      </c>
      <c r="F268" s="658">
        <f t="shared" si="90"/>
        <v>24</v>
      </c>
      <c r="G268" s="658">
        <f t="shared" si="91"/>
        <v>66</v>
      </c>
      <c r="H268" s="713">
        <f t="shared" si="92"/>
        <v>38</v>
      </c>
      <c r="I268" s="714" t="e">
        <f t="shared" si="93"/>
        <v>#VALUE!</v>
      </c>
      <c r="J268" s="1101" t="e">
        <f t="shared" si="93"/>
        <v>#VALUE!</v>
      </c>
      <c r="K268" s="1102"/>
      <c r="L268" s="714">
        <f t="shared" si="94"/>
        <v>0.1875</v>
      </c>
      <c r="M268" s="714">
        <f t="shared" si="95"/>
        <v>0.515625</v>
      </c>
      <c r="N268" s="715">
        <f t="shared" si="96"/>
        <v>0.296875</v>
      </c>
      <c r="O268" s="460"/>
      <c r="P268" s="442"/>
      <c r="Q268" s="442"/>
      <c r="R268" s="442"/>
      <c r="S268" s="192"/>
      <c r="T268" s="461"/>
      <c r="U268" s="139"/>
      <c r="V268" s="154"/>
      <c r="W268" s="170"/>
      <c r="X268" s="424" t="str">
        <f t="shared" si="97"/>
        <v>West Berkshire</v>
      </c>
      <c r="Y268" s="424" t="str">
        <f>IF(Year5_West_Berkshire Year5_LAC_Under1="","",Year5_West_Berkshire Year5_LAC_Under1)</f>
        <v>x</v>
      </c>
      <c r="Z268" s="424" t="str">
        <f>IF(Year5_West_Berkshire Year5_LAC_1to4="","",Year5_West_Berkshire Year5_LAC_1to4)</f>
        <v>x</v>
      </c>
      <c r="AA268" s="424">
        <f>IF(Year5_West_Berkshire Year5_LAC_5to9="","",Year5_West_Berkshire Year5_LAC_5to9)</f>
        <v>24</v>
      </c>
      <c r="AB268" s="424">
        <f>IF(Year5_West_Berkshire Year5_LAC_10to15="","",Year5_West_Berkshire Year5_LAC_10to15)</f>
        <v>66</v>
      </c>
      <c r="AC268" s="424">
        <f>IF(Year5_West_Berkshire Year5_LAC_16plus="","",Year5_West_Berkshire Year5_LAC_16plus)</f>
        <v>38</v>
      </c>
      <c r="AD268" s="88" t="e">
        <f t="shared" si="99"/>
        <v>#N/A</v>
      </c>
      <c r="AE268" s="88">
        <f t="shared" si="98"/>
        <v>128</v>
      </c>
      <c r="AF268" s="88"/>
      <c r="AG268" s="88"/>
      <c r="AH268" s="88"/>
      <c r="AI268" s="210"/>
      <c r="AJ268" s="178"/>
    </row>
    <row r="269" spans="1:36" s="101" customFormat="1" ht="15" customHeight="1" x14ac:dyDescent="0.2">
      <c r="A269" s="533">
        <f>VLOOKUP(B269,Sheet1!$B$4:$C$25,2,FALSE)</f>
        <v>0</v>
      </c>
      <c r="B269" s="112" t="str">
        <f t="shared" si="85"/>
        <v>West Sussex</v>
      </c>
      <c r="C269" s="97"/>
      <c r="D269" s="658">
        <f t="shared" si="88"/>
        <v>43</v>
      </c>
      <c r="E269" s="658">
        <f t="shared" si="89"/>
        <v>83</v>
      </c>
      <c r="F269" s="658">
        <f t="shared" si="90"/>
        <v>109</v>
      </c>
      <c r="G269" s="658">
        <f t="shared" si="91"/>
        <v>265</v>
      </c>
      <c r="H269" s="713">
        <f t="shared" si="92"/>
        <v>204</v>
      </c>
      <c r="I269" s="714">
        <f t="shared" si="93"/>
        <v>6.1079545454545456E-2</v>
      </c>
      <c r="J269" s="1101">
        <f t="shared" si="93"/>
        <v>0.11789772727272728</v>
      </c>
      <c r="K269" s="1102"/>
      <c r="L269" s="714">
        <f t="shared" si="94"/>
        <v>0.15482954545454544</v>
      </c>
      <c r="M269" s="714">
        <f t="shared" si="95"/>
        <v>0.37642045454545453</v>
      </c>
      <c r="N269" s="715">
        <f t="shared" si="96"/>
        <v>0.28977272727272729</v>
      </c>
      <c r="O269" s="460"/>
      <c r="P269" s="442"/>
      <c r="Q269" s="442"/>
      <c r="R269" s="442"/>
      <c r="S269" s="192"/>
      <c r="T269" s="461"/>
      <c r="U269" s="139"/>
      <c r="V269" s="154"/>
      <c r="W269" s="170"/>
      <c r="X269" s="424" t="str">
        <f t="shared" si="97"/>
        <v>West Sussex</v>
      </c>
      <c r="Y269" s="424">
        <f>IF(Year5_West_Sussex Year5_LAC_Under1="","",Year5_West_Sussex Year5_LAC_Under1)</f>
        <v>43</v>
      </c>
      <c r="Z269" s="424">
        <f>IF(Year5_West_Sussex Year5_LAC_1to4="","",Year5_West_Sussex Year5_LAC_1to4)</f>
        <v>83</v>
      </c>
      <c r="AA269" s="424">
        <f>IF(Year5_West_Sussex Year5_LAC_5to9="","",Year5_West_Sussex Year5_LAC_5to9)</f>
        <v>109</v>
      </c>
      <c r="AB269" s="424">
        <f>IF(Year5_West_Sussex Year5_LAC_10to15="","",Year5_West_Sussex Year5_LAC_10to15)</f>
        <v>265</v>
      </c>
      <c r="AC269" s="424">
        <f>IF(Year5_West_Sussex Year5_LAC_16plus="","",Year5_West_Sussex Year5_LAC_16plus)</f>
        <v>204</v>
      </c>
      <c r="AD269" s="88" t="e">
        <f t="shared" si="99"/>
        <v>#N/A</v>
      </c>
      <c r="AE269" s="88">
        <f t="shared" si="98"/>
        <v>704</v>
      </c>
      <c r="AF269" s="88"/>
      <c r="AG269" s="88"/>
      <c r="AH269" s="88"/>
      <c r="AI269" s="210"/>
      <c r="AJ269" s="178"/>
    </row>
    <row r="270" spans="1:36" s="101" customFormat="1" ht="15" customHeight="1" x14ac:dyDescent="0.2">
      <c r="A270" s="533">
        <f>VLOOKUP(B270,Sheet1!$B$4:$C$25,2,FALSE)</f>
        <v>0</v>
      </c>
      <c r="B270" s="112" t="str">
        <f t="shared" si="85"/>
        <v>Windsor &amp; Maidenhead</v>
      </c>
      <c r="C270" s="97"/>
      <c r="D270" s="658" t="e">
        <f t="shared" si="88"/>
        <v>#N/A</v>
      </c>
      <c r="E270" s="658" t="e">
        <f t="shared" si="89"/>
        <v>#N/A</v>
      </c>
      <c r="F270" s="658">
        <f t="shared" si="90"/>
        <v>16</v>
      </c>
      <c r="G270" s="658">
        <f t="shared" si="91"/>
        <v>45</v>
      </c>
      <c r="H270" s="713">
        <f t="shared" si="92"/>
        <v>33</v>
      </c>
      <c r="I270" s="714" t="e">
        <f t="shared" si="93"/>
        <v>#VALUE!</v>
      </c>
      <c r="J270" s="1101" t="e">
        <f t="shared" si="93"/>
        <v>#VALUE!</v>
      </c>
      <c r="K270" s="1102"/>
      <c r="L270" s="714">
        <f t="shared" si="94"/>
        <v>0.1702127659574468</v>
      </c>
      <c r="M270" s="714">
        <f t="shared" si="95"/>
        <v>0.47872340425531917</v>
      </c>
      <c r="N270" s="715">
        <f t="shared" si="96"/>
        <v>0.35106382978723405</v>
      </c>
      <c r="O270" s="460"/>
      <c r="P270" s="442"/>
      <c r="Q270" s="442"/>
      <c r="R270" s="442"/>
      <c r="S270" s="192"/>
      <c r="T270" s="461"/>
      <c r="U270" s="139"/>
      <c r="V270" s="154"/>
      <c r="W270" s="170"/>
      <c r="X270" s="424" t="str">
        <f t="shared" si="97"/>
        <v>Windsor &amp; Maidenhead</v>
      </c>
      <c r="Y270" s="424" t="str">
        <f>IF(Year5_Windsor_Maidenhead Year5_LAC_Under1="","",Year5_Windsor_Maidenhead Year5_LAC_Under1)</f>
        <v>x</v>
      </c>
      <c r="Z270" s="424" t="str">
        <f>IF(Year5_Windsor_Maidenhead Year5_LAC_1to4="","",Year5_Windsor_Maidenhead Year5_LAC_1to4)</f>
        <v>x</v>
      </c>
      <c r="AA270" s="424">
        <f>IF(Year5_Windsor_Maidenhead Year5_LAC_5to9="","",Year5_Windsor_Maidenhead Year5_LAC_5to9)</f>
        <v>16</v>
      </c>
      <c r="AB270" s="424">
        <f>IF(Year5_Windsor_Maidenhead Year5_LAC_10to15="","",Year5_Windsor_Maidenhead Year5_LAC_10to15)</f>
        <v>45</v>
      </c>
      <c r="AC270" s="424">
        <f>IF(Year5_Windsor_Maidenhead Year5_LAC_16plus="","",Year5_Windsor_Maidenhead Year5_LAC_16plus)</f>
        <v>33</v>
      </c>
      <c r="AD270" s="88" t="e">
        <f t="shared" si="99"/>
        <v>#N/A</v>
      </c>
      <c r="AE270" s="88">
        <f t="shared" si="98"/>
        <v>94</v>
      </c>
      <c r="AF270" s="88"/>
      <c r="AG270" s="88"/>
      <c r="AH270" s="88"/>
      <c r="AI270" s="210"/>
      <c r="AJ270" s="178"/>
    </row>
    <row r="271" spans="1:36" s="101" customFormat="1" ht="15" customHeight="1" x14ac:dyDescent="0.2">
      <c r="A271" s="533">
        <f>VLOOKUP(B271,Sheet1!$B$4:$C$25,2,FALSE)</f>
        <v>0</v>
      </c>
      <c r="B271" s="112" t="str">
        <f t="shared" si="85"/>
        <v>Wokingham</v>
      </c>
      <c r="C271" s="97"/>
      <c r="D271" s="658">
        <f t="shared" si="88"/>
        <v>7</v>
      </c>
      <c r="E271" s="658">
        <f t="shared" si="89"/>
        <v>10</v>
      </c>
      <c r="F271" s="658">
        <f t="shared" si="90"/>
        <v>14</v>
      </c>
      <c r="G271" s="658">
        <f t="shared" si="91"/>
        <v>39</v>
      </c>
      <c r="H271" s="713">
        <f t="shared" si="92"/>
        <v>36</v>
      </c>
      <c r="I271" s="714">
        <f t="shared" si="93"/>
        <v>6.6037735849056603E-2</v>
      </c>
      <c r="J271" s="1101">
        <f t="shared" si="93"/>
        <v>9.4339622641509441E-2</v>
      </c>
      <c r="K271" s="1102"/>
      <c r="L271" s="714">
        <f t="shared" si="94"/>
        <v>0.13207547169811321</v>
      </c>
      <c r="M271" s="714">
        <f t="shared" si="95"/>
        <v>0.36792452830188677</v>
      </c>
      <c r="N271" s="715">
        <f t="shared" si="96"/>
        <v>0.33962264150943394</v>
      </c>
      <c r="O271" s="460"/>
      <c r="P271" s="442"/>
      <c r="Q271" s="442"/>
      <c r="R271" s="442"/>
      <c r="S271" s="192"/>
      <c r="T271" s="461"/>
      <c r="U271" s="139"/>
      <c r="V271" s="154"/>
      <c r="W271" s="170"/>
      <c r="X271" s="424" t="str">
        <f t="shared" si="97"/>
        <v>Wokingham</v>
      </c>
      <c r="Y271" s="424">
        <f>IF(Year5_Wokingham Year5_LAC_Under1="","",Year5_Wokingham Year5_LAC_Under1)</f>
        <v>7</v>
      </c>
      <c r="Z271" s="424">
        <f>IF(Year5_Wokingham Year5_LAC_1to4="","",Year5_Wokingham Year5_LAC_1to4)</f>
        <v>10</v>
      </c>
      <c r="AA271" s="424">
        <f>IF(Year5_Wokingham Year5_LAC_5to9="","",Year5_Wokingham Year5_LAC_5to9)</f>
        <v>14</v>
      </c>
      <c r="AB271" s="424">
        <f>IF(Year5_Wokingham Year5_LAC_10to15="","",Year5_Wokingham Year5_LAC_10to15)</f>
        <v>39</v>
      </c>
      <c r="AC271" s="424">
        <f>IF(Year5_Wokingham Year5_LAC_16plus="","",Year5_Wokingham Year5_LAC_16plus)</f>
        <v>36</v>
      </c>
      <c r="AD271" s="88" t="e">
        <f t="shared" si="99"/>
        <v>#N/A</v>
      </c>
      <c r="AE271" s="88">
        <f t="shared" si="98"/>
        <v>106</v>
      </c>
      <c r="AF271" s="88"/>
      <c r="AG271" s="88"/>
      <c r="AH271" s="88"/>
      <c r="AI271" s="210"/>
      <c r="AJ271" s="178"/>
    </row>
    <row r="272" spans="1:36" s="101" customFormat="1" ht="15" customHeight="1" x14ac:dyDescent="0.2">
      <c r="A272" s="138"/>
      <c r="B272" s="146" t="str">
        <f t="shared" si="85"/>
        <v>South East</v>
      </c>
      <c r="C272" s="97"/>
      <c r="D272" s="466">
        <f t="shared" si="88"/>
        <v>500</v>
      </c>
      <c r="E272" s="466">
        <f t="shared" si="89"/>
        <v>1120</v>
      </c>
      <c r="F272" s="466">
        <f t="shared" si="90"/>
        <v>1780</v>
      </c>
      <c r="G272" s="466">
        <f t="shared" si="91"/>
        <v>4050</v>
      </c>
      <c r="H272" s="467">
        <f t="shared" si="92"/>
        <v>2560</v>
      </c>
      <c r="I272" s="183">
        <f t="shared" si="93"/>
        <v>4.9950049950049952E-2</v>
      </c>
      <c r="J272" s="1103">
        <f t="shared" si="93"/>
        <v>0.11188811188811189</v>
      </c>
      <c r="K272" s="1104"/>
      <c r="L272" s="183">
        <f t="shared" si="94"/>
        <v>0.17782217782217782</v>
      </c>
      <c r="M272" s="183">
        <f t="shared" si="95"/>
        <v>0.40459540459540461</v>
      </c>
      <c r="N272" s="185">
        <f t="shared" si="96"/>
        <v>0.25574425574425574</v>
      </c>
      <c r="O272" s="460"/>
      <c r="P272" s="442"/>
      <c r="Q272" s="442"/>
      <c r="R272" s="442"/>
      <c r="S272" s="192"/>
      <c r="T272" s="461"/>
      <c r="U272" s="139"/>
      <c r="V272" s="154"/>
      <c r="W272" s="170"/>
      <c r="X272" s="424" t="str">
        <f t="shared" si="97"/>
        <v>South East</v>
      </c>
      <c r="Y272" s="424">
        <f>IF(Year5_SouthEast Year5_LAC_Under1="","",Year5_SouthEast Year5_LAC_Under1)</f>
        <v>500</v>
      </c>
      <c r="Z272" s="424">
        <f>IF(Year5_SouthEast Year5_LAC_1to4="","",Year5_SouthEast Year5_LAC_1to4)</f>
        <v>1120</v>
      </c>
      <c r="AA272" s="424">
        <f>IF(Year5_SouthEast Year5_LAC_5to9="","",Year5_SouthEast Year5_LAC_5to9)</f>
        <v>1780</v>
      </c>
      <c r="AB272" s="424">
        <f>IF(Year5_SouthEast Year5_LAC_10to15="","",Year5_SouthEast Year5_LAC_10to15)</f>
        <v>4050</v>
      </c>
      <c r="AC272" s="424">
        <f>IF(Year5_SouthEast Year5_LAC_16plus="","",Year5_SouthEast Year5_LAC_16plus)</f>
        <v>2560</v>
      </c>
      <c r="AD272" s="88" t="e">
        <f t="shared" si="99"/>
        <v>#N/A</v>
      </c>
      <c r="AE272" s="88">
        <f t="shared" si="98"/>
        <v>10010</v>
      </c>
      <c r="AF272" s="88"/>
      <c r="AG272" s="88"/>
      <c r="AH272" s="88"/>
      <c r="AI272" s="210"/>
      <c r="AJ272" s="178"/>
    </row>
    <row r="273" spans="1:45" s="101" customFormat="1" ht="15" customHeight="1" x14ac:dyDescent="0.2">
      <c r="A273" s="138"/>
      <c r="B273" s="370" t="s">
        <v>264</v>
      </c>
      <c r="C273" s="97"/>
      <c r="D273" s="468">
        <f t="shared" si="88"/>
        <v>3820</v>
      </c>
      <c r="E273" s="468">
        <f t="shared" si="89"/>
        <v>9170</v>
      </c>
      <c r="F273" s="468">
        <f t="shared" si="90"/>
        <v>14100</v>
      </c>
      <c r="G273" s="468">
        <f t="shared" si="91"/>
        <v>28540</v>
      </c>
      <c r="H273" s="469">
        <f t="shared" si="92"/>
        <v>17040</v>
      </c>
      <c r="I273" s="401">
        <f t="shared" si="93"/>
        <v>5.2566396036879043E-2</v>
      </c>
      <c r="J273" s="1105">
        <f t="shared" si="93"/>
        <v>0.12618687216182745</v>
      </c>
      <c r="K273" s="1106"/>
      <c r="L273" s="401">
        <f t="shared" si="94"/>
        <v>0.19402779689005092</v>
      </c>
      <c r="M273" s="401">
        <f t="shared" si="95"/>
        <v>0.39273427824411722</v>
      </c>
      <c r="N273" s="402">
        <f t="shared" si="96"/>
        <v>0.23448465666712537</v>
      </c>
      <c r="O273" s="462"/>
      <c r="P273" s="463"/>
      <c r="Q273" s="463"/>
      <c r="R273" s="463"/>
      <c r="S273" s="464"/>
      <c r="T273" s="465"/>
      <c r="U273" s="139"/>
      <c r="V273" s="154"/>
      <c r="W273" s="170"/>
      <c r="X273" s="424" t="str">
        <f t="shared" si="97"/>
        <v>England (2017)</v>
      </c>
      <c r="Y273" s="424">
        <f>IF(Year5_England Year5_LAC_Under1="","",Year5_England Year5_LAC_Under1)</f>
        <v>3820</v>
      </c>
      <c r="Z273" s="424">
        <f>IF(Year5_England Year5_LAC_1to4="","",Year5_England Year5_LAC_1to4)</f>
        <v>9170</v>
      </c>
      <c r="AA273" s="424">
        <f>IF(Year5_England Year5_LAC_5to9="","",Year5_England Year5_LAC_5to9)</f>
        <v>14100</v>
      </c>
      <c r="AB273" s="424">
        <f>IF(Year5_England Year5_LAC_10to15="","",Year5_England Year5_LAC_10to15)</f>
        <v>28540</v>
      </c>
      <c r="AC273" s="424">
        <f>IF(Year5_England Year5_LAC_16plus="","",Year5_England Year5_LAC_16plus)</f>
        <v>17040</v>
      </c>
      <c r="AD273" s="88" t="e">
        <f t="shared" si="99"/>
        <v>#N/A</v>
      </c>
      <c r="AE273" s="88">
        <f t="shared" si="98"/>
        <v>72670</v>
      </c>
      <c r="AF273" s="88"/>
      <c r="AG273" s="88"/>
      <c r="AH273" s="88"/>
      <c r="AI273" s="210"/>
      <c r="AJ273" s="178"/>
    </row>
    <row r="274" spans="1:45" s="101" customFormat="1" ht="6.75" customHeight="1" x14ac:dyDescent="0.2">
      <c r="A274" s="324"/>
      <c r="B274" s="115"/>
      <c r="C274" s="115"/>
      <c r="D274" s="115"/>
      <c r="E274" s="115"/>
      <c r="F274" s="115"/>
      <c r="G274" s="115"/>
      <c r="H274" s="115"/>
      <c r="I274" s="115"/>
      <c r="J274" s="115"/>
      <c r="K274" s="188"/>
      <c r="L274" s="188"/>
      <c r="M274" s="188"/>
      <c r="N274" s="188"/>
      <c r="O274" s="442"/>
      <c r="P274" s="442"/>
      <c r="Q274" s="442"/>
      <c r="R274" s="442"/>
      <c r="S274" s="192"/>
      <c r="T274" s="461"/>
      <c r="U274" s="139"/>
      <c r="V274" s="154"/>
      <c r="W274" s="170"/>
      <c r="X274" s="88"/>
      <c r="Y274" s="88"/>
      <c r="Z274" s="223"/>
      <c r="AA274" s="223"/>
      <c r="AB274" s="224"/>
      <c r="AC274" s="88"/>
      <c r="AD274" s="88"/>
      <c r="AE274" s="88"/>
      <c r="AF274" s="88"/>
      <c r="AG274" s="88"/>
      <c r="AH274" s="88"/>
      <c r="AI274" s="210"/>
      <c r="AJ274" s="178"/>
    </row>
    <row r="275" spans="1:45" s="88" customFormat="1" ht="15" customHeight="1" x14ac:dyDescent="0.2">
      <c r="A275" s="249"/>
      <c r="B275" s="441"/>
      <c r="C275" s="441"/>
      <c r="D275" s="441"/>
      <c r="E275" s="441"/>
      <c r="F275" s="441"/>
      <c r="G275" s="441"/>
      <c r="H275" s="441"/>
      <c r="I275" s="441"/>
      <c r="J275" s="192"/>
      <c r="K275" s="192"/>
      <c r="L275" s="192"/>
      <c r="M275" s="192"/>
      <c r="N275" s="192"/>
      <c r="O275" s="442"/>
      <c r="P275" s="442"/>
      <c r="Q275" s="442"/>
      <c r="R275" s="442"/>
      <c r="S275" s="192"/>
      <c r="T275" s="461"/>
      <c r="U275" s="134"/>
      <c r="V275" s="152"/>
      <c r="W275" s="168"/>
      <c r="AC275" s="224"/>
      <c r="AD275" s="226"/>
      <c r="AE275" s="210"/>
      <c r="AF275" s="210"/>
      <c r="AG275" s="210"/>
      <c r="AI275" s="210"/>
      <c r="AJ275" s="179"/>
    </row>
    <row r="276" spans="1:45" s="88" customFormat="1" ht="24.75" customHeight="1" x14ac:dyDescent="0.2">
      <c r="A276" s="249"/>
      <c r="B276" s="441"/>
      <c r="C276" s="441"/>
      <c r="D276" s="441"/>
      <c r="E276" s="441"/>
      <c r="F276" s="441"/>
      <c r="G276" s="441"/>
      <c r="H276" s="441"/>
      <c r="I276" s="441"/>
      <c r="J276" s="192"/>
      <c r="K276" s="192"/>
      <c r="L276" s="192"/>
      <c r="M276" s="192"/>
      <c r="N276" s="192"/>
      <c r="O276" s="442"/>
      <c r="P276" s="442"/>
      <c r="Q276" s="442"/>
      <c r="R276" s="442"/>
      <c r="S276" s="192"/>
      <c r="T276" s="461"/>
      <c r="U276" s="134"/>
      <c r="V276" s="152"/>
      <c r="W276" s="168"/>
      <c r="Y276" s="217"/>
      <c r="AD276" s="226"/>
      <c r="AE276" s="210"/>
      <c r="AF276" s="210"/>
      <c r="AG276" s="210"/>
      <c r="AI276" s="210"/>
      <c r="AJ276" s="179"/>
    </row>
    <row r="277" spans="1:45" s="88" customFormat="1" ht="21.75" customHeight="1" x14ac:dyDescent="0.2">
      <c r="A277" s="249"/>
      <c r="B277" s="441"/>
      <c r="C277" s="441"/>
      <c r="D277" s="441"/>
      <c r="E277" s="441"/>
      <c r="F277" s="441"/>
      <c r="G277" s="441"/>
      <c r="H277" s="441"/>
      <c r="I277" s="442"/>
      <c r="J277" s="442"/>
      <c r="K277" s="442"/>
      <c r="L277" s="442"/>
      <c r="M277" s="442"/>
      <c r="N277" s="442"/>
      <c r="O277" s="442"/>
      <c r="P277" s="442"/>
      <c r="Q277" s="442"/>
      <c r="R277" s="442"/>
      <c r="S277" s="192"/>
      <c r="T277" s="461"/>
      <c r="U277" s="134"/>
      <c r="V277" s="152"/>
      <c r="W277" s="168"/>
      <c r="Y277" s="217"/>
      <c r="AD277" s="226"/>
      <c r="AE277" s="210"/>
      <c r="AF277" s="210"/>
      <c r="AG277" s="210"/>
      <c r="AI277" s="210"/>
      <c r="AJ277" s="179"/>
    </row>
    <row r="278" spans="1:45" s="88" customFormat="1" ht="7.5" customHeight="1" x14ac:dyDescent="0.2">
      <c r="A278" s="135"/>
      <c r="B278" s="18"/>
      <c r="C278" s="18"/>
      <c r="D278" s="17"/>
      <c r="E278" s="17"/>
      <c r="F278" s="17"/>
      <c r="G278" s="17"/>
      <c r="H278" s="17"/>
      <c r="I278" s="17"/>
      <c r="J278" s="13"/>
      <c r="K278" s="19"/>
      <c r="L278" s="19"/>
      <c r="M278" s="19"/>
      <c r="N278" s="19"/>
      <c r="O278" s="19"/>
      <c r="P278" s="19"/>
      <c r="Q278" s="19"/>
      <c r="R278" s="19"/>
      <c r="S278" s="19"/>
      <c r="T278" s="20"/>
      <c r="U278" s="134"/>
      <c r="V278" s="152"/>
      <c r="W278" s="168"/>
      <c r="Y278" s="217"/>
      <c r="AI278" s="210"/>
      <c r="AJ278" s="175"/>
      <c r="AK278" s="80"/>
      <c r="AL278" s="80"/>
      <c r="AM278" s="80"/>
      <c r="AN278" s="80"/>
      <c r="AO278" s="80"/>
      <c r="AP278" s="80"/>
      <c r="AQ278" s="80"/>
    </row>
    <row r="279" spans="1:45" s="88" customFormat="1" ht="15" customHeight="1" x14ac:dyDescent="0.2">
      <c r="A279" s="1010"/>
      <c r="B279" s="1018"/>
      <c r="C279" s="1018"/>
      <c r="D279" s="1018"/>
      <c r="E279" s="1018"/>
      <c r="F279" s="1018"/>
      <c r="G279" s="1018"/>
      <c r="H279" s="1018"/>
      <c r="I279" s="1018"/>
      <c r="J279" s="1018"/>
      <c r="K279" s="1018"/>
      <c r="L279" s="1018"/>
      <c r="M279" s="1018"/>
      <c r="N279" s="1018"/>
      <c r="O279" s="1018"/>
      <c r="P279" s="1018"/>
      <c r="Q279" s="1018"/>
      <c r="R279" s="1018"/>
      <c r="S279" s="1018"/>
      <c r="T279" s="1018"/>
      <c r="U279" s="1019"/>
      <c r="V279" s="152"/>
      <c r="W279" s="168"/>
      <c r="AJ279" s="179"/>
      <c r="AS279" s="80"/>
    </row>
    <row r="280" spans="1:45" s="88" customFormat="1" ht="11.25" customHeight="1" x14ac:dyDescent="0.2">
      <c r="A280" s="1020" t="str">
        <f>Home!$A$35</f>
        <v>LA's provide quarterly data on the condition that it is used by the benchmarking group for internal reporting only. Please DO NOT share other LA's data with any external partners or the public</v>
      </c>
      <c r="B280" s="1021"/>
      <c r="C280" s="1021"/>
      <c r="D280" s="1021"/>
      <c r="E280" s="1021"/>
      <c r="F280" s="1021"/>
      <c r="G280" s="1021"/>
      <c r="H280" s="1021"/>
      <c r="I280" s="1022"/>
      <c r="J280" s="1021"/>
      <c r="K280" s="1021"/>
      <c r="L280" s="1021"/>
      <c r="M280" s="1021"/>
      <c r="N280" s="1021"/>
      <c r="O280" s="1021"/>
      <c r="P280" s="1021"/>
      <c r="Q280" s="1021"/>
      <c r="R280" s="1021"/>
      <c r="S280" s="1022"/>
      <c r="T280" s="1021"/>
      <c r="U280" s="1023"/>
      <c r="V280" s="152"/>
      <c r="W280" s="168"/>
      <c r="AI280" s="210"/>
      <c r="AJ280" s="178"/>
      <c r="AK280" s="101"/>
      <c r="AS280" s="80"/>
    </row>
    <row r="281" spans="1:45" ht="11.25" customHeight="1" x14ac:dyDescent="0.2">
      <c r="A281" s="129"/>
      <c r="B281" s="130"/>
      <c r="C281" s="130"/>
      <c r="D281" s="130"/>
      <c r="E281" s="130"/>
      <c r="F281" s="130"/>
      <c r="G281" s="130"/>
      <c r="H281" s="130"/>
      <c r="I281" s="130"/>
      <c r="J281" s="131"/>
      <c r="K281" s="130"/>
      <c r="L281" s="130"/>
      <c r="M281" s="130"/>
      <c r="N281" s="130"/>
      <c r="O281" s="130"/>
      <c r="P281" s="130"/>
      <c r="Q281" s="130"/>
      <c r="R281" s="130"/>
      <c r="S281" s="130"/>
      <c r="T281" s="130"/>
      <c r="U281" s="132"/>
      <c r="V281" s="152"/>
      <c r="W281" s="168"/>
      <c r="X281" s="225"/>
      <c r="Y281" s="223"/>
      <c r="Z281" s="215"/>
      <c r="AI281" s="210"/>
      <c r="AJ281" s="178"/>
    </row>
    <row r="282" spans="1:45" s="82" customFormat="1" ht="21" customHeight="1" x14ac:dyDescent="0.2">
      <c r="A282" s="136"/>
      <c r="B282" s="1090" t="s">
        <v>265</v>
      </c>
      <c r="C282" s="1090"/>
      <c r="D282" s="1090"/>
      <c r="E282" s="1090"/>
      <c r="F282" s="1090"/>
      <c r="G282" s="1090"/>
      <c r="H282" s="1090"/>
      <c r="I282" s="1090"/>
      <c r="J282" s="1090"/>
      <c r="K282" s="1090"/>
      <c r="L282" s="1090"/>
      <c r="M282" s="1090"/>
      <c r="N282" s="1090"/>
      <c r="O282" s="1090"/>
      <c r="P282" s="186"/>
      <c r="Q282" s="70"/>
      <c r="R282" s="70"/>
      <c r="S282" s="70"/>
      <c r="T282" s="70"/>
      <c r="U282" s="137"/>
      <c r="V282" s="153"/>
      <c r="W282" s="169"/>
      <c r="X282" s="436" t="s">
        <v>788</v>
      </c>
      <c r="Y282" s="437"/>
      <c r="Z282" s="438"/>
      <c r="AA282" s="438"/>
      <c r="AB282" s="438"/>
      <c r="AC282" s="88"/>
      <c r="AD282" s="88"/>
      <c r="AE282" s="88"/>
      <c r="AF282" s="88"/>
      <c r="AG282" s="88"/>
      <c r="AH282" s="88"/>
      <c r="AI282" s="210"/>
      <c r="AJ282" s="178"/>
    </row>
    <row r="283" spans="1:45" ht="25.5" customHeight="1" x14ac:dyDescent="0.2">
      <c r="A283" s="135"/>
      <c r="B283" s="1081" t="s">
        <v>215</v>
      </c>
      <c r="C283" s="256"/>
      <c r="D283" s="1112" t="s">
        <v>184</v>
      </c>
      <c r="E283" s="1113"/>
      <c r="F283" s="1113"/>
      <c r="G283" s="1113"/>
      <c r="H283" s="1113"/>
      <c r="I283" s="1113"/>
      <c r="J283" s="1113"/>
      <c r="K283" s="1113"/>
      <c r="L283" s="1113"/>
      <c r="M283" s="1113"/>
      <c r="N283" s="1113"/>
      <c r="O283" s="1113"/>
      <c r="P283" s="1113"/>
      <c r="Q283" s="1113"/>
      <c r="R283" s="1113"/>
      <c r="S283" s="1113"/>
      <c r="T283" s="1114"/>
      <c r="U283" s="134"/>
      <c r="V283" s="152"/>
      <c r="W283" s="168"/>
      <c r="X283" s="438"/>
      <c r="Y283" s="437"/>
      <c r="Z283" s="438"/>
      <c r="AA283" s="438"/>
      <c r="AB283" s="438"/>
      <c r="AI283" s="210"/>
      <c r="AJ283" s="178"/>
    </row>
    <row r="284" spans="1:45" s="101" customFormat="1" ht="12" customHeight="1" x14ac:dyDescent="0.2">
      <c r="A284" s="138"/>
      <c r="B284" s="1111"/>
      <c r="C284" s="97"/>
      <c r="D284" s="475" t="s">
        <v>172</v>
      </c>
      <c r="E284" s="475" t="s">
        <v>174</v>
      </c>
      <c r="F284" s="475" t="s">
        <v>175</v>
      </c>
      <c r="G284" s="475" t="s">
        <v>176</v>
      </c>
      <c r="H284" s="476" t="s">
        <v>185</v>
      </c>
      <c r="I284" s="452"/>
      <c r="J284" s="192"/>
      <c r="K284" s="192"/>
      <c r="L284" s="192"/>
      <c r="M284" s="192"/>
      <c r="N284" s="192"/>
      <c r="O284" s="452"/>
      <c r="P284" s="452"/>
      <c r="Q284" s="452"/>
      <c r="R284" s="452"/>
      <c r="S284" s="192"/>
      <c r="T284" s="461"/>
      <c r="U284" s="139"/>
      <c r="V284" s="154"/>
      <c r="W284" s="170"/>
      <c r="X284" s="424"/>
      <c r="Y284" s="534" t="str">
        <f>D284</f>
        <v>Under 1</v>
      </c>
      <c r="Z284" s="534" t="str">
        <f t="shared" ref="Z284" si="100">E284</f>
        <v xml:space="preserve">      1 - 4    </v>
      </c>
      <c r="AA284" s="534" t="str">
        <f t="shared" ref="AA284" si="101">F284</f>
        <v xml:space="preserve">      5 - 9    </v>
      </c>
      <c r="AB284" s="534" t="str">
        <f t="shared" ref="AB284" si="102">G284</f>
        <v xml:space="preserve">   10 - 15  </v>
      </c>
      <c r="AC284" s="534" t="str">
        <f t="shared" ref="AC284" si="103">H284</f>
        <v>16-17</v>
      </c>
      <c r="AD284" s="88"/>
      <c r="AE284" s="88"/>
      <c r="AF284" s="88"/>
      <c r="AG284" s="88"/>
      <c r="AH284" s="88"/>
      <c r="AI284" s="210"/>
      <c r="AJ284" s="178"/>
    </row>
    <row r="285" spans="1:45" s="101" customFormat="1" ht="15" customHeight="1" x14ac:dyDescent="0.2">
      <c r="A285" s="533">
        <f>VLOOKUP(B285,Sheet1!$B$4:$C$25,2,FALSE)</f>
        <v>0</v>
      </c>
      <c r="B285" s="112" t="str">
        <f>B250</f>
        <v>Bracknell Forest</v>
      </c>
      <c r="C285" s="97"/>
      <c r="D285" s="263">
        <f>IF(SUM($Y250:$AC250)&gt;0,Y250/Y285*10000,NA())</f>
        <v>50.835148874364556</v>
      </c>
      <c r="E285" s="263">
        <f t="shared" ref="E285:H285" si="104">IF(SUM($Y250:$AC250)&gt;0,Z250/Z285*10000,NA())</f>
        <v>19.743336623889437</v>
      </c>
      <c r="F285" s="263">
        <f t="shared" si="104"/>
        <v>23.559901048415597</v>
      </c>
      <c r="G285" s="263">
        <f t="shared" si="104"/>
        <v>71.476435112798754</v>
      </c>
      <c r="H285" s="470">
        <f t="shared" si="104"/>
        <v>110.30570438071227</v>
      </c>
      <c r="I285" s="452"/>
      <c r="J285" s="192"/>
      <c r="K285" s="192"/>
      <c r="L285" s="192"/>
      <c r="M285" s="192"/>
      <c r="N285" s="192"/>
      <c r="O285" s="452"/>
      <c r="P285" s="452"/>
      <c r="Q285" s="452"/>
      <c r="R285" s="452"/>
      <c r="S285" s="192"/>
      <c r="T285" s="461"/>
      <c r="U285" s="139"/>
      <c r="V285" s="154"/>
      <c r="W285" s="170"/>
      <c r="X285" s="424" t="str">
        <f>B285</f>
        <v>Bracknell Forest</v>
      </c>
      <c r="Y285" s="534">
        <v>1377</v>
      </c>
      <c r="Z285" s="424">
        <v>6078</v>
      </c>
      <c r="AA285" s="424">
        <v>8489</v>
      </c>
      <c r="AB285" s="424">
        <v>8954</v>
      </c>
      <c r="AC285" s="716">
        <v>3173</v>
      </c>
      <c r="AD285" s="88" t="e">
        <f>IF($X285=$Y$4,150,NA())</f>
        <v>#N/A</v>
      </c>
      <c r="AE285" s="88" t="e">
        <f>IF($X285=$Y$4,100,NA())</f>
        <v>#N/A</v>
      </c>
      <c r="AF285" s="88" t="e">
        <f>IF($X285=$Y$4,100,NA())</f>
        <v>#N/A</v>
      </c>
      <c r="AG285" s="88" t="e">
        <f>IF($X285=$Y$4,200,NA())</f>
        <v>#N/A</v>
      </c>
      <c r="AH285" s="88" t="e">
        <f>IF($X285=$Y$4,250,NA())</f>
        <v>#N/A</v>
      </c>
      <c r="AI285" s="210"/>
      <c r="AJ285" s="178"/>
    </row>
    <row r="286" spans="1:45" s="101" customFormat="1" ht="15" customHeight="1" x14ac:dyDescent="0.2">
      <c r="A286" s="533">
        <f>VLOOKUP(B286,Sheet1!$B$4:$C$25,2,FALSE)</f>
        <v>0</v>
      </c>
      <c r="B286" s="112" t="str">
        <f t="shared" ref="B286:B307" si="105">B251</f>
        <v>Brighton &amp; Hove</v>
      </c>
      <c r="C286" s="97"/>
      <c r="D286" s="263">
        <f>IF(SUM($Y251:$AC251)&gt;0,Y251/Y286*10000,NA())</f>
        <v>83.636363636363626</v>
      </c>
      <c r="E286" s="263">
        <f t="shared" ref="E286:E287" si="106">IF(SUM($Y251:$AC251)&gt;0,Z251/Z286*10000,NA())</f>
        <v>43.836577240049095</v>
      </c>
      <c r="F286" s="263">
        <f t="shared" ref="F286:F287" si="107">IF(SUM($Y251:$AC251)&gt;0,AA251/AA286*10000,NA())</f>
        <v>43.278333784149311</v>
      </c>
      <c r="G286" s="263">
        <f t="shared" ref="G286:G287" si="108">IF(SUM($Y251:$AC251)&gt;0,AB251/AB286*10000,NA())</f>
        <v>99.774898095759568</v>
      </c>
      <c r="H286" s="470">
        <f t="shared" ref="H286:H287" si="109">IF(SUM($Y251:$AC251)&gt;0,AC251/AC286*10000,NA())</f>
        <v>208.92857142857144</v>
      </c>
      <c r="I286" s="452"/>
      <c r="J286" s="192"/>
      <c r="K286" s="192"/>
      <c r="L286" s="192"/>
      <c r="M286" s="192"/>
      <c r="N286" s="192"/>
      <c r="O286" s="452"/>
      <c r="P286" s="452"/>
      <c r="Q286" s="452"/>
      <c r="R286" s="452"/>
      <c r="S286" s="192"/>
      <c r="T286" s="461"/>
      <c r="U286" s="139"/>
      <c r="V286" s="154"/>
      <c r="W286" s="170"/>
      <c r="X286" s="424" t="str">
        <f t="shared" ref="X286:X307" si="110">B286</f>
        <v>Brighton &amp; Hove</v>
      </c>
      <c r="Y286" s="534">
        <v>2750</v>
      </c>
      <c r="Z286" s="424">
        <v>11406</v>
      </c>
      <c r="AA286" s="424">
        <v>14788</v>
      </c>
      <c r="AB286" s="424">
        <v>16437</v>
      </c>
      <c r="AC286" s="716">
        <v>5600</v>
      </c>
      <c r="AD286" s="88" t="e">
        <f t="shared" ref="AD286:AD308" si="111">IF($X286=$Y$4,150,NA())</f>
        <v>#N/A</v>
      </c>
      <c r="AE286" s="88" t="e">
        <f t="shared" ref="AE286:AF308" si="112">IF($X286=$Y$4,100,NA())</f>
        <v>#N/A</v>
      </c>
      <c r="AF286" s="88" t="e">
        <f t="shared" si="112"/>
        <v>#N/A</v>
      </c>
      <c r="AG286" s="88" t="e">
        <f t="shared" ref="AG286:AG308" si="113">IF($X286=$Y$4,200,NA())</f>
        <v>#N/A</v>
      </c>
      <c r="AH286" s="88" t="e">
        <f t="shared" ref="AH286:AH308" si="114">IF($X286=$Y$4,250,NA())</f>
        <v>#N/A</v>
      </c>
      <c r="AI286" s="210"/>
      <c r="AJ286" s="178"/>
    </row>
    <row r="287" spans="1:45" s="101" customFormat="1" ht="15" customHeight="1" x14ac:dyDescent="0.2">
      <c r="A287" s="533">
        <f>VLOOKUP(B287,Sheet1!$B$4:$C$25,2,FALSE)</f>
        <v>0</v>
      </c>
      <c r="B287" s="112" t="str">
        <f t="shared" si="105"/>
        <v>Buckinghamshire</v>
      </c>
      <c r="C287" s="97"/>
      <c r="D287" s="263">
        <f t="shared" ref="D287:D308" si="115">IF(SUM($Y252:$AC252)&gt;0,Y252/Y287*10000,NA())</f>
        <v>33.74957813027337</v>
      </c>
      <c r="E287" s="263">
        <f t="shared" si="106"/>
        <v>19.487333233398292</v>
      </c>
      <c r="F287" s="263">
        <f t="shared" si="107"/>
        <v>20.463288859785543</v>
      </c>
      <c r="G287" s="263">
        <f t="shared" si="108"/>
        <v>50.722675005540097</v>
      </c>
      <c r="H287" s="470">
        <f t="shared" si="109"/>
        <v>92.41724111809711</v>
      </c>
      <c r="I287" s="452"/>
      <c r="J287" s="192"/>
      <c r="K287" s="192"/>
      <c r="L287" s="192"/>
      <c r="M287" s="192"/>
      <c r="N287" s="192"/>
      <c r="O287" s="452"/>
      <c r="P287" s="452"/>
      <c r="Q287" s="452"/>
      <c r="R287" s="452"/>
      <c r="S287" s="192"/>
      <c r="T287" s="461"/>
      <c r="U287" s="139"/>
      <c r="V287" s="154"/>
      <c r="W287" s="170"/>
      <c r="X287" s="424" t="str">
        <f t="shared" si="110"/>
        <v>Buckinghamshire</v>
      </c>
      <c r="Y287" s="534">
        <v>5926</v>
      </c>
      <c r="Z287" s="424">
        <v>26684</v>
      </c>
      <c r="AA287" s="424">
        <v>36651</v>
      </c>
      <c r="AB287" s="424">
        <v>40613</v>
      </c>
      <c r="AC287" s="716">
        <v>13201</v>
      </c>
      <c r="AD287" s="88" t="e">
        <f t="shared" si="111"/>
        <v>#N/A</v>
      </c>
      <c r="AE287" s="88" t="e">
        <f t="shared" si="112"/>
        <v>#N/A</v>
      </c>
      <c r="AF287" s="88" t="e">
        <f t="shared" si="112"/>
        <v>#N/A</v>
      </c>
      <c r="AG287" s="88" t="e">
        <f t="shared" si="113"/>
        <v>#N/A</v>
      </c>
      <c r="AH287" s="88" t="e">
        <f t="shared" si="114"/>
        <v>#N/A</v>
      </c>
      <c r="AI287" s="210"/>
      <c r="AJ287" s="178"/>
    </row>
    <row r="288" spans="1:45" s="101" customFormat="1" ht="15" customHeight="1" x14ac:dyDescent="0.2">
      <c r="A288" s="533">
        <f>VLOOKUP(B288,Sheet1!$B$4:$C$25,2,FALSE)</f>
        <v>0</v>
      </c>
      <c r="B288" s="112" t="str">
        <f t="shared" si="105"/>
        <v>East Sussex</v>
      </c>
      <c r="C288" s="97"/>
      <c r="D288" s="263">
        <f t="shared" si="115"/>
        <v>71.160308361336234</v>
      </c>
      <c r="E288" s="263">
        <f t="shared" ref="E288:E308" si="116">IF(SUM($Y253:$AC253)&gt;0,Z253/Z288*10000,NA())</f>
        <v>36.551662654898813</v>
      </c>
      <c r="F288" s="263">
        <f t="shared" ref="F288:F308" si="117">IF(SUM($Y253:$AC253)&gt;0,AA253/AA288*10000,NA())</f>
        <v>38.296913719306147</v>
      </c>
      <c r="G288" s="263">
        <f t="shared" ref="G288:G308" si="118">IF(SUM($Y253:$AC253)&gt;0,AB253/AB288*10000,NA())</f>
        <v>64.619899542863593</v>
      </c>
      <c r="H288" s="470">
        <f t="shared" ref="H288:H308" si="119">IF(SUM($Y253:$AC253)&gt;0,AC253/AC288*10000,NA())</f>
        <v>113.77792542147662</v>
      </c>
      <c r="I288" s="452"/>
      <c r="J288" s="192"/>
      <c r="K288" s="192"/>
      <c r="L288" s="192"/>
      <c r="M288" s="192"/>
      <c r="N288" s="192"/>
      <c r="O288" s="452"/>
      <c r="P288" s="452"/>
      <c r="Q288" s="452"/>
      <c r="R288" s="452"/>
      <c r="S288" s="192"/>
      <c r="T288" s="461"/>
      <c r="U288" s="139"/>
      <c r="V288" s="154"/>
      <c r="W288" s="170"/>
      <c r="X288" s="424" t="str">
        <f t="shared" si="110"/>
        <v>East Sussex</v>
      </c>
      <c r="Y288" s="534">
        <v>5059</v>
      </c>
      <c r="Z288" s="424">
        <v>22434</v>
      </c>
      <c r="AA288" s="424">
        <v>31073</v>
      </c>
      <c r="AB288" s="424">
        <v>35438</v>
      </c>
      <c r="AC288" s="716">
        <v>12041</v>
      </c>
      <c r="AD288" s="88" t="e">
        <f t="shared" si="111"/>
        <v>#N/A</v>
      </c>
      <c r="AE288" s="88" t="e">
        <f t="shared" si="112"/>
        <v>#N/A</v>
      </c>
      <c r="AF288" s="88" t="e">
        <f t="shared" si="112"/>
        <v>#N/A</v>
      </c>
      <c r="AG288" s="88" t="e">
        <f t="shared" si="113"/>
        <v>#N/A</v>
      </c>
      <c r="AH288" s="88" t="e">
        <f t="shared" si="114"/>
        <v>#N/A</v>
      </c>
      <c r="AI288" s="210"/>
      <c r="AJ288" s="178"/>
    </row>
    <row r="289" spans="1:44" s="101" customFormat="1" ht="15" customHeight="1" x14ac:dyDescent="0.2">
      <c r="A289" s="533">
        <f>VLOOKUP(B289,Sheet1!$B$4:$C$25,2,FALSE)</f>
        <v>0</v>
      </c>
      <c r="B289" s="112" t="str">
        <f t="shared" si="105"/>
        <v>Hampshire</v>
      </c>
      <c r="C289" s="97"/>
      <c r="D289" s="263">
        <f t="shared" si="115"/>
        <v>47.727596523721324</v>
      </c>
      <c r="E289" s="263">
        <f t="shared" si="116"/>
        <v>34.566138167183269</v>
      </c>
      <c r="F289" s="263">
        <f t="shared" si="117"/>
        <v>37.881503788150383</v>
      </c>
      <c r="G289" s="263">
        <f t="shared" si="118"/>
        <v>68.962549355022645</v>
      </c>
      <c r="H289" s="470">
        <f t="shared" si="119"/>
        <v>114.74987106756059</v>
      </c>
      <c r="I289" s="452"/>
      <c r="J289" s="192"/>
      <c r="K289" s="192"/>
      <c r="L289" s="192"/>
      <c r="M289" s="192"/>
      <c r="N289" s="192"/>
      <c r="O289" s="452"/>
      <c r="P289" s="452"/>
      <c r="Q289" s="452"/>
      <c r="R289" s="452"/>
      <c r="S289" s="192"/>
      <c r="T289" s="461"/>
      <c r="U289" s="139"/>
      <c r="V289" s="154"/>
      <c r="W289" s="170"/>
      <c r="X289" s="424" t="str">
        <f t="shared" si="110"/>
        <v>Hampshire</v>
      </c>
      <c r="Y289" s="534">
        <v>14038</v>
      </c>
      <c r="Z289" s="424">
        <v>61621</v>
      </c>
      <c r="AA289" s="424">
        <v>83682</v>
      </c>
      <c r="AB289" s="424">
        <v>92949</v>
      </c>
      <c r="AC289" s="716">
        <v>31024</v>
      </c>
      <c r="AD289" s="88" t="e">
        <f t="shared" si="111"/>
        <v>#N/A</v>
      </c>
      <c r="AE289" s="88" t="e">
        <f t="shared" si="112"/>
        <v>#N/A</v>
      </c>
      <c r="AF289" s="88" t="e">
        <f t="shared" si="112"/>
        <v>#N/A</v>
      </c>
      <c r="AG289" s="88" t="e">
        <f t="shared" si="113"/>
        <v>#N/A</v>
      </c>
      <c r="AH289" s="88" t="e">
        <f t="shared" si="114"/>
        <v>#N/A</v>
      </c>
      <c r="AI289" s="210"/>
      <c r="AJ289" s="178"/>
    </row>
    <row r="290" spans="1:44" s="101" customFormat="1" ht="15" customHeight="1" x14ac:dyDescent="0.2">
      <c r="A290" s="533">
        <f>VLOOKUP(B290,Sheet1!$B$4:$C$25,2,FALSE)</f>
        <v>0</v>
      </c>
      <c r="B290" s="112" t="str">
        <f t="shared" si="105"/>
        <v>Isle of Wight</v>
      </c>
      <c r="C290" s="97"/>
      <c r="D290" s="263">
        <f t="shared" si="115"/>
        <v>74.380165289256198</v>
      </c>
      <c r="E290" s="263">
        <f t="shared" si="116"/>
        <v>53.673884878771048</v>
      </c>
      <c r="F290" s="263">
        <f t="shared" si="117"/>
        <v>81.661891117478518</v>
      </c>
      <c r="G290" s="263">
        <f t="shared" si="118"/>
        <v>108.29465667023683</v>
      </c>
      <c r="H290" s="470">
        <f t="shared" si="119"/>
        <v>130.76168682576005</v>
      </c>
      <c r="I290" s="452"/>
      <c r="J290" s="192"/>
      <c r="K290" s="192"/>
      <c r="L290" s="192"/>
      <c r="M290" s="192"/>
      <c r="N290" s="192"/>
      <c r="O290" s="452"/>
      <c r="P290" s="452"/>
      <c r="Q290" s="452"/>
      <c r="R290" s="452"/>
      <c r="S290" s="192"/>
      <c r="T290" s="461"/>
      <c r="U290" s="139"/>
      <c r="V290" s="154"/>
      <c r="W290" s="170"/>
      <c r="X290" s="424" t="str">
        <f t="shared" si="110"/>
        <v>Isle of Wight</v>
      </c>
      <c r="Y290" s="534">
        <v>1210</v>
      </c>
      <c r="Z290" s="424">
        <v>5403</v>
      </c>
      <c r="AA290" s="424">
        <v>6980</v>
      </c>
      <c r="AB290" s="424">
        <v>8403</v>
      </c>
      <c r="AC290" s="716">
        <v>3059</v>
      </c>
      <c r="AD290" s="88" t="e">
        <f t="shared" si="111"/>
        <v>#N/A</v>
      </c>
      <c r="AE290" s="88" t="e">
        <f t="shared" si="112"/>
        <v>#N/A</v>
      </c>
      <c r="AF290" s="88" t="e">
        <f t="shared" si="112"/>
        <v>#N/A</v>
      </c>
      <c r="AG290" s="88" t="e">
        <f t="shared" si="113"/>
        <v>#N/A</v>
      </c>
      <c r="AH290" s="88" t="e">
        <f t="shared" si="114"/>
        <v>#N/A</v>
      </c>
      <c r="AI290" s="210"/>
      <c r="AJ290" s="178"/>
      <c r="AR290" s="101" t="s">
        <v>104</v>
      </c>
    </row>
    <row r="291" spans="1:44" s="101" customFormat="1" ht="15" customHeight="1" x14ac:dyDescent="0.2">
      <c r="A291" s="533">
        <f>VLOOKUP(B291,Sheet1!$B$4:$C$25,2,FALSE)</f>
        <v>0</v>
      </c>
      <c r="B291" s="112" t="str">
        <f t="shared" si="105"/>
        <v>Kent</v>
      </c>
      <c r="C291" s="97"/>
      <c r="D291" s="263">
        <f t="shared" si="115"/>
        <v>36.693039789015018</v>
      </c>
      <c r="E291" s="263">
        <f t="shared" si="116"/>
        <v>15.143934989250509</v>
      </c>
      <c r="F291" s="263">
        <f t="shared" si="117"/>
        <v>24.022623838146302</v>
      </c>
      <c r="G291" s="263">
        <f t="shared" si="118"/>
        <v>62.990405796573754</v>
      </c>
      <c r="H291" s="470">
        <f t="shared" si="119"/>
        <v>149.2702344095533</v>
      </c>
      <c r="I291" s="452"/>
      <c r="J291" s="192"/>
      <c r="K291" s="192"/>
      <c r="L291" s="192"/>
      <c r="M291" s="192"/>
      <c r="N291" s="192"/>
      <c r="O291" s="452"/>
      <c r="P291" s="452"/>
      <c r="Q291" s="452"/>
      <c r="R291" s="452"/>
      <c r="S291" s="192"/>
      <c r="T291" s="461"/>
      <c r="U291" s="139"/>
      <c r="V291" s="154"/>
      <c r="W291" s="170"/>
      <c r="X291" s="424" t="str">
        <f t="shared" si="110"/>
        <v>Kent</v>
      </c>
      <c r="Y291" s="534">
        <v>17442</v>
      </c>
      <c r="Z291" s="424">
        <v>73957</v>
      </c>
      <c r="AA291" s="424">
        <v>98657</v>
      </c>
      <c r="AB291" s="424">
        <v>109858</v>
      </c>
      <c r="AC291" s="716">
        <v>36176</v>
      </c>
      <c r="AD291" s="88" t="e">
        <f t="shared" si="111"/>
        <v>#N/A</v>
      </c>
      <c r="AE291" s="88" t="e">
        <f t="shared" si="112"/>
        <v>#N/A</v>
      </c>
      <c r="AF291" s="88" t="e">
        <f t="shared" si="112"/>
        <v>#N/A</v>
      </c>
      <c r="AG291" s="88" t="e">
        <f t="shared" si="113"/>
        <v>#N/A</v>
      </c>
      <c r="AH291" s="88" t="e">
        <f t="shared" si="114"/>
        <v>#N/A</v>
      </c>
      <c r="AI291" s="210"/>
      <c r="AJ291" s="178"/>
    </row>
    <row r="292" spans="1:44" s="101" customFormat="1" ht="15" customHeight="1" x14ac:dyDescent="0.2">
      <c r="A292" s="533">
        <f>VLOOKUP(B292,Sheet1!$B$4:$C$25,2,FALSE)</f>
        <v>0</v>
      </c>
      <c r="B292" s="112" t="str">
        <f t="shared" si="105"/>
        <v>Medway</v>
      </c>
      <c r="C292" s="97"/>
      <c r="D292" s="263">
        <f t="shared" si="115"/>
        <v>79.452054794520549</v>
      </c>
      <c r="E292" s="263">
        <f t="shared" si="116"/>
        <v>38.213998390989538</v>
      </c>
      <c r="F292" s="263">
        <f t="shared" si="117"/>
        <v>45.141874462596732</v>
      </c>
      <c r="G292" s="263">
        <f t="shared" si="118"/>
        <v>85.066162570888466</v>
      </c>
      <c r="H292" s="470">
        <f t="shared" si="119"/>
        <v>109.49452527373631</v>
      </c>
      <c r="I292" s="452"/>
      <c r="J292" s="192"/>
      <c r="K292" s="192"/>
      <c r="L292" s="192"/>
      <c r="M292" s="192"/>
      <c r="N292" s="192"/>
      <c r="O292" s="452"/>
      <c r="P292" s="452"/>
      <c r="Q292" s="452"/>
      <c r="R292" s="452"/>
      <c r="S292" s="192"/>
      <c r="T292" s="461"/>
      <c r="U292" s="139"/>
      <c r="V292" s="154"/>
      <c r="W292" s="170"/>
      <c r="X292" s="424" t="str">
        <f t="shared" si="110"/>
        <v>Medway</v>
      </c>
      <c r="Y292" s="534">
        <v>3650</v>
      </c>
      <c r="Z292" s="424">
        <v>14916</v>
      </c>
      <c r="AA292" s="424">
        <v>18608</v>
      </c>
      <c r="AB292" s="424">
        <v>20102</v>
      </c>
      <c r="AC292" s="716">
        <v>6667</v>
      </c>
      <c r="AD292" s="88" t="e">
        <f t="shared" si="111"/>
        <v>#N/A</v>
      </c>
      <c r="AE292" s="88" t="e">
        <f t="shared" si="112"/>
        <v>#N/A</v>
      </c>
      <c r="AF292" s="88" t="e">
        <f t="shared" si="112"/>
        <v>#N/A</v>
      </c>
      <c r="AG292" s="88" t="e">
        <f t="shared" si="113"/>
        <v>#N/A</v>
      </c>
      <c r="AH292" s="88" t="e">
        <f t="shared" si="114"/>
        <v>#N/A</v>
      </c>
      <c r="AI292" s="210"/>
      <c r="AJ292" s="178"/>
    </row>
    <row r="293" spans="1:44" s="101" customFormat="1" ht="15" customHeight="1" x14ac:dyDescent="0.2">
      <c r="A293" s="533">
        <f>VLOOKUP(B293,Sheet1!$B$4:$C$25,2,FALSE)</f>
        <v>0</v>
      </c>
      <c r="B293" s="112" t="str">
        <f t="shared" si="105"/>
        <v>Milton Keynes</v>
      </c>
      <c r="C293" s="97"/>
      <c r="D293" s="263">
        <f t="shared" si="115"/>
        <v>64.013359309769001</v>
      </c>
      <c r="E293" s="263">
        <f t="shared" si="116"/>
        <v>34.852037259996202</v>
      </c>
      <c r="F293" s="263">
        <f t="shared" si="117"/>
        <v>38.599133873093578</v>
      </c>
      <c r="G293" s="263">
        <f t="shared" si="118"/>
        <v>76.225395600154386</v>
      </c>
      <c r="H293" s="470">
        <f t="shared" si="119"/>
        <v>115.85462624980163</v>
      </c>
      <c r="I293" s="452"/>
      <c r="J293" s="192"/>
      <c r="K293" s="192"/>
      <c r="L293" s="192"/>
      <c r="M293" s="192"/>
      <c r="N293" s="192"/>
      <c r="O293" s="452"/>
      <c r="P293" s="452"/>
      <c r="Q293" s="452"/>
      <c r="R293" s="452"/>
      <c r="S293" s="192"/>
      <c r="T293" s="461"/>
      <c r="U293" s="139"/>
      <c r="V293" s="154"/>
      <c r="W293" s="170"/>
      <c r="X293" s="424" t="str">
        <f t="shared" si="110"/>
        <v>Milton Keynes</v>
      </c>
      <c r="Y293" s="534">
        <v>3593</v>
      </c>
      <c r="Z293" s="424">
        <v>15781</v>
      </c>
      <c r="AA293" s="424">
        <v>21244</v>
      </c>
      <c r="AB293" s="424">
        <v>20728</v>
      </c>
      <c r="AC293" s="716">
        <v>6301</v>
      </c>
      <c r="AD293" s="88" t="e">
        <f t="shared" si="111"/>
        <v>#N/A</v>
      </c>
      <c r="AE293" s="88" t="e">
        <f t="shared" si="112"/>
        <v>#N/A</v>
      </c>
      <c r="AF293" s="88" t="e">
        <f t="shared" si="112"/>
        <v>#N/A</v>
      </c>
      <c r="AG293" s="88" t="e">
        <f t="shared" si="113"/>
        <v>#N/A</v>
      </c>
      <c r="AH293" s="88" t="e">
        <f t="shared" si="114"/>
        <v>#N/A</v>
      </c>
      <c r="AI293" s="210"/>
      <c r="AJ293" s="178"/>
    </row>
    <row r="294" spans="1:44" s="101" customFormat="1" ht="15" customHeight="1" x14ac:dyDescent="0.2">
      <c r="A294" s="533">
        <f>VLOOKUP(B294,Sheet1!$B$4:$C$25,2,FALSE)</f>
        <v>0</v>
      </c>
      <c r="B294" s="112" t="str">
        <f t="shared" si="105"/>
        <v>Oxfordshire</v>
      </c>
      <c r="C294" s="97"/>
      <c r="D294" s="263">
        <f t="shared" si="115"/>
        <v>47.878707274903576</v>
      </c>
      <c r="E294" s="263">
        <f t="shared" si="116"/>
        <v>23.42651881930345</v>
      </c>
      <c r="F294" s="263">
        <f t="shared" si="117"/>
        <v>27.969726883843368</v>
      </c>
      <c r="G294" s="263">
        <f t="shared" si="118"/>
        <v>61.52113164222429</v>
      </c>
      <c r="H294" s="470">
        <f t="shared" si="119"/>
        <v>112.49259917110716</v>
      </c>
      <c r="I294" s="452"/>
      <c r="J294" s="192"/>
      <c r="K294" s="192"/>
      <c r="L294" s="192"/>
      <c r="M294" s="192"/>
      <c r="N294" s="192"/>
      <c r="O294" s="452"/>
      <c r="P294" s="452"/>
      <c r="Q294" s="452"/>
      <c r="R294" s="452"/>
      <c r="S294" s="192"/>
      <c r="T294" s="461"/>
      <c r="U294" s="139"/>
      <c r="V294" s="154"/>
      <c r="W294" s="170"/>
      <c r="X294" s="424" t="str">
        <f t="shared" si="110"/>
        <v>Oxfordshire</v>
      </c>
      <c r="Y294" s="534">
        <v>7519</v>
      </c>
      <c r="Z294" s="424">
        <v>32015</v>
      </c>
      <c r="AA294" s="424">
        <v>42546</v>
      </c>
      <c r="AB294" s="424">
        <v>46163</v>
      </c>
      <c r="AC294" s="716">
        <v>15201</v>
      </c>
      <c r="AD294" s="88" t="e">
        <f t="shared" si="111"/>
        <v>#N/A</v>
      </c>
      <c r="AE294" s="88" t="e">
        <f t="shared" si="112"/>
        <v>#N/A</v>
      </c>
      <c r="AF294" s="88" t="e">
        <f t="shared" si="112"/>
        <v>#N/A</v>
      </c>
      <c r="AG294" s="88" t="e">
        <f t="shared" si="113"/>
        <v>#N/A</v>
      </c>
      <c r="AH294" s="88" t="e">
        <f t="shared" si="114"/>
        <v>#N/A</v>
      </c>
      <c r="AI294" s="210"/>
      <c r="AJ294" s="178"/>
    </row>
    <row r="295" spans="1:44" s="101" customFormat="1" ht="15" customHeight="1" x14ac:dyDescent="0.2">
      <c r="A295" s="533">
        <f>VLOOKUP(B295,Sheet1!$B$4:$C$25,2,FALSE)</f>
        <v>0</v>
      </c>
      <c r="B295" s="112" t="str">
        <f t="shared" si="105"/>
        <v>Portsmouth</v>
      </c>
      <c r="C295" s="97"/>
      <c r="D295" s="263">
        <f t="shared" si="115"/>
        <v>64.542154094392899</v>
      </c>
      <c r="E295" s="263">
        <f t="shared" si="116"/>
        <v>44.14803682134135</v>
      </c>
      <c r="F295" s="263">
        <f t="shared" si="117"/>
        <v>43.969373057387614</v>
      </c>
      <c r="G295" s="263">
        <f t="shared" si="118"/>
        <v>127.15913267181185</v>
      </c>
      <c r="H295" s="470">
        <f t="shared" si="119"/>
        <v>283.30601732615315</v>
      </c>
      <c r="I295" s="452"/>
      <c r="J295" s="192"/>
      <c r="K295" s="192"/>
      <c r="L295" s="192"/>
      <c r="M295" s="192"/>
      <c r="N295" s="192"/>
      <c r="O295" s="452"/>
      <c r="P295" s="452"/>
      <c r="Q295" s="452"/>
      <c r="R295" s="452"/>
      <c r="S295" s="192"/>
      <c r="T295" s="461"/>
      <c r="U295" s="139"/>
      <c r="V295" s="154"/>
      <c r="W295" s="170"/>
      <c r="X295" s="424" t="str">
        <f t="shared" si="110"/>
        <v>Portsmouth</v>
      </c>
      <c r="Y295" s="534">
        <v>2479</v>
      </c>
      <c r="Z295" s="424">
        <v>10646</v>
      </c>
      <c r="AA295" s="424">
        <v>13191</v>
      </c>
      <c r="AB295" s="424">
        <v>13605</v>
      </c>
      <c r="AC295" s="716">
        <v>4271</v>
      </c>
      <c r="AD295" s="88" t="e">
        <f t="shared" si="111"/>
        <v>#N/A</v>
      </c>
      <c r="AE295" s="88" t="e">
        <f t="shared" si="112"/>
        <v>#N/A</v>
      </c>
      <c r="AF295" s="88" t="e">
        <f t="shared" si="112"/>
        <v>#N/A</v>
      </c>
      <c r="AG295" s="88" t="e">
        <f t="shared" si="113"/>
        <v>#N/A</v>
      </c>
      <c r="AH295" s="88" t="e">
        <f t="shared" si="114"/>
        <v>#N/A</v>
      </c>
      <c r="AI295" s="210"/>
      <c r="AJ295" s="178"/>
    </row>
    <row r="296" spans="1:44" s="101" customFormat="1" ht="15" customHeight="1" x14ac:dyDescent="0.2">
      <c r="A296" s="533">
        <f>VLOOKUP(B296,Sheet1!$B$4:$C$25,2,FALSE)</f>
        <v>0</v>
      </c>
      <c r="B296" s="112" t="str">
        <f t="shared" si="105"/>
        <v>Reading</v>
      </c>
      <c r="C296" s="97"/>
      <c r="D296" s="263">
        <f t="shared" si="115"/>
        <v>85.331166192604627</v>
      </c>
      <c r="E296" s="263">
        <f t="shared" si="116"/>
        <v>46.526054590570716</v>
      </c>
      <c r="F296" s="263">
        <f t="shared" si="117"/>
        <v>50.044682752457547</v>
      </c>
      <c r="G296" s="263">
        <f t="shared" si="118"/>
        <v>99.531055603407026</v>
      </c>
      <c r="H296" s="470">
        <f t="shared" si="119"/>
        <v>156.57934357121349</v>
      </c>
      <c r="I296" s="452"/>
      <c r="J296" s="192"/>
      <c r="K296" s="192"/>
      <c r="L296" s="192"/>
      <c r="M296" s="192"/>
      <c r="N296" s="192"/>
      <c r="O296" s="452"/>
      <c r="P296" s="452"/>
      <c r="Q296" s="452"/>
      <c r="R296" s="452"/>
      <c r="S296" s="192"/>
      <c r="T296" s="461"/>
      <c r="U296" s="139"/>
      <c r="V296" s="154"/>
      <c r="W296" s="170"/>
      <c r="X296" s="424" t="str">
        <f t="shared" si="110"/>
        <v>Reading</v>
      </c>
      <c r="Y296" s="534">
        <v>2461</v>
      </c>
      <c r="Z296" s="424">
        <v>9672</v>
      </c>
      <c r="AA296" s="424">
        <v>11190</v>
      </c>
      <c r="AB296" s="424">
        <v>10449</v>
      </c>
      <c r="AC296" s="716">
        <v>3321</v>
      </c>
      <c r="AD296" s="88" t="e">
        <f t="shared" si="111"/>
        <v>#N/A</v>
      </c>
      <c r="AE296" s="88" t="e">
        <f t="shared" si="112"/>
        <v>#N/A</v>
      </c>
      <c r="AF296" s="88" t="e">
        <f t="shared" si="112"/>
        <v>#N/A</v>
      </c>
      <c r="AG296" s="88" t="e">
        <f t="shared" si="113"/>
        <v>#N/A</v>
      </c>
      <c r="AH296" s="88" t="e">
        <f t="shared" si="114"/>
        <v>#N/A</v>
      </c>
      <c r="AI296" s="210"/>
      <c r="AJ296" s="178"/>
    </row>
    <row r="297" spans="1:44" s="101" customFormat="1" ht="15" customHeight="1" x14ac:dyDescent="0.2">
      <c r="A297" s="533">
        <f>VLOOKUP(B297,Sheet1!$B$4:$C$25,2,FALSE)</f>
        <v>0</v>
      </c>
      <c r="B297" s="112" t="str">
        <f t="shared" si="105"/>
        <v>Slough</v>
      </c>
      <c r="C297" s="97"/>
      <c r="D297" s="263">
        <f t="shared" si="115"/>
        <v>46.929996089166991</v>
      </c>
      <c r="E297" s="263">
        <f t="shared" si="116"/>
        <v>24.847094801223243</v>
      </c>
      <c r="F297" s="263">
        <f t="shared" si="117"/>
        <v>31.046258925799442</v>
      </c>
      <c r="G297" s="263">
        <f t="shared" si="118"/>
        <v>57.757733997942879</v>
      </c>
      <c r="H297" s="470">
        <f t="shared" si="119"/>
        <v>151.26512651265128</v>
      </c>
      <c r="I297" s="452"/>
      <c r="J297" s="192"/>
      <c r="K297" s="192"/>
      <c r="L297" s="192"/>
      <c r="M297" s="192"/>
      <c r="N297" s="192"/>
      <c r="O297" s="452"/>
      <c r="P297" s="452"/>
      <c r="Q297" s="452"/>
      <c r="R297" s="452"/>
      <c r="S297" s="192"/>
      <c r="T297" s="461"/>
      <c r="U297" s="139"/>
      <c r="V297" s="154"/>
      <c r="W297" s="170"/>
      <c r="X297" s="424" t="str">
        <f t="shared" si="110"/>
        <v>Slough</v>
      </c>
      <c r="Y297" s="534">
        <v>2557</v>
      </c>
      <c r="Z297" s="424">
        <v>10464</v>
      </c>
      <c r="AA297" s="424">
        <v>12884</v>
      </c>
      <c r="AB297" s="424">
        <v>12639</v>
      </c>
      <c r="AC297" s="716">
        <v>3636</v>
      </c>
      <c r="AD297" s="88" t="e">
        <f t="shared" si="111"/>
        <v>#N/A</v>
      </c>
      <c r="AE297" s="88" t="e">
        <f t="shared" si="112"/>
        <v>#N/A</v>
      </c>
      <c r="AF297" s="88" t="e">
        <f t="shared" si="112"/>
        <v>#N/A</v>
      </c>
      <c r="AG297" s="88" t="e">
        <f t="shared" si="113"/>
        <v>#N/A</v>
      </c>
      <c r="AH297" s="88" t="e">
        <f t="shared" si="114"/>
        <v>#N/A</v>
      </c>
      <c r="AI297" s="210"/>
      <c r="AJ297" s="178"/>
    </row>
    <row r="298" spans="1:44" s="101" customFormat="1" ht="15" customHeight="1" x14ac:dyDescent="0.2">
      <c r="A298" s="533">
        <f>VLOOKUP(B298,Sheet1!$B$4:$C$25,2,FALSE)</f>
        <v>0</v>
      </c>
      <c r="B298" s="112" t="str">
        <f t="shared" si="105"/>
        <v>Somerset</v>
      </c>
      <c r="C298" s="97"/>
      <c r="D298" s="263">
        <f t="shared" si="115"/>
        <v>69.648093841642222</v>
      </c>
      <c r="E298" s="263">
        <f t="shared" si="116"/>
        <v>21.876314682372737</v>
      </c>
      <c r="F298" s="263">
        <f t="shared" si="117"/>
        <v>24.462146396537666</v>
      </c>
      <c r="G298" s="263">
        <f t="shared" si="118"/>
        <v>61.198166799308439</v>
      </c>
      <c r="H298" s="470">
        <f t="shared" si="119"/>
        <v>104.52405649086411</v>
      </c>
      <c r="I298" s="452"/>
      <c r="J298" s="192"/>
      <c r="K298" s="192"/>
      <c r="L298" s="192"/>
      <c r="M298" s="192"/>
      <c r="N298" s="192"/>
      <c r="O298" s="452"/>
      <c r="P298" s="452"/>
      <c r="Q298" s="452"/>
      <c r="R298" s="452"/>
      <c r="S298" s="192"/>
      <c r="T298" s="461"/>
      <c r="U298" s="139"/>
      <c r="V298" s="154"/>
      <c r="W298" s="170"/>
      <c r="X298" s="424" t="str">
        <f t="shared" si="110"/>
        <v>Somerset</v>
      </c>
      <c r="Y298" s="534">
        <v>5456</v>
      </c>
      <c r="Z298" s="424">
        <v>23770</v>
      </c>
      <c r="AA298" s="424">
        <v>31886</v>
      </c>
      <c r="AB298" s="424">
        <v>36439</v>
      </c>
      <c r="AC298" s="716">
        <v>12533</v>
      </c>
      <c r="AD298" s="88" t="e">
        <f t="shared" si="111"/>
        <v>#N/A</v>
      </c>
      <c r="AE298" s="88" t="e">
        <f t="shared" si="112"/>
        <v>#N/A</v>
      </c>
      <c r="AF298" s="88" t="e">
        <f t="shared" si="112"/>
        <v>#N/A</v>
      </c>
      <c r="AG298" s="88" t="e">
        <f t="shared" si="113"/>
        <v>#N/A</v>
      </c>
      <c r="AH298" s="88" t="e">
        <f t="shared" si="114"/>
        <v>#N/A</v>
      </c>
      <c r="AI298" s="210"/>
      <c r="AJ298" s="178"/>
    </row>
    <row r="299" spans="1:44" s="101" customFormat="1" ht="15" customHeight="1" x14ac:dyDescent="0.2">
      <c r="A299" s="533">
        <f>VLOOKUP(B299,Sheet1!$B$4:$C$25,2,FALSE)</f>
        <v>0</v>
      </c>
      <c r="B299" s="112" t="str">
        <f t="shared" si="105"/>
        <v>Southampton</v>
      </c>
      <c r="C299" s="97"/>
      <c r="D299" s="263">
        <f t="shared" si="115"/>
        <v>127.06480304955527</v>
      </c>
      <c r="E299" s="263">
        <f t="shared" si="116"/>
        <v>49.674014281279106</v>
      </c>
      <c r="F299" s="263">
        <f t="shared" si="117"/>
        <v>86.602808030442205</v>
      </c>
      <c r="G299" s="263">
        <f t="shared" si="118"/>
        <v>142.09468357939974</v>
      </c>
      <c r="H299" s="470">
        <f t="shared" si="119"/>
        <v>175.93397046046917</v>
      </c>
      <c r="I299" s="452"/>
      <c r="J299" s="192"/>
      <c r="K299" s="192"/>
      <c r="L299" s="192"/>
      <c r="M299" s="192"/>
      <c r="N299" s="192"/>
      <c r="O299" s="452"/>
      <c r="P299" s="452"/>
      <c r="Q299" s="452"/>
      <c r="R299" s="452"/>
      <c r="S299" s="192"/>
      <c r="T299" s="461"/>
      <c r="U299" s="139"/>
      <c r="V299" s="154"/>
      <c r="W299" s="170"/>
      <c r="X299" s="424" t="str">
        <f t="shared" si="110"/>
        <v>Southampton</v>
      </c>
      <c r="Y299" s="534">
        <v>3148</v>
      </c>
      <c r="Z299" s="424">
        <v>12884</v>
      </c>
      <c r="AA299" s="424">
        <v>15242</v>
      </c>
      <c r="AB299" s="424">
        <v>14427</v>
      </c>
      <c r="AC299" s="716">
        <v>4604</v>
      </c>
      <c r="AD299" s="88" t="e">
        <f t="shared" si="111"/>
        <v>#N/A</v>
      </c>
      <c r="AE299" s="88" t="e">
        <f t="shared" si="112"/>
        <v>#N/A</v>
      </c>
      <c r="AF299" s="88" t="e">
        <f t="shared" si="112"/>
        <v>#N/A</v>
      </c>
      <c r="AG299" s="88" t="e">
        <f t="shared" si="113"/>
        <v>#N/A</v>
      </c>
      <c r="AH299" s="88" t="e">
        <f t="shared" si="114"/>
        <v>#N/A</v>
      </c>
      <c r="AI299" s="210"/>
      <c r="AJ299" s="178"/>
    </row>
    <row r="300" spans="1:44" s="101" customFormat="1" ht="15" customHeight="1" x14ac:dyDescent="0.2">
      <c r="A300" s="533">
        <f>VLOOKUP(B300,Sheet1!$B$4:$C$25,2,FALSE)</f>
        <v>0</v>
      </c>
      <c r="B300" s="112" t="str">
        <f t="shared" si="105"/>
        <v>Surrey</v>
      </c>
      <c r="C300" s="97"/>
      <c r="D300" s="263">
        <f t="shared" si="115"/>
        <v>34.275268489603164</v>
      </c>
      <c r="E300" s="263">
        <f t="shared" si="116"/>
        <v>13.819073776580124</v>
      </c>
      <c r="F300" s="263">
        <f t="shared" si="117"/>
        <v>19.819054605356293</v>
      </c>
      <c r="G300" s="263">
        <f t="shared" si="118"/>
        <v>44.633292865814475</v>
      </c>
      <c r="H300" s="470">
        <f t="shared" si="119"/>
        <v>99.405021041938767</v>
      </c>
      <c r="I300" s="452"/>
      <c r="J300" s="192"/>
      <c r="K300" s="192"/>
      <c r="L300" s="192"/>
      <c r="M300" s="192"/>
      <c r="N300" s="192"/>
      <c r="O300" s="452"/>
      <c r="P300" s="452"/>
      <c r="Q300" s="452"/>
      <c r="R300" s="452"/>
      <c r="S300" s="192"/>
      <c r="T300" s="461"/>
      <c r="U300" s="139"/>
      <c r="V300" s="154"/>
      <c r="W300" s="170"/>
      <c r="X300" s="424" t="str">
        <f t="shared" si="110"/>
        <v>Surrey</v>
      </c>
      <c r="Y300" s="534">
        <v>13129</v>
      </c>
      <c r="Z300" s="424">
        <v>57891</v>
      </c>
      <c r="AA300" s="424">
        <v>77703</v>
      </c>
      <c r="AB300" s="424">
        <v>84018</v>
      </c>
      <c r="AC300" s="716">
        <v>27564</v>
      </c>
      <c r="AD300" s="88" t="e">
        <f t="shared" si="111"/>
        <v>#N/A</v>
      </c>
      <c r="AE300" s="88" t="e">
        <f t="shared" si="112"/>
        <v>#N/A</v>
      </c>
      <c r="AF300" s="88" t="e">
        <f t="shared" si="112"/>
        <v>#N/A</v>
      </c>
      <c r="AG300" s="88" t="e">
        <f t="shared" si="113"/>
        <v>#N/A</v>
      </c>
      <c r="AH300" s="88" t="e">
        <f t="shared" si="114"/>
        <v>#N/A</v>
      </c>
      <c r="AI300" s="210"/>
      <c r="AJ300" s="178"/>
    </row>
    <row r="301" spans="1:44" s="101" customFormat="1" ht="15" customHeight="1" x14ac:dyDescent="0.2">
      <c r="A301" s="533">
        <f>VLOOKUP(B301,Sheet1!$B$4:$C$25,2,FALSE)</f>
        <v>0</v>
      </c>
      <c r="B301" s="112" t="str">
        <f t="shared" si="105"/>
        <v>Swindon</v>
      </c>
      <c r="C301" s="97"/>
      <c r="D301" s="263">
        <f t="shared" si="115"/>
        <v>73.452256033578166</v>
      </c>
      <c r="E301" s="263">
        <f t="shared" si="116"/>
        <v>51.213164301905799</v>
      </c>
      <c r="F301" s="263">
        <f t="shared" si="117"/>
        <v>50.653159157557987</v>
      </c>
      <c r="G301" s="263">
        <f t="shared" si="118"/>
        <v>79.71539627116411</v>
      </c>
      <c r="H301" s="470">
        <f t="shared" si="119"/>
        <v>162.94508147254072</v>
      </c>
      <c r="I301" s="452"/>
      <c r="J301" s="192"/>
      <c r="K301" s="192"/>
      <c r="L301" s="192"/>
      <c r="M301" s="192"/>
      <c r="N301" s="192"/>
      <c r="O301" s="452"/>
      <c r="P301" s="452"/>
      <c r="Q301" s="452"/>
      <c r="R301" s="452"/>
      <c r="S301" s="192"/>
      <c r="T301" s="461"/>
      <c r="U301" s="139"/>
      <c r="V301" s="154"/>
      <c r="W301" s="170"/>
      <c r="X301" s="424" t="str">
        <f t="shared" si="110"/>
        <v>Swindon</v>
      </c>
      <c r="Y301" s="534">
        <v>2859</v>
      </c>
      <c r="Z301" s="424">
        <v>11911</v>
      </c>
      <c r="AA301" s="424">
        <v>15004</v>
      </c>
      <c r="AB301" s="424">
        <v>15179</v>
      </c>
      <c r="AC301" s="716">
        <v>4971</v>
      </c>
      <c r="AD301" s="88" t="e">
        <f t="shared" si="111"/>
        <v>#N/A</v>
      </c>
      <c r="AE301" s="88" t="e">
        <f t="shared" si="112"/>
        <v>#N/A</v>
      </c>
      <c r="AF301" s="88" t="e">
        <f t="shared" si="112"/>
        <v>#N/A</v>
      </c>
      <c r="AG301" s="88" t="e">
        <f t="shared" si="113"/>
        <v>#N/A</v>
      </c>
      <c r="AH301" s="88" t="e">
        <f t="shared" si="114"/>
        <v>#N/A</v>
      </c>
      <c r="AI301" s="210"/>
      <c r="AJ301" s="178"/>
    </row>
    <row r="302" spans="1:44" s="101" customFormat="1" ht="15" customHeight="1" x14ac:dyDescent="0.2">
      <c r="A302" s="533">
        <f>VLOOKUP(B302,Sheet1!$B$4:$C$25,2,FALSE)</f>
        <v>0</v>
      </c>
      <c r="B302" s="112" t="str">
        <f t="shared" si="105"/>
        <v>Torbay</v>
      </c>
      <c r="C302" s="97"/>
      <c r="D302" s="263">
        <f t="shared" si="115"/>
        <v>219.19879062736206</v>
      </c>
      <c r="E302" s="263">
        <f t="shared" si="116"/>
        <v>68.317677198975232</v>
      </c>
      <c r="F302" s="263">
        <f t="shared" si="117"/>
        <v>80.601092896174862</v>
      </c>
      <c r="G302" s="263">
        <f t="shared" si="118"/>
        <v>172.32950378880469</v>
      </c>
      <c r="H302" s="470">
        <f t="shared" si="119"/>
        <v>211.91085129704055</v>
      </c>
      <c r="I302" s="452"/>
      <c r="J302" s="192"/>
      <c r="K302" s="192"/>
      <c r="L302" s="192"/>
      <c r="M302" s="192"/>
      <c r="N302" s="192"/>
      <c r="O302" s="452"/>
      <c r="P302" s="452"/>
      <c r="Q302" s="452"/>
      <c r="R302" s="452"/>
      <c r="S302" s="192"/>
      <c r="T302" s="461"/>
      <c r="U302" s="139"/>
      <c r="V302" s="154"/>
      <c r="W302" s="170"/>
      <c r="X302" s="424" t="str">
        <f t="shared" si="110"/>
        <v>Torbay</v>
      </c>
      <c r="Y302" s="534">
        <v>1323</v>
      </c>
      <c r="Z302" s="424">
        <v>5855</v>
      </c>
      <c r="AA302" s="424">
        <v>7320</v>
      </c>
      <c r="AB302" s="424">
        <v>8182</v>
      </c>
      <c r="AC302" s="716">
        <v>2737</v>
      </c>
      <c r="AD302" s="88" t="e">
        <f t="shared" si="111"/>
        <v>#N/A</v>
      </c>
      <c r="AE302" s="88" t="e">
        <f t="shared" si="112"/>
        <v>#N/A</v>
      </c>
      <c r="AF302" s="88" t="e">
        <f t="shared" si="112"/>
        <v>#N/A</v>
      </c>
      <c r="AG302" s="88" t="e">
        <f t="shared" si="113"/>
        <v>#N/A</v>
      </c>
      <c r="AH302" s="88" t="e">
        <f t="shared" si="114"/>
        <v>#N/A</v>
      </c>
      <c r="AI302" s="210"/>
      <c r="AJ302" s="178"/>
    </row>
    <row r="303" spans="1:44" s="101" customFormat="1" ht="15" customHeight="1" x14ac:dyDescent="0.2">
      <c r="A303" s="533">
        <f>VLOOKUP(B303,Sheet1!$B$4:$C$25,2,FALSE)</f>
        <v>0</v>
      </c>
      <c r="B303" s="112" t="str">
        <f t="shared" si="105"/>
        <v>West Berkshire</v>
      </c>
      <c r="C303" s="97"/>
      <c r="D303" s="263" t="e">
        <f t="shared" si="115"/>
        <v>#VALUE!</v>
      </c>
      <c r="E303" s="263" t="e">
        <f t="shared" si="116"/>
        <v>#VALUE!</v>
      </c>
      <c r="F303" s="263">
        <f t="shared" si="117"/>
        <v>22.946744430633903</v>
      </c>
      <c r="G303" s="263">
        <f t="shared" si="118"/>
        <v>55.202408832385416</v>
      </c>
      <c r="H303" s="470">
        <f t="shared" si="119"/>
        <v>89.834515366430267</v>
      </c>
      <c r="I303" s="452"/>
      <c r="J303" s="192"/>
      <c r="K303" s="192"/>
      <c r="L303" s="192"/>
      <c r="M303" s="192"/>
      <c r="N303" s="192"/>
      <c r="O303" s="452"/>
      <c r="P303" s="452"/>
      <c r="Q303" s="452"/>
      <c r="R303" s="452"/>
      <c r="S303" s="192"/>
      <c r="T303" s="461"/>
      <c r="U303" s="139"/>
      <c r="V303" s="154"/>
      <c r="W303" s="170"/>
      <c r="X303" s="424" t="str">
        <f t="shared" si="110"/>
        <v>West Berkshire</v>
      </c>
      <c r="Y303" s="534">
        <v>1675</v>
      </c>
      <c r="Z303" s="424">
        <v>7470</v>
      </c>
      <c r="AA303" s="424">
        <v>10459</v>
      </c>
      <c r="AB303" s="424">
        <v>11956</v>
      </c>
      <c r="AC303" s="716">
        <v>4230</v>
      </c>
      <c r="AD303" s="88" t="e">
        <f t="shared" si="111"/>
        <v>#N/A</v>
      </c>
      <c r="AE303" s="88" t="e">
        <f t="shared" si="112"/>
        <v>#N/A</v>
      </c>
      <c r="AF303" s="88" t="e">
        <f t="shared" si="112"/>
        <v>#N/A</v>
      </c>
      <c r="AG303" s="88" t="e">
        <f t="shared" si="113"/>
        <v>#N/A</v>
      </c>
      <c r="AH303" s="88" t="e">
        <f t="shared" si="114"/>
        <v>#N/A</v>
      </c>
      <c r="AI303" s="210"/>
      <c r="AJ303" s="178"/>
    </row>
    <row r="304" spans="1:44" s="101" customFormat="1" ht="15" customHeight="1" x14ac:dyDescent="0.2">
      <c r="A304" s="533">
        <f>VLOOKUP(B304,Sheet1!$B$4:$C$25,2,FALSE)</f>
        <v>0</v>
      </c>
      <c r="B304" s="112" t="str">
        <f t="shared" si="105"/>
        <v>West Sussex</v>
      </c>
      <c r="C304" s="97"/>
      <c r="D304" s="263">
        <f t="shared" si="115"/>
        <v>48.958214733006947</v>
      </c>
      <c r="E304" s="263">
        <f t="shared" si="116"/>
        <v>21.608393428965663</v>
      </c>
      <c r="F304" s="263">
        <f t="shared" si="117"/>
        <v>21.011238120939918</v>
      </c>
      <c r="G304" s="263">
        <f t="shared" si="118"/>
        <v>47.406082289803223</v>
      </c>
      <c r="H304" s="470">
        <f t="shared" si="119"/>
        <v>111.41452758055708</v>
      </c>
      <c r="I304" s="452"/>
      <c r="J304" s="192"/>
      <c r="K304" s="192"/>
      <c r="L304" s="192"/>
      <c r="M304" s="192"/>
      <c r="N304" s="192"/>
      <c r="O304" s="452"/>
      <c r="P304" s="452"/>
      <c r="Q304" s="452"/>
      <c r="R304" s="452"/>
      <c r="S304" s="192"/>
      <c r="T304" s="461"/>
      <c r="U304" s="139"/>
      <c r="V304" s="154"/>
      <c r="W304" s="170"/>
      <c r="X304" s="424" t="str">
        <f t="shared" si="110"/>
        <v>West Sussex</v>
      </c>
      <c r="Y304" s="534">
        <v>8783</v>
      </c>
      <c r="Z304" s="424">
        <v>38411</v>
      </c>
      <c r="AA304" s="424">
        <v>51877</v>
      </c>
      <c r="AB304" s="424">
        <v>55900</v>
      </c>
      <c r="AC304" s="716">
        <v>18310</v>
      </c>
      <c r="AD304" s="88" t="e">
        <f t="shared" si="111"/>
        <v>#N/A</v>
      </c>
      <c r="AE304" s="88" t="e">
        <f t="shared" si="112"/>
        <v>#N/A</v>
      </c>
      <c r="AF304" s="88" t="e">
        <f t="shared" si="112"/>
        <v>#N/A</v>
      </c>
      <c r="AG304" s="88" t="e">
        <f t="shared" si="113"/>
        <v>#N/A</v>
      </c>
      <c r="AH304" s="88" t="e">
        <f t="shared" si="114"/>
        <v>#N/A</v>
      </c>
      <c r="AI304" s="210"/>
      <c r="AJ304" s="178"/>
    </row>
    <row r="305" spans="1:58" s="101" customFormat="1" ht="15" customHeight="1" x14ac:dyDescent="0.2">
      <c r="A305" s="533">
        <f>VLOOKUP(B305,Sheet1!$B$4:$C$25,2,FALSE)</f>
        <v>0</v>
      </c>
      <c r="B305" s="112" t="str">
        <f t="shared" si="105"/>
        <v>Windsor &amp; Maidenhead</v>
      </c>
      <c r="C305" s="97"/>
      <c r="D305" s="263" t="e">
        <f t="shared" si="115"/>
        <v>#VALUE!</v>
      </c>
      <c r="E305" s="263" t="e">
        <f t="shared" si="116"/>
        <v>#VALUE!</v>
      </c>
      <c r="F305" s="263">
        <f t="shared" si="117"/>
        <v>16.15835184811149</v>
      </c>
      <c r="G305" s="263">
        <f t="shared" si="118"/>
        <v>38.340291386214531</v>
      </c>
      <c r="H305" s="470">
        <f t="shared" si="119"/>
        <v>83.123425692695207</v>
      </c>
      <c r="I305" s="452"/>
      <c r="J305" s="192"/>
      <c r="K305" s="192"/>
      <c r="L305" s="192"/>
      <c r="M305" s="192"/>
      <c r="N305" s="192"/>
      <c r="O305" s="452"/>
      <c r="P305" s="452"/>
      <c r="Q305" s="452"/>
      <c r="R305" s="452"/>
      <c r="S305" s="192"/>
      <c r="T305" s="461"/>
      <c r="U305" s="139"/>
      <c r="V305" s="154"/>
      <c r="W305" s="170"/>
      <c r="X305" s="424" t="str">
        <f t="shared" si="110"/>
        <v>Windsor &amp; Maidenhead</v>
      </c>
      <c r="Y305" s="534">
        <v>1694</v>
      </c>
      <c r="Z305" s="424">
        <v>7049</v>
      </c>
      <c r="AA305" s="424">
        <v>9902</v>
      </c>
      <c r="AB305" s="424">
        <v>11737</v>
      </c>
      <c r="AC305" s="716">
        <v>3970</v>
      </c>
      <c r="AD305" s="88" t="e">
        <f t="shared" si="111"/>
        <v>#N/A</v>
      </c>
      <c r="AE305" s="88" t="e">
        <f t="shared" si="112"/>
        <v>#N/A</v>
      </c>
      <c r="AF305" s="88" t="e">
        <f t="shared" si="112"/>
        <v>#N/A</v>
      </c>
      <c r="AG305" s="88" t="e">
        <f t="shared" si="113"/>
        <v>#N/A</v>
      </c>
      <c r="AH305" s="88" t="e">
        <f t="shared" si="114"/>
        <v>#N/A</v>
      </c>
      <c r="AI305" s="210"/>
      <c r="AJ305" s="178"/>
    </row>
    <row r="306" spans="1:58" s="101" customFormat="1" ht="15" customHeight="1" x14ac:dyDescent="0.2">
      <c r="A306" s="533">
        <f>VLOOKUP(B306,Sheet1!$B$4:$C$25,2,FALSE)</f>
        <v>0</v>
      </c>
      <c r="B306" s="112" t="str">
        <f t="shared" si="105"/>
        <v>Wokingham</v>
      </c>
      <c r="C306" s="97"/>
      <c r="D306" s="263">
        <f t="shared" si="115"/>
        <v>39.392234102419806</v>
      </c>
      <c r="E306" s="263">
        <f t="shared" si="116"/>
        <v>12.233912405187178</v>
      </c>
      <c r="F306" s="263">
        <f t="shared" si="117"/>
        <v>11.700793982448809</v>
      </c>
      <c r="G306" s="263">
        <f t="shared" si="118"/>
        <v>30.461610560024994</v>
      </c>
      <c r="H306" s="470">
        <f t="shared" si="119"/>
        <v>90.384132563394431</v>
      </c>
      <c r="I306" s="452"/>
      <c r="J306" s="192"/>
      <c r="K306" s="192"/>
      <c r="L306" s="192"/>
      <c r="M306" s="192"/>
      <c r="N306" s="192"/>
      <c r="O306" s="452"/>
      <c r="P306" s="452"/>
      <c r="Q306" s="452"/>
      <c r="R306" s="452"/>
      <c r="S306" s="192"/>
      <c r="T306" s="461"/>
      <c r="U306" s="139"/>
      <c r="V306" s="154"/>
      <c r="W306" s="170"/>
      <c r="X306" s="424" t="str">
        <f t="shared" si="110"/>
        <v>Wokingham</v>
      </c>
      <c r="Y306" s="534">
        <v>1777</v>
      </c>
      <c r="Z306" s="424">
        <v>8174</v>
      </c>
      <c r="AA306" s="424">
        <v>11965</v>
      </c>
      <c r="AB306" s="424">
        <v>12803</v>
      </c>
      <c r="AC306" s="716">
        <v>3983</v>
      </c>
      <c r="AD306" s="88" t="e">
        <f t="shared" si="111"/>
        <v>#N/A</v>
      </c>
      <c r="AE306" s="88" t="e">
        <f t="shared" si="112"/>
        <v>#N/A</v>
      </c>
      <c r="AF306" s="88" t="e">
        <f t="shared" si="112"/>
        <v>#N/A</v>
      </c>
      <c r="AG306" s="88" t="e">
        <f t="shared" si="113"/>
        <v>#N/A</v>
      </c>
      <c r="AH306" s="88" t="e">
        <f t="shared" si="114"/>
        <v>#N/A</v>
      </c>
      <c r="AI306" s="210"/>
      <c r="AJ306" s="178"/>
    </row>
    <row r="307" spans="1:58" s="101" customFormat="1" ht="15" customHeight="1" x14ac:dyDescent="0.2">
      <c r="A307" s="138"/>
      <c r="B307" s="146" t="str">
        <f t="shared" si="105"/>
        <v>South East</v>
      </c>
      <c r="C307" s="97"/>
      <c r="D307" s="471">
        <f t="shared" si="115"/>
        <v>49.866855495826144</v>
      </c>
      <c r="E307" s="471">
        <f t="shared" si="116"/>
        <v>25.868679496299855</v>
      </c>
      <c r="F307" s="471">
        <f t="shared" si="117"/>
        <v>30.84221779803892</v>
      </c>
      <c r="G307" s="471">
        <f t="shared" si="118"/>
        <v>64.574866186527288</v>
      </c>
      <c r="H307" s="472">
        <f t="shared" si="119"/>
        <v>124.07188414787818</v>
      </c>
      <c r="I307" s="452"/>
      <c r="J307" s="192"/>
      <c r="K307" s="192"/>
      <c r="L307" s="192"/>
      <c r="M307" s="192"/>
      <c r="N307" s="192"/>
      <c r="O307" s="452"/>
      <c r="P307" s="452"/>
      <c r="Q307" s="452"/>
      <c r="R307" s="452"/>
      <c r="S307" s="192"/>
      <c r="T307" s="461"/>
      <c r="U307" s="139"/>
      <c r="V307" s="154"/>
      <c r="W307" s="170"/>
      <c r="X307" s="424" t="str">
        <f t="shared" si="110"/>
        <v>South East</v>
      </c>
      <c r="Y307" s="424">
        <v>100267</v>
      </c>
      <c r="Z307" s="424">
        <v>432956</v>
      </c>
      <c r="AA307" s="424">
        <v>577131</v>
      </c>
      <c r="AB307" s="424">
        <v>627179</v>
      </c>
      <c r="AC307" s="424">
        <v>206332</v>
      </c>
      <c r="AD307" s="88" t="e">
        <f t="shared" si="111"/>
        <v>#N/A</v>
      </c>
      <c r="AE307" s="88" t="e">
        <f t="shared" si="112"/>
        <v>#N/A</v>
      </c>
      <c r="AF307" s="88" t="e">
        <f t="shared" si="112"/>
        <v>#N/A</v>
      </c>
      <c r="AG307" s="88" t="e">
        <f t="shared" si="113"/>
        <v>#N/A</v>
      </c>
      <c r="AH307" s="88" t="e">
        <f t="shared" si="114"/>
        <v>#N/A</v>
      </c>
      <c r="AI307" s="210"/>
      <c r="AJ307" s="178"/>
    </row>
    <row r="308" spans="1:58" s="101" customFormat="1" ht="15" customHeight="1" x14ac:dyDescent="0.2">
      <c r="A308" s="138"/>
      <c r="B308" s="370" t="s">
        <v>130</v>
      </c>
      <c r="C308" s="97"/>
      <c r="D308" s="473">
        <f t="shared" si="115"/>
        <v>58.457427842568947</v>
      </c>
      <c r="E308" s="473">
        <f t="shared" si="116"/>
        <v>33.571814027526692</v>
      </c>
      <c r="F308" s="473">
        <f t="shared" si="117"/>
        <v>40.315640009355519</v>
      </c>
      <c r="G308" s="473">
        <f t="shared" si="118"/>
        <v>75.99229319924892</v>
      </c>
      <c r="H308" s="474">
        <f t="shared" si="119"/>
        <v>138.65088780506858</v>
      </c>
      <c r="I308" s="452"/>
      <c r="J308" s="192"/>
      <c r="K308" s="192"/>
      <c r="L308" s="192"/>
      <c r="M308" s="192"/>
      <c r="N308" s="192"/>
      <c r="O308" s="452"/>
      <c r="P308" s="452"/>
      <c r="Q308" s="452"/>
      <c r="R308" s="452"/>
      <c r="S308" s="192"/>
      <c r="T308" s="461"/>
      <c r="U308" s="139"/>
      <c r="V308" s="154"/>
      <c r="W308" s="170"/>
      <c r="X308" s="424" t="str">
        <f>B308</f>
        <v>England</v>
      </c>
      <c r="Y308" s="717">
        <v>653467</v>
      </c>
      <c r="Z308" s="717">
        <v>2731458</v>
      </c>
      <c r="AA308" s="717">
        <v>3497402</v>
      </c>
      <c r="AB308" s="717">
        <v>3755644</v>
      </c>
      <c r="AC308" s="717">
        <v>1228986</v>
      </c>
      <c r="AD308" s="88" t="e">
        <f t="shared" si="111"/>
        <v>#N/A</v>
      </c>
      <c r="AE308" s="88" t="e">
        <f t="shared" si="112"/>
        <v>#N/A</v>
      </c>
      <c r="AF308" s="88" t="e">
        <f t="shared" si="112"/>
        <v>#N/A</v>
      </c>
      <c r="AG308" s="88" t="e">
        <f t="shared" si="113"/>
        <v>#N/A</v>
      </c>
      <c r="AH308" s="88" t="e">
        <f t="shared" si="114"/>
        <v>#N/A</v>
      </c>
      <c r="AI308" s="210"/>
      <c r="AJ308" s="178"/>
    </row>
    <row r="309" spans="1:58" s="101" customFormat="1" ht="6.75" customHeight="1" x14ac:dyDescent="0.2">
      <c r="A309" s="324"/>
      <c r="B309" s="115"/>
      <c r="C309" s="115"/>
      <c r="D309" s="115"/>
      <c r="E309" s="115"/>
      <c r="F309" s="115"/>
      <c r="G309" s="115"/>
      <c r="H309" s="115"/>
      <c r="I309" s="452"/>
      <c r="J309" s="192"/>
      <c r="K309" s="192"/>
      <c r="L309" s="192"/>
      <c r="M309" s="192"/>
      <c r="N309" s="192"/>
      <c r="O309" s="452"/>
      <c r="P309" s="452"/>
      <c r="Q309" s="452"/>
      <c r="R309" s="452"/>
      <c r="S309" s="192"/>
      <c r="T309" s="461"/>
      <c r="U309" s="139"/>
      <c r="V309" s="154"/>
      <c r="W309" s="170"/>
      <c r="X309" s="88"/>
      <c r="Y309" s="88"/>
      <c r="Z309" s="223"/>
      <c r="AA309" s="223"/>
      <c r="AB309" s="224"/>
      <c r="AC309" s="88"/>
      <c r="AD309" s="88"/>
      <c r="AE309" s="88"/>
      <c r="AF309" s="88"/>
      <c r="AG309" s="88"/>
      <c r="AH309" s="88"/>
      <c r="AI309" s="210"/>
      <c r="AJ309" s="178"/>
    </row>
    <row r="310" spans="1:58" s="88" customFormat="1" ht="18.75" customHeight="1" x14ac:dyDescent="0.2">
      <c r="A310" s="249"/>
      <c r="B310" s="442"/>
      <c r="C310" s="442"/>
      <c r="D310" s="452"/>
      <c r="E310" s="452"/>
      <c r="F310" s="452"/>
      <c r="G310" s="452"/>
      <c r="H310" s="452"/>
      <c r="I310" s="452"/>
      <c r="J310" s="192"/>
      <c r="K310" s="192"/>
      <c r="L310" s="192"/>
      <c r="M310" s="192"/>
      <c r="N310" s="192"/>
      <c r="O310" s="452"/>
      <c r="P310" s="452"/>
      <c r="Q310" s="452"/>
      <c r="R310" s="452"/>
      <c r="S310" s="192"/>
      <c r="T310" s="461"/>
      <c r="U310" s="134"/>
      <c r="V310" s="152"/>
      <c r="W310" s="168"/>
      <c r="AC310" s="224"/>
      <c r="AD310" s="226"/>
      <c r="AE310" s="210"/>
      <c r="AF310" s="210"/>
      <c r="AG310" s="210"/>
      <c r="AI310" s="210"/>
      <c r="AJ310" s="179"/>
    </row>
    <row r="311" spans="1:58" s="88" customFormat="1" ht="26.25" customHeight="1" x14ac:dyDescent="0.2">
      <c r="A311" s="249"/>
      <c r="B311" s="442"/>
      <c r="C311" s="442"/>
      <c r="D311" s="442"/>
      <c r="E311" s="442"/>
      <c r="F311" s="442"/>
      <c r="G311" s="442"/>
      <c r="H311" s="442"/>
      <c r="I311" s="442"/>
      <c r="J311" s="192"/>
      <c r="K311" s="192"/>
      <c r="L311" s="192"/>
      <c r="M311" s="192"/>
      <c r="N311" s="192"/>
      <c r="O311" s="442"/>
      <c r="P311" s="442"/>
      <c r="Q311" s="442"/>
      <c r="R311" s="442"/>
      <c r="S311" s="192"/>
      <c r="T311" s="192"/>
      <c r="U311" s="134"/>
      <c r="V311" s="152"/>
      <c r="W311" s="168"/>
      <c r="Y311" s="217"/>
      <c r="AD311" s="226"/>
      <c r="AE311" s="210"/>
      <c r="AF311" s="210"/>
      <c r="AG311" s="210"/>
      <c r="AI311" s="210"/>
      <c r="AJ311" s="179"/>
    </row>
    <row r="312" spans="1:58" s="88" customFormat="1" ht="16.5" customHeight="1" x14ac:dyDescent="0.2">
      <c r="A312" s="249"/>
      <c r="B312" s="442"/>
      <c r="C312" s="442"/>
      <c r="D312" s="442"/>
      <c r="E312" s="442"/>
      <c r="F312" s="442"/>
      <c r="G312" s="442"/>
      <c r="H312" s="442"/>
      <c r="I312" s="442"/>
      <c r="J312" s="442"/>
      <c r="K312" s="442"/>
      <c r="L312" s="442"/>
      <c r="M312" s="442"/>
      <c r="N312" s="442"/>
      <c r="O312" s="442"/>
      <c r="P312" s="442"/>
      <c r="Q312" s="442"/>
      <c r="R312" s="442"/>
      <c r="S312" s="192"/>
      <c r="T312" s="192"/>
      <c r="U312" s="134"/>
      <c r="V312" s="152"/>
      <c r="W312" s="168"/>
      <c r="Y312" s="217"/>
      <c r="AD312" s="226"/>
      <c r="AE312" s="210"/>
      <c r="AF312" s="210"/>
      <c r="AG312" s="210"/>
      <c r="AI312" s="210"/>
      <c r="AJ312" s="179"/>
    </row>
    <row r="313" spans="1:58" s="88" customFormat="1" ht="7.5" customHeight="1" x14ac:dyDescent="0.2">
      <c r="A313" s="135"/>
      <c r="B313" s="18"/>
      <c r="C313" s="18"/>
      <c r="D313" s="17"/>
      <c r="E313" s="17"/>
      <c r="F313" s="17"/>
      <c r="G313" s="17"/>
      <c r="H313" s="17"/>
      <c r="I313" s="17"/>
      <c r="J313" s="13"/>
      <c r="K313" s="19"/>
      <c r="L313" s="19"/>
      <c r="M313" s="19"/>
      <c r="N313" s="19"/>
      <c r="O313" s="19"/>
      <c r="P313" s="19"/>
      <c r="Q313" s="19"/>
      <c r="R313" s="19"/>
      <c r="S313" s="19"/>
      <c r="T313" s="20"/>
      <c r="U313" s="134"/>
      <c r="V313" s="152"/>
      <c r="W313" s="168"/>
      <c r="Y313" s="217"/>
      <c r="AI313" s="210"/>
      <c r="AJ313" s="175"/>
      <c r="AK313" s="80"/>
      <c r="AL313" s="80"/>
      <c r="AM313" s="80"/>
      <c r="AN313" s="80"/>
      <c r="AO313" s="80"/>
      <c r="AP313" s="80"/>
      <c r="AQ313" s="80"/>
    </row>
    <row r="314" spans="1:58" s="88" customFormat="1" ht="15" customHeight="1" x14ac:dyDescent="0.2">
      <c r="A314" s="1010"/>
      <c r="B314" s="1018"/>
      <c r="C314" s="1018"/>
      <c r="D314" s="1018"/>
      <c r="E314" s="1018"/>
      <c r="F314" s="1018"/>
      <c r="G314" s="1018"/>
      <c r="H314" s="1018"/>
      <c r="I314" s="1018"/>
      <c r="J314" s="1018"/>
      <c r="K314" s="1018"/>
      <c r="L314" s="1018"/>
      <c r="M314" s="1018"/>
      <c r="N314" s="1018"/>
      <c r="O314" s="1018"/>
      <c r="P314" s="1018"/>
      <c r="Q314" s="1018"/>
      <c r="R314" s="1018"/>
      <c r="S314" s="1018"/>
      <c r="T314" s="1018"/>
      <c r="U314" s="1019"/>
      <c r="V314" s="152"/>
      <c r="W314" s="168"/>
      <c r="AJ314" s="179"/>
      <c r="AS314" s="80"/>
    </row>
    <row r="315" spans="1:58" s="88" customFormat="1" ht="11.25" customHeight="1" x14ac:dyDescent="0.2">
      <c r="A315" s="1020" t="str">
        <f>Home!$A$35</f>
        <v>LA's provide quarterly data on the condition that it is used by the benchmarking group for internal reporting only. Please DO NOT share other LA's data with any external partners or the public</v>
      </c>
      <c r="B315" s="1021"/>
      <c r="C315" s="1021"/>
      <c r="D315" s="1021"/>
      <c r="E315" s="1021"/>
      <c r="F315" s="1021"/>
      <c r="G315" s="1021"/>
      <c r="H315" s="1021"/>
      <c r="I315" s="1022"/>
      <c r="J315" s="1021"/>
      <c r="K315" s="1021"/>
      <c r="L315" s="1021"/>
      <c r="M315" s="1021"/>
      <c r="N315" s="1021"/>
      <c r="O315" s="1021"/>
      <c r="P315" s="1021"/>
      <c r="Q315" s="1021"/>
      <c r="R315" s="1021"/>
      <c r="S315" s="1022"/>
      <c r="T315" s="1021"/>
      <c r="U315" s="1023"/>
      <c r="V315" s="152"/>
      <c r="W315" s="168"/>
      <c r="AI315" s="210"/>
      <c r="AJ315" s="178"/>
      <c r="AK315" s="101"/>
      <c r="AS315" s="80"/>
    </row>
    <row r="316" spans="1:58" ht="11.25" customHeight="1" x14ac:dyDescent="0.2">
      <c r="A316" s="157"/>
      <c r="B316" s="130"/>
      <c r="C316" s="130"/>
      <c r="D316" s="130"/>
      <c r="E316" s="130"/>
      <c r="F316" s="130"/>
      <c r="G316" s="130"/>
      <c r="H316" s="130"/>
      <c r="I316" s="130"/>
      <c r="J316" s="131"/>
      <c r="K316" s="130"/>
      <c r="L316" s="130"/>
      <c r="M316" s="130"/>
      <c r="N316" s="130"/>
      <c r="O316" s="130"/>
      <c r="P316" s="130"/>
      <c r="Q316" s="130"/>
      <c r="R316" s="130"/>
      <c r="S316" s="130"/>
      <c r="T316" s="130"/>
      <c r="U316" s="130"/>
      <c r="V316" s="152"/>
      <c r="W316" s="168"/>
      <c r="AE316" s="89"/>
      <c r="AH316" s="210"/>
      <c r="AI316" s="210"/>
      <c r="AJ316" s="175"/>
      <c r="AR316" s="88"/>
      <c r="AS316" s="88"/>
      <c r="AT316" s="88"/>
      <c r="AU316" s="88"/>
      <c r="AV316" s="88"/>
      <c r="AW316" s="88"/>
      <c r="AX316" s="88"/>
      <c r="AY316" s="88"/>
      <c r="AZ316" s="88"/>
      <c r="BA316" s="88"/>
      <c r="BB316" s="88"/>
      <c r="BC316" s="88"/>
      <c r="BD316" s="88"/>
      <c r="BE316" s="88"/>
      <c r="BF316" s="88"/>
    </row>
    <row r="317" spans="1:58" ht="11.25" customHeight="1" x14ac:dyDescent="0.2">
      <c r="A317" s="158"/>
      <c r="B317" s="9"/>
      <c r="C317" s="9"/>
      <c r="D317" s="9"/>
      <c r="E317" s="9"/>
      <c r="F317" s="9"/>
      <c r="G317" s="9"/>
      <c r="H317" s="9"/>
      <c r="I317" s="9"/>
      <c r="J317" s="13"/>
      <c r="K317" s="9"/>
      <c r="L317" s="9"/>
      <c r="M317" s="9"/>
      <c r="N317" s="9"/>
      <c r="O317" s="9"/>
      <c r="P317" s="9"/>
      <c r="Q317" s="9"/>
      <c r="R317" s="9"/>
      <c r="S317" s="9"/>
      <c r="T317" s="9"/>
      <c r="U317" s="9"/>
      <c r="V317" s="152"/>
      <c r="W317" s="168"/>
      <c r="AE317" s="89"/>
      <c r="AH317" s="210"/>
      <c r="AI317" s="210"/>
      <c r="AJ317" s="175"/>
      <c r="AL317" s="88"/>
      <c r="AM317" s="88"/>
      <c r="AN317" s="88"/>
      <c r="AO317" s="88"/>
      <c r="AP317" s="88"/>
      <c r="AQ317" s="88"/>
    </row>
    <row r="318" spans="1:58" ht="11.25" customHeight="1" x14ac:dyDescent="0.2">
      <c r="A318" s="158"/>
      <c r="B318" s="1006" t="s">
        <v>82</v>
      </c>
      <c r="C318" s="427"/>
      <c r="D318" s="15"/>
      <c r="E318" s="15"/>
      <c r="F318" s="9"/>
      <c r="G318" s="9"/>
      <c r="H318" s="9"/>
      <c r="I318" s="9"/>
      <c r="J318" s="13"/>
      <c r="K318" s="9"/>
      <c r="L318" s="9"/>
      <c r="M318" s="9"/>
      <c r="N318" s="9"/>
      <c r="O318" s="9"/>
      <c r="P318" s="9"/>
      <c r="Q318" s="9"/>
      <c r="R318" s="9"/>
      <c r="S318" s="9"/>
      <c r="T318" s="9"/>
      <c r="U318" s="9"/>
      <c r="V318" s="152"/>
      <c r="W318" s="168"/>
      <c r="AE318" s="89"/>
      <c r="AH318" s="210"/>
      <c r="AI318" s="210"/>
      <c r="AJ318" s="175"/>
      <c r="AL318" s="88"/>
      <c r="AM318" s="88"/>
      <c r="AN318" s="88"/>
      <c r="AO318" s="88"/>
      <c r="AP318" s="88"/>
      <c r="AQ318" s="88"/>
    </row>
    <row r="319" spans="1:58" ht="11.25" customHeight="1" x14ac:dyDescent="0.2">
      <c r="A319" s="158"/>
      <c r="B319" s="1007"/>
      <c r="C319" s="426"/>
      <c r="D319" s="9"/>
      <c r="E319" s="9"/>
      <c r="F319" s="9"/>
      <c r="G319" s="9"/>
      <c r="H319" s="9"/>
      <c r="I319" s="9"/>
      <c r="J319" s="13"/>
      <c r="K319" s="9"/>
      <c r="L319" s="9"/>
      <c r="M319" s="9"/>
      <c r="N319" s="9"/>
      <c r="O319" s="9"/>
      <c r="P319" s="9"/>
      <c r="Q319" s="9"/>
      <c r="R319" s="9"/>
      <c r="S319" s="9"/>
      <c r="T319" s="9"/>
      <c r="U319" s="9"/>
      <c r="V319" s="152"/>
      <c r="W319" s="168"/>
      <c r="AE319" s="89"/>
      <c r="AH319" s="210"/>
      <c r="AI319" s="210"/>
      <c r="AJ319" s="175"/>
    </row>
    <row r="320" spans="1:58" ht="11.25" customHeight="1" x14ac:dyDescent="0.2">
      <c r="A320" s="158"/>
      <c r="B320" s="973" t="s">
        <v>81</v>
      </c>
      <c r="C320" s="974"/>
      <c r="D320" s="974"/>
      <c r="E320" s="974"/>
      <c r="F320" s="974"/>
      <c r="G320" s="974"/>
      <c r="H320" s="9"/>
      <c r="I320" s="9"/>
      <c r="J320" s="13"/>
      <c r="K320" s="9"/>
      <c r="L320" s="9"/>
      <c r="M320" s="9"/>
      <c r="N320" s="9"/>
      <c r="O320" s="9"/>
      <c r="P320" s="9"/>
      <c r="Q320" s="9"/>
      <c r="R320" s="9"/>
      <c r="S320" s="9"/>
      <c r="T320" s="9"/>
      <c r="U320" s="9"/>
      <c r="V320" s="152"/>
      <c r="W320" s="168"/>
      <c r="AE320" s="89"/>
      <c r="AH320" s="210"/>
      <c r="AI320" s="210"/>
      <c r="AJ320" s="175"/>
    </row>
    <row r="321" spans="1:38" ht="11.25" customHeight="1" x14ac:dyDescent="0.2">
      <c r="A321" s="158"/>
      <c r="B321" s="973"/>
      <c r="C321" s="974"/>
      <c r="D321" s="974"/>
      <c r="E321" s="974"/>
      <c r="F321" s="974"/>
      <c r="G321" s="974"/>
      <c r="H321" s="9"/>
      <c r="I321" s="9"/>
      <c r="J321" s="13"/>
      <c r="K321" s="9"/>
      <c r="L321" s="9"/>
      <c r="M321" s="9"/>
      <c r="N321" s="9"/>
      <c r="O321" s="9"/>
      <c r="P321" s="9"/>
      <c r="Q321" s="9"/>
      <c r="R321" s="9"/>
      <c r="S321" s="9"/>
      <c r="T321" s="9"/>
      <c r="U321" s="9"/>
      <c r="V321" s="152"/>
      <c r="W321" s="168"/>
      <c r="AE321" s="89"/>
      <c r="AH321" s="215"/>
      <c r="AI321" s="215"/>
      <c r="AJ321" s="176"/>
    </row>
    <row r="322" spans="1:38" s="82" customFormat="1" ht="11.25" customHeight="1" x14ac:dyDescent="0.2">
      <c r="A322" s="158"/>
      <c r="B322" s="973" t="s">
        <v>78</v>
      </c>
      <c r="C322" s="975"/>
      <c r="D322" s="975"/>
      <c r="E322" s="975"/>
      <c r="F322" s="975"/>
      <c r="G322" s="975"/>
      <c r="H322" s="15"/>
      <c r="I322" s="15"/>
      <c r="J322" s="15"/>
      <c r="K322" s="15"/>
      <c r="L322" s="15"/>
      <c r="M322" s="15"/>
      <c r="N322" s="15"/>
      <c r="O322" s="15"/>
      <c r="P322" s="15"/>
      <c r="Q322" s="15"/>
      <c r="R322" s="15"/>
      <c r="S322" s="15"/>
      <c r="T322" s="15"/>
      <c r="U322" s="15"/>
      <c r="V322" s="155"/>
      <c r="W322" s="172"/>
      <c r="X322" s="88"/>
      <c r="Y322" s="88"/>
      <c r="Z322" s="88"/>
      <c r="AA322" s="88"/>
      <c r="AB322" s="88"/>
      <c r="AC322" s="88"/>
      <c r="AD322" s="88"/>
      <c r="AE322" s="89"/>
      <c r="AF322" s="88"/>
      <c r="AG322" s="88"/>
      <c r="AH322" s="210"/>
      <c r="AI322" s="210"/>
      <c r="AJ322" s="175"/>
    </row>
    <row r="323" spans="1:38" ht="11.25" customHeight="1" x14ac:dyDescent="0.2">
      <c r="A323" s="158"/>
      <c r="B323" s="973"/>
      <c r="C323" s="975"/>
      <c r="D323" s="975"/>
      <c r="E323" s="975"/>
      <c r="F323" s="975"/>
      <c r="G323" s="975"/>
      <c r="H323" s="9"/>
      <c r="I323" s="9"/>
      <c r="J323" s="13"/>
      <c r="K323" s="9"/>
      <c r="L323" s="9"/>
      <c r="M323" s="9"/>
      <c r="N323" s="9"/>
      <c r="O323" s="9"/>
      <c r="P323" s="9"/>
      <c r="Q323" s="9"/>
      <c r="R323" s="9"/>
      <c r="S323" s="9"/>
      <c r="T323" s="9"/>
      <c r="U323" s="9"/>
      <c r="V323" s="152"/>
      <c r="W323" s="168"/>
      <c r="AE323" s="89"/>
      <c r="AH323" s="210"/>
      <c r="AI323" s="210"/>
      <c r="AJ323" s="175"/>
    </row>
    <row r="324" spans="1:38" ht="11.25" customHeight="1" x14ac:dyDescent="0.2">
      <c r="A324" s="158"/>
      <c r="B324" s="976" t="s">
        <v>18</v>
      </c>
      <c r="C324" s="977"/>
      <c r="D324" s="977"/>
      <c r="E324" s="977"/>
      <c r="F324" s="977"/>
      <c r="G324" s="977"/>
      <c r="H324" s="9"/>
      <c r="I324" s="9"/>
      <c r="J324" s="13"/>
      <c r="K324" s="9"/>
      <c r="L324" s="9"/>
      <c r="M324" s="9"/>
      <c r="N324" s="9"/>
      <c r="O324" s="9"/>
      <c r="P324" s="9"/>
      <c r="Q324" s="9"/>
      <c r="R324" s="9"/>
      <c r="S324" s="9"/>
      <c r="T324" s="9"/>
      <c r="U324" s="9"/>
      <c r="V324" s="152"/>
      <c r="W324" s="168"/>
      <c r="AE324" s="89"/>
      <c r="AH324" s="210"/>
      <c r="AI324" s="210"/>
      <c r="AJ324" s="175"/>
      <c r="AK324" s="82"/>
      <c r="AL324" s="82"/>
    </row>
    <row r="325" spans="1:38" ht="11.25" customHeight="1" x14ac:dyDescent="0.2">
      <c r="A325" s="158"/>
      <c r="B325" s="976"/>
      <c r="C325" s="977"/>
      <c r="D325" s="977"/>
      <c r="E325" s="977"/>
      <c r="F325" s="977"/>
      <c r="G325" s="977"/>
      <c r="H325" s="9"/>
      <c r="I325" s="9"/>
      <c r="J325" s="13"/>
      <c r="K325" s="9"/>
      <c r="L325" s="9"/>
      <c r="M325" s="9"/>
      <c r="N325" s="9"/>
      <c r="O325" s="9"/>
      <c r="P325" s="9"/>
      <c r="Q325" s="9"/>
      <c r="R325" s="9"/>
      <c r="S325" s="9"/>
      <c r="T325" s="9"/>
      <c r="U325" s="9"/>
      <c r="V325" s="152"/>
      <c r="W325" s="168"/>
      <c r="AE325" s="89"/>
      <c r="AH325" s="210"/>
      <c r="AI325" s="210"/>
      <c r="AJ325" s="175"/>
    </row>
    <row r="326" spans="1:38" ht="11.25" customHeight="1" x14ac:dyDescent="0.2">
      <c r="A326" s="158"/>
      <c r="B326" s="976" t="s">
        <v>210</v>
      </c>
      <c r="C326" s="976"/>
      <c r="D326" s="978"/>
      <c r="E326" s="978"/>
      <c r="F326" s="978"/>
      <c r="G326" s="924"/>
      <c r="H326" s="9"/>
      <c r="I326" s="9"/>
      <c r="J326" s="13"/>
      <c r="K326" s="9"/>
      <c r="L326" s="9"/>
      <c r="M326" s="9"/>
      <c r="N326" s="9"/>
      <c r="O326" s="9"/>
      <c r="P326" s="9"/>
      <c r="Q326" s="9"/>
      <c r="R326" s="9"/>
      <c r="S326" s="9"/>
      <c r="T326" s="9"/>
      <c r="U326" s="11"/>
      <c r="V326" s="281"/>
      <c r="W326" s="168"/>
      <c r="Z326" s="80"/>
      <c r="AA326" s="80"/>
      <c r="AE326" s="89"/>
      <c r="AH326" s="210"/>
      <c r="AI326" s="210"/>
      <c r="AJ326" s="175"/>
      <c r="AK326" s="82"/>
      <c r="AL326" s="82"/>
    </row>
    <row r="327" spans="1:38" ht="11.25" customHeight="1" x14ac:dyDescent="0.2">
      <c r="A327" s="158"/>
      <c r="B327" s="976"/>
      <c r="C327" s="976"/>
      <c r="D327" s="978"/>
      <c r="E327" s="978"/>
      <c r="F327" s="978"/>
      <c r="G327" s="924"/>
      <c r="H327" s="9"/>
      <c r="I327" s="9"/>
      <c r="J327" s="13"/>
      <c r="K327" s="9"/>
      <c r="L327" s="9"/>
      <c r="M327" s="9"/>
      <c r="N327" s="9"/>
      <c r="O327" s="9"/>
      <c r="P327" s="9"/>
      <c r="Q327" s="9"/>
      <c r="R327" s="9"/>
      <c r="S327" s="9"/>
      <c r="T327" s="9"/>
      <c r="U327" s="11"/>
      <c r="V327" s="281"/>
      <c r="W327" s="168"/>
      <c r="Z327" s="80"/>
      <c r="AA327" s="80"/>
      <c r="AE327" s="89"/>
      <c r="AH327" s="210"/>
      <c r="AI327" s="210"/>
      <c r="AJ327" s="175"/>
    </row>
    <row r="328" spans="1:38" ht="11.25" customHeight="1" x14ac:dyDescent="0.2">
      <c r="A328" s="158"/>
      <c r="B328" s="976" t="s">
        <v>211</v>
      </c>
      <c r="C328" s="976"/>
      <c r="D328" s="978"/>
      <c r="E328" s="978"/>
      <c r="F328" s="978"/>
      <c r="G328" s="924"/>
      <c r="H328" s="9"/>
      <c r="I328" s="9"/>
      <c r="J328" s="13"/>
      <c r="K328" s="9"/>
      <c r="L328" s="9"/>
      <c r="M328" s="9"/>
      <c r="N328" s="9"/>
      <c r="O328" s="9"/>
      <c r="P328" s="9"/>
      <c r="Q328" s="9"/>
      <c r="R328" s="9"/>
      <c r="S328" s="9"/>
      <c r="T328" s="9"/>
      <c r="U328" s="11"/>
      <c r="V328" s="281"/>
      <c r="W328" s="168"/>
      <c r="Z328" s="80"/>
      <c r="AA328" s="80"/>
      <c r="AE328" s="89"/>
      <c r="AH328" s="210"/>
      <c r="AI328" s="210"/>
      <c r="AJ328" s="175"/>
      <c r="AK328" s="82"/>
      <c r="AL328" s="82"/>
    </row>
    <row r="329" spans="1:38" ht="11.25" customHeight="1" x14ac:dyDescent="0.2">
      <c r="A329" s="158"/>
      <c r="B329" s="976"/>
      <c r="C329" s="976"/>
      <c r="D329" s="978"/>
      <c r="E329" s="978"/>
      <c r="F329" s="978"/>
      <c r="G329" s="924"/>
      <c r="H329" s="9"/>
      <c r="I329" s="9"/>
      <c r="J329" s="13"/>
      <c r="K329" s="9"/>
      <c r="L329" s="9"/>
      <c r="M329" s="9"/>
      <c r="N329" s="9"/>
      <c r="O329" s="9"/>
      <c r="P329" s="9"/>
      <c r="Q329" s="9"/>
      <c r="R329" s="9"/>
      <c r="S329" s="9"/>
      <c r="T329" s="9"/>
      <c r="U329" s="11"/>
      <c r="V329" s="281"/>
      <c r="W329" s="168"/>
      <c r="Z329" s="80"/>
      <c r="AA329" s="80"/>
      <c r="AE329" s="89"/>
      <c r="AH329" s="210"/>
      <c r="AI329" s="210"/>
      <c r="AJ329" s="175"/>
    </row>
    <row r="330" spans="1:38" ht="11.25" customHeight="1" x14ac:dyDescent="0.2">
      <c r="A330" s="158"/>
      <c r="B330" s="976" t="s">
        <v>212</v>
      </c>
      <c r="C330" s="976"/>
      <c r="D330" s="978"/>
      <c r="E330" s="978"/>
      <c r="F330" s="978"/>
      <c r="G330" s="924"/>
      <c r="H330" s="9"/>
      <c r="I330" s="9"/>
      <c r="J330" s="13"/>
      <c r="K330" s="9"/>
      <c r="L330" s="9"/>
      <c r="M330" s="9"/>
      <c r="N330" s="9"/>
      <c r="O330" s="9"/>
      <c r="P330" s="9"/>
      <c r="Q330" s="9"/>
      <c r="R330" s="9"/>
      <c r="S330" s="9"/>
      <c r="T330" s="9"/>
      <c r="U330" s="11"/>
      <c r="V330" s="281"/>
      <c r="W330" s="168"/>
      <c r="Z330" s="80"/>
      <c r="AA330" s="80"/>
      <c r="AE330" s="89"/>
      <c r="AH330" s="210"/>
      <c r="AI330" s="210"/>
      <c r="AJ330" s="175"/>
      <c r="AK330" s="82"/>
      <c r="AL330" s="82"/>
    </row>
    <row r="331" spans="1:38" ht="11.25" customHeight="1" x14ac:dyDescent="0.2">
      <c r="A331" s="158"/>
      <c r="B331" s="976"/>
      <c r="C331" s="976"/>
      <c r="D331" s="978"/>
      <c r="E331" s="978"/>
      <c r="F331" s="978"/>
      <c r="G331" s="924"/>
      <c r="H331" s="9"/>
      <c r="I331" s="9"/>
      <c r="J331" s="13"/>
      <c r="K331" s="9"/>
      <c r="L331" s="9"/>
      <c r="M331" s="9"/>
      <c r="N331" s="9"/>
      <c r="O331" s="9"/>
      <c r="P331" s="9"/>
      <c r="Q331" s="9"/>
      <c r="R331" s="9"/>
      <c r="S331" s="9"/>
      <c r="T331" s="9"/>
      <c r="U331" s="11"/>
      <c r="V331" s="281"/>
      <c r="W331" s="168"/>
      <c r="Z331" s="80"/>
      <c r="AA331" s="80"/>
      <c r="AE331" s="89"/>
      <c r="AH331" s="210"/>
      <c r="AI331" s="210"/>
      <c r="AJ331" s="175"/>
    </row>
    <row r="332" spans="1:38" ht="11.25" customHeight="1" x14ac:dyDescent="0.2">
      <c r="A332" s="158"/>
      <c r="B332" s="973" t="s">
        <v>80</v>
      </c>
      <c r="C332" s="974"/>
      <c r="D332" s="974"/>
      <c r="E332" s="974"/>
      <c r="F332" s="974"/>
      <c r="G332" s="974"/>
      <c r="H332" s="9"/>
      <c r="I332" s="9"/>
      <c r="J332" s="13"/>
      <c r="K332" s="9"/>
      <c r="L332" s="9"/>
      <c r="M332" s="9"/>
      <c r="N332" s="9"/>
      <c r="O332" s="9"/>
      <c r="P332" s="9"/>
      <c r="Q332" s="9"/>
      <c r="R332" s="9"/>
      <c r="S332" s="9"/>
      <c r="T332" s="9"/>
      <c r="U332" s="9"/>
      <c r="V332" s="152"/>
      <c r="W332" s="168"/>
      <c r="AE332" s="89"/>
      <c r="AH332" s="210"/>
      <c r="AI332" s="210"/>
      <c r="AJ332" s="175"/>
      <c r="AK332" s="82"/>
      <c r="AL332" s="82"/>
    </row>
    <row r="333" spans="1:38" ht="11.25" customHeight="1" x14ac:dyDescent="0.2">
      <c r="A333" s="158"/>
      <c r="B333" s="973"/>
      <c r="C333" s="974"/>
      <c r="D333" s="974"/>
      <c r="E333" s="974"/>
      <c r="F333" s="974"/>
      <c r="G333" s="974"/>
      <c r="H333" s="9"/>
      <c r="I333" s="9"/>
      <c r="J333" s="13"/>
      <c r="K333" s="9"/>
      <c r="L333" s="9"/>
      <c r="M333" s="9"/>
      <c r="N333" s="9"/>
      <c r="O333" s="9"/>
      <c r="P333" s="9"/>
      <c r="Q333" s="9"/>
      <c r="R333" s="9"/>
      <c r="S333" s="9"/>
      <c r="T333" s="9"/>
      <c r="U333" s="9"/>
      <c r="V333" s="152"/>
      <c r="W333" s="168"/>
      <c r="AE333" s="89"/>
      <c r="AH333" s="210"/>
      <c r="AI333" s="210"/>
      <c r="AJ333" s="175"/>
    </row>
    <row r="334" spans="1:38" ht="11.25" customHeight="1" x14ac:dyDescent="0.2">
      <c r="A334" s="158"/>
      <c r="B334" s="973" t="s">
        <v>69</v>
      </c>
      <c r="C334" s="974"/>
      <c r="D334" s="974"/>
      <c r="E334" s="974"/>
      <c r="F334" s="974"/>
      <c r="G334" s="974"/>
      <c r="H334" s="9"/>
      <c r="I334" s="9"/>
      <c r="J334" s="13"/>
      <c r="K334" s="9"/>
      <c r="L334" s="9"/>
      <c r="M334" s="9"/>
      <c r="N334" s="9"/>
      <c r="O334" s="9"/>
      <c r="P334" s="9"/>
      <c r="Q334" s="9"/>
      <c r="R334" s="9"/>
      <c r="S334" s="9"/>
      <c r="T334" s="9"/>
      <c r="U334" s="9"/>
      <c r="V334" s="152"/>
      <c r="W334" s="168"/>
      <c r="AE334" s="89"/>
      <c r="AH334" s="210"/>
      <c r="AI334" s="210"/>
      <c r="AJ334" s="175"/>
      <c r="AK334" s="82"/>
      <c r="AL334" s="82"/>
    </row>
    <row r="335" spans="1:38" ht="11.25" customHeight="1" x14ac:dyDescent="0.2">
      <c r="A335" s="158"/>
      <c r="B335" s="973"/>
      <c r="C335" s="974"/>
      <c r="D335" s="974"/>
      <c r="E335" s="974"/>
      <c r="F335" s="974"/>
      <c r="G335" s="974"/>
      <c r="H335" s="9"/>
      <c r="I335" s="9"/>
      <c r="J335" s="13"/>
      <c r="K335" s="9"/>
      <c r="L335" s="9"/>
      <c r="M335" s="9"/>
      <c r="N335" s="9"/>
      <c r="O335" s="9"/>
      <c r="P335" s="9"/>
      <c r="Q335" s="9"/>
      <c r="R335" s="9"/>
      <c r="S335" s="9"/>
      <c r="T335" s="9"/>
      <c r="U335" s="9"/>
      <c r="V335" s="152"/>
      <c r="W335" s="168"/>
      <c r="AE335" s="89"/>
      <c r="AH335" s="210"/>
      <c r="AI335" s="210"/>
      <c r="AJ335" s="175"/>
    </row>
    <row r="336" spans="1:38" ht="11.25" customHeight="1" x14ac:dyDescent="0.2">
      <c r="A336" s="158"/>
      <c r="B336" s="973" t="s">
        <v>25</v>
      </c>
      <c r="C336" s="974"/>
      <c r="D336" s="974"/>
      <c r="E336" s="974"/>
      <c r="F336" s="974"/>
      <c r="G336" s="974"/>
      <c r="H336" s="9"/>
      <c r="I336" s="9"/>
      <c r="J336" s="13"/>
      <c r="K336" s="9"/>
      <c r="L336" s="9"/>
      <c r="M336" s="9"/>
      <c r="N336" s="9"/>
      <c r="O336" s="9"/>
      <c r="P336" s="9"/>
      <c r="Q336" s="9"/>
      <c r="R336" s="9"/>
      <c r="S336" s="9"/>
      <c r="T336" s="9"/>
      <c r="U336" s="9"/>
      <c r="V336" s="152"/>
      <c r="W336" s="168"/>
      <c r="AE336" s="89"/>
      <c r="AH336" s="210"/>
      <c r="AI336" s="210"/>
      <c r="AJ336" s="175"/>
      <c r="AK336" s="82"/>
      <c r="AL336" s="82"/>
    </row>
    <row r="337" spans="1:36" ht="11.25" customHeight="1" x14ac:dyDescent="0.2">
      <c r="A337" s="158"/>
      <c r="B337" s="973"/>
      <c r="C337" s="974"/>
      <c r="D337" s="974"/>
      <c r="E337" s="974"/>
      <c r="F337" s="974"/>
      <c r="G337" s="974"/>
      <c r="H337" s="9"/>
      <c r="I337" s="9"/>
      <c r="J337" s="13"/>
      <c r="K337" s="9"/>
      <c r="L337" s="9"/>
      <c r="M337" s="9"/>
      <c r="N337" s="9"/>
      <c r="O337" s="9"/>
      <c r="P337" s="9"/>
      <c r="Q337" s="9"/>
      <c r="R337" s="9"/>
      <c r="S337" s="9"/>
      <c r="T337" s="9"/>
      <c r="U337" s="9"/>
      <c r="V337" s="152"/>
      <c r="W337" s="168"/>
      <c r="AE337" s="89"/>
      <c r="AH337" s="210"/>
      <c r="AI337" s="210"/>
      <c r="AJ337" s="175"/>
    </row>
    <row r="338" spans="1:36" ht="11.25" customHeight="1" x14ac:dyDescent="0.2">
      <c r="A338" s="158"/>
      <c r="B338" s="973" t="s">
        <v>23</v>
      </c>
      <c r="C338" s="974"/>
      <c r="D338" s="974"/>
      <c r="E338" s="974"/>
      <c r="F338" s="974"/>
      <c r="G338" s="974"/>
      <c r="H338" s="9"/>
      <c r="I338" s="9"/>
      <c r="J338" s="13"/>
      <c r="K338" s="9"/>
      <c r="L338" s="9"/>
      <c r="M338" s="9"/>
      <c r="N338" s="9"/>
      <c r="O338" s="9"/>
      <c r="P338" s="9"/>
      <c r="Q338" s="9"/>
      <c r="R338" s="9"/>
      <c r="S338" s="9"/>
      <c r="T338" s="9"/>
      <c r="U338" s="9"/>
      <c r="V338" s="152"/>
      <c r="W338" s="168"/>
      <c r="AE338" s="89"/>
      <c r="AH338" s="210"/>
      <c r="AI338" s="210"/>
      <c r="AJ338" s="175"/>
    </row>
    <row r="339" spans="1:36" ht="11.25" customHeight="1" x14ac:dyDescent="0.2">
      <c r="A339" s="158"/>
      <c r="B339" s="973"/>
      <c r="C339" s="974"/>
      <c r="D339" s="974"/>
      <c r="E339" s="974"/>
      <c r="F339" s="974"/>
      <c r="G339" s="974"/>
      <c r="H339" s="9"/>
      <c r="I339" s="9"/>
      <c r="J339" s="13"/>
      <c r="K339" s="9"/>
      <c r="L339" s="9"/>
      <c r="M339" s="9"/>
      <c r="N339" s="9"/>
      <c r="O339" s="9"/>
      <c r="P339" s="9"/>
      <c r="Q339" s="9"/>
      <c r="R339" s="9"/>
      <c r="S339" s="9"/>
      <c r="T339" s="9"/>
      <c r="U339" s="9"/>
      <c r="V339" s="152"/>
      <c r="W339" s="168"/>
      <c r="AE339" s="89"/>
      <c r="AH339" s="210"/>
      <c r="AI339" s="210"/>
      <c r="AJ339" s="175"/>
    </row>
    <row r="340" spans="1:36" ht="11.25" customHeight="1" x14ac:dyDescent="0.2">
      <c r="A340" s="158"/>
      <c r="B340" s="973" t="s">
        <v>26</v>
      </c>
      <c r="C340" s="974"/>
      <c r="D340" s="974"/>
      <c r="E340" s="974"/>
      <c r="F340" s="974"/>
      <c r="G340" s="974"/>
      <c r="H340" s="9"/>
      <c r="I340" s="9"/>
      <c r="J340" s="13"/>
      <c r="K340" s="9"/>
      <c r="L340" s="9"/>
      <c r="M340" s="9"/>
      <c r="N340" s="9"/>
      <c r="O340" s="9"/>
      <c r="P340" s="9"/>
      <c r="Q340" s="9"/>
      <c r="R340" s="9"/>
      <c r="S340" s="9"/>
      <c r="T340" s="9"/>
      <c r="U340" s="9"/>
      <c r="V340" s="152"/>
      <c r="W340" s="168"/>
      <c r="AE340" s="89"/>
      <c r="AH340" s="210"/>
      <c r="AI340" s="210"/>
      <c r="AJ340" s="175"/>
    </row>
    <row r="341" spans="1:36" ht="11.25" customHeight="1" x14ac:dyDescent="0.2">
      <c r="A341" s="158"/>
      <c r="B341" s="973"/>
      <c r="C341" s="974"/>
      <c r="D341" s="974"/>
      <c r="E341" s="974"/>
      <c r="F341" s="974"/>
      <c r="G341" s="974"/>
      <c r="H341" s="9"/>
      <c r="I341" s="9"/>
      <c r="J341" s="13"/>
      <c r="K341" s="9"/>
      <c r="L341" s="9"/>
      <c r="M341" s="9"/>
      <c r="N341" s="9"/>
      <c r="O341" s="9"/>
      <c r="P341" s="9"/>
      <c r="Q341" s="9"/>
      <c r="R341" s="9"/>
      <c r="S341" s="9"/>
      <c r="T341" s="9"/>
      <c r="U341" s="9"/>
      <c r="V341" s="152"/>
      <c r="W341" s="168"/>
      <c r="AE341" s="89"/>
      <c r="AH341" s="210"/>
      <c r="AI341" s="210"/>
      <c r="AJ341" s="175"/>
    </row>
    <row r="342" spans="1:36" ht="11.25" customHeight="1" x14ac:dyDescent="0.2">
      <c r="A342" s="158"/>
      <c r="B342" s="973" t="s">
        <v>19</v>
      </c>
      <c r="C342" s="974"/>
      <c r="D342" s="974"/>
      <c r="E342" s="974"/>
      <c r="F342" s="974"/>
      <c r="G342" s="974"/>
      <c r="H342" s="9"/>
      <c r="I342" s="9"/>
      <c r="J342" s="13"/>
      <c r="K342" s="9"/>
      <c r="L342" s="9"/>
      <c r="M342" s="9"/>
      <c r="N342" s="9"/>
      <c r="O342" s="9"/>
      <c r="P342" s="9"/>
      <c r="Q342" s="9"/>
      <c r="R342" s="9"/>
      <c r="S342" s="9"/>
      <c r="T342" s="9"/>
      <c r="U342" s="9"/>
      <c r="V342" s="152"/>
      <c r="W342" s="168"/>
      <c r="AE342" s="89"/>
      <c r="AH342" s="210"/>
      <c r="AI342" s="210"/>
      <c r="AJ342" s="175"/>
    </row>
    <row r="343" spans="1:36" ht="11.25" customHeight="1" x14ac:dyDescent="0.2">
      <c r="A343" s="158"/>
      <c r="B343" s="973"/>
      <c r="C343" s="974"/>
      <c r="D343" s="974"/>
      <c r="E343" s="974"/>
      <c r="F343" s="974"/>
      <c r="G343" s="974"/>
      <c r="H343" s="9"/>
      <c r="I343" s="9"/>
      <c r="J343" s="13"/>
      <c r="K343" s="9"/>
      <c r="L343" s="9"/>
      <c r="M343" s="9"/>
      <c r="N343" s="9"/>
      <c r="O343" s="9"/>
      <c r="P343" s="9"/>
      <c r="Q343" s="9"/>
      <c r="R343" s="9"/>
      <c r="S343" s="9"/>
      <c r="T343" s="9"/>
      <c r="U343" s="9"/>
      <c r="V343" s="152"/>
      <c r="W343" s="168"/>
      <c r="AE343" s="89"/>
      <c r="AH343" s="210"/>
      <c r="AI343" s="210"/>
      <c r="AJ343" s="175"/>
    </row>
    <row r="344" spans="1:36" ht="11.25" customHeight="1" x14ac:dyDescent="0.2">
      <c r="A344" s="158"/>
      <c r="B344" s="973" t="s">
        <v>20</v>
      </c>
      <c r="C344" s="930"/>
      <c r="D344" s="930"/>
      <c r="E344" s="930"/>
      <c r="F344" s="930"/>
      <c r="G344" s="930"/>
      <c r="H344" s="930"/>
      <c r="I344" s="9"/>
      <c r="J344" s="13"/>
      <c r="K344" s="9"/>
      <c r="L344" s="9"/>
      <c r="M344" s="9"/>
      <c r="N344" s="9"/>
      <c r="O344" s="9"/>
      <c r="P344" s="9"/>
      <c r="Q344" s="9"/>
      <c r="R344" s="9"/>
      <c r="S344" s="9"/>
      <c r="T344" s="9"/>
      <c r="U344" s="9"/>
      <c r="V344" s="152"/>
      <c r="W344" s="168"/>
      <c r="AE344" s="89"/>
      <c r="AH344" s="210"/>
      <c r="AI344" s="210"/>
      <c r="AJ344" s="175"/>
    </row>
    <row r="345" spans="1:36" ht="11.25" customHeight="1" x14ac:dyDescent="0.2">
      <c r="A345" s="158"/>
      <c r="B345" s="930"/>
      <c r="C345" s="930"/>
      <c r="D345" s="930"/>
      <c r="E345" s="930"/>
      <c r="F345" s="930"/>
      <c r="G345" s="930"/>
      <c r="H345" s="930"/>
      <c r="I345" s="9"/>
      <c r="J345" s="13"/>
      <c r="K345" s="9"/>
      <c r="L345" s="9"/>
      <c r="M345" s="9"/>
      <c r="N345" s="9"/>
      <c r="O345" s="9"/>
      <c r="P345" s="9"/>
      <c r="Q345" s="9"/>
      <c r="R345" s="9"/>
      <c r="S345" s="9"/>
      <c r="T345" s="9"/>
      <c r="U345" s="9"/>
      <c r="V345" s="152"/>
      <c r="W345" s="168"/>
      <c r="AE345" s="89"/>
      <c r="AH345" s="210"/>
      <c r="AI345" s="210"/>
      <c r="AJ345" s="175"/>
    </row>
    <row r="346" spans="1:36" ht="11.25" customHeight="1" x14ac:dyDescent="0.2">
      <c r="A346" s="158"/>
      <c r="B346" s="973" t="s">
        <v>21</v>
      </c>
      <c r="C346" s="974"/>
      <c r="D346" s="974"/>
      <c r="E346" s="974"/>
      <c r="F346" s="974"/>
      <c r="G346" s="974"/>
      <c r="H346" s="9"/>
      <c r="I346" s="9"/>
      <c r="J346" s="13"/>
      <c r="K346" s="9"/>
      <c r="L346" s="9"/>
      <c r="M346" s="9"/>
      <c r="N346" s="9"/>
      <c r="O346" s="9"/>
      <c r="P346" s="9"/>
      <c r="Q346" s="9"/>
      <c r="R346" s="9"/>
      <c r="S346" s="9"/>
      <c r="T346" s="9"/>
      <c r="U346" s="9"/>
      <c r="V346" s="152"/>
      <c r="W346" s="168"/>
      <c r="AE346" s="89"/>
      <c r="AH346" s="210"/>
      <c r="AI346" s="210"/>
      <c r="AJ346" s="175"/>
    </row>
    <row r="347" spans="1:36" ht="11.25" customHeight="1" x14ac:dyDescent="0.2">
      <c r="A347" s="158"/>
      <c r="B347" s="973"/>
      <c r="C347" s="974"/>
      <c r="D347" s="974"/>
      <c r="E347" s="974"/>
      <c r="F347" s="974"/>
      <c r="G347" s="974"/>
      <c r="H347" s="9"/>
      <c r="I347" s="9"/>
      <c r="J347" s="13"/>
      <c r="K347" s="9"/>
      <c r="L347" s="9"/>
      <c r="M347" s="9"/>
      <c r="N347" s="9"/>
      <c r="O347" s="9"/>
      <c r="P347" s="9"/>
      <c r="Q347" s="9"/>
      <c r="R347" s="9"/>
      <c r="S347" s="9"/>
      <c r="T347" s="9"/>
      <c r="U347" s="9"/>
      <c r="V347" s="152"/>
      <c r="W347" s="168"/>
      <c r="AE347" s="89"/>
      <c r="AH347" s="210"/>
      <c r="AI347" s="210"/>
      <c r="AJ347" s="175"/>
    </row>
    <row r="348" spans="1:36" ht="11.25" customHeight="1" x14ac:dyDescent="0.2">
      <c r="A348" s="158"/>
      <c r="B348" s="973" t="s">
        <v>27</v>
      </c>
      <c r="C348" s="974"/>
      <c r="D348" s="974"/>
      <c r="E348" s="974"/>
      <c r="F348" s="974"/>
      <c r="G348" s="974"/>
      <c r="H348" s="9"/>
      <c r="I348" s="9"/>
      <c r="J348" s="13"/>
      <c r="K348" s="9"/>
      <c r="L348" s="9"/>
      <c r="M348" s="9"/>
      <c r="N348" s="9"/>
      <c r="O348" s="9"/>
      <c r="P348" s="9"/>
      <c r="Q348" s="9"/>
      <c r="R348" s="9"/>
      <c r="S348" s="9"/>
      <c r="T348" s="9"/>
      <c r="U348" s="9"/>
      <c r="V348" s="152"/>
      <c r="W348" s="168"/>
      <c r="AE348" s="89"/>
      <c r="AH348" s="210"/>
      <c r="AI348" s="210"/>
      <c r="AJ348" s="175"/>
    </row>
    <row r="349" spans="1:36" ht="11.25" customHeight="1" x14ac:dyDescent="0.2">
      <c r="A349" s="158"/>
      <c r="B349" s="973"/>
      <c r="C349" s="974"/>
      <c r="D349" s="974"/>
      <c r="E349" s="974"/>
      <c r="F349" s="974"/>
      <c r="G349" s="974"/>
      <c r="H349" s="9"/>
      <c r="I349" s="9"/>
      <c r="J349" s="13"/>
      <c r="K349" s="9"/>
      <c r="L349" s="9"/>
      <c r="M349" s="9"/>
      <c r="N349" s="9"/>
      <c r="O349" s="9"/>
      <c r="P349" s="9"/>
      <c r="Q349" s="9"/>
      <c r="R349" s="9"/>
      <c r="S349" s="9"/>
      <c r="T349" s="9"/>
      <c r="U349" s="9"/>
      <c r="V349" s="152"/>
      <c r="W349" s="168"/>
      <c r="AE349" s="89"/>
      <c r="AH349" s="210"/>
      <c r="AI349" s="210"/>
      <c r="AJ349" s="175"/>
    </row>
    <row r="350" spans="1:36" ht="11.25" customHeight="1" x14ac:dyDescent="0.2">
      <c r="A350" s="158"/>
      <c r="B350" s="973" t="s">
        <v>22</v>
      </c>
      <c r="C350" s="974"/>
      <c r="D350" s="974"/>
      <c r="E350" s="974"/>
      <c r="F350" s="974"/>
      <c r="G350" s="974"/>
      <c r="H350" s="9"/>
      <c r="I350" s="9"/>
      <c r="J350" s="13"/>
      <c r="K350" s="9"/>
      <c r="L350" s="9"/>
      <c r="M350" s="9"/>
      <c r="N350" s="9"/>
      <c r="O350" s="9"/>
      <c r="P350" s="9"/>
      <c r="Q350" s="9"/>
      <c r="R350" s="9"/>
      <c r="S350" s="9"/>
      <c r="T350" s="9"/>
      <c r="U350" s="9"/>
      <c r="V350" s="152"/>
      <c r="W350" s="168"/>
      <c r="AE350" s="89"/>
      <c r="AH350" s="210"/>
      <c r="AI350" s="210"/>
      <c r="AJ350" s="175"/>
    </row>
    <row r="351" spans="1:36" ht="11.25" customHeight="1" x14ac:dyDescent="0.2">
      <c r="A351" s="158"/>
      <c r="B351" s="973"/>
      <c r="C351" s="974"/>
      <c r="D351" s="974"/>
      <c r="E351" s="974"/>
      <c r="F351" s="974"/>
      <c r="G351" s="974"/>
      <c r="H351" s="9"/>
      <c r="I351" s="9"/>
      <c r="J351" s="13"/>
      <c r="K351" s="9"/>
      <c r="L351" s="9"/>
      <c r="M351" s="9"/>
      <c r="N351" s="9"/>
      <c r="O351" s="9"/>
      <c r="P351" s="9"/>
      <c r="Q351" s="9"/>
      <c r="R351" s="9"/>
      <c r="S351" s="9"/>
      <c r="T351" s="9"/>
      <c r="U351" s="9"/>
      <c r="V351" s="152"/>
      <c r="W351" s="168"/>
      <c r="AE351" s="89"/>
      <c r="AH351" s="210"/>
      <c r="AI351" s="210"/>
      <c r="AJ351" s="175"/>
    </row>
    <row r="352" spans="1:36" ht="11.25" customHeight="1" x14ac:dyDescent="0.2">
      <c r="A352" s="158"/>
      <c r="B352" s="973" t="s">
        <v>874</v>
      </c>
      <c r="C352" s="975"/>
      <c r="D352" s="975"/>
      <c r="E352" s="975"/>
      <c r="F352" s="975"/>
      <c r="G352" s="975"/>
      <c r="H352" s="9"/>
      <c r="I352" s="9"/>
      <c r="J352" s="13"/>
      <c r="K352" s="9"/>
      <c r="L352" s="9"/>
      <c r="M352" s="9"/>
      <c r="N352" s="9"/>
      <c r="O352" s="9"/>
      <c r="P352" s="9"/>
      <c r="Q352" s="9"/>
      <c r="R352" s="9"/>
      <c r="S352" s="9"/>
      <c r="T352" s="9"/>
      <c r="U352" s="9"/>
      <c r="V352" s="152"/>
      <c r="W352" s="168"/>
      <c r="AE352" s="89"/>
      <c r="AH352" s="210"/>
      <c r="AI352" s="210"/>
      <c r="AJ352" s="175"/>
    </row>
    <row r="353" spans="1:45" ht="11.25" customHeight="1" x14ac:dyDescent="0.2">
      <c r="A353" s="158"/>
      <c r="B353" s="973"/>
      <c r="C353" s="975"/>
      <c r="D353" s="975"/>
      <c r="E353" s="975"/>
      <c r="F353" s="975"/>
      <c r="G353" s="975"/>
      <c r="H353" s="9"/>
      <c r="I353" s="9"/>
      <c r="J353" s="13"/>
      <c r="K353" s="9"/>
      <c r="L353" s="9"/>
      <c r="M353" s="9"/>
      <c r="N353" s="9"/>
      <c r="O353" s="9"/>
      <c r="P353" s="9"/>
      <c r="Q353" s="9"/>
      <c r="R353" s="9"/>
      <c r="S353" s="9"/>
      <c r="T353" s="9"/>
      <c r="U353" s="9"/>
      <c r="V353" s="152"/>
      <c r="W353" s="168"/>
      <c r="AE353" s="89"/>
      <c r="AH353" s="210"/>
      <c r="AI353" s="210"/>
      <c r="AJ353" s="175"/>
    </row>
    <row r="354" spans="1:45" ht="11.25" customHeight="1" x14ac:dyDescent="0.2">
      <c r="A354" s="158"/>
      <c r="B354" s="973"/>
      <c r="C354" s="973"/>
      <c r="D354" s="973"/>
      <c r="E354" s="973"/>
      <c r="F354" s="975"/>
      <c r="G354" s="975"/>
      <c r="H354" s="975"/>
      <c r="I354" s="9"/>
      <c r="J354" s="13"/>
      <c r="K354" s="9"/>
      <c r="L354" s="9"/>
      <c r="M354" s="9"/>
      <c r="N354" s="9"/>
      <c r="O354" s="9"/>
      <c r="P354" s="9"/>
      <c r="Q354" s="9"/>
      <c r="R354" s="9"/>
      <c r="S354" s="9"/>
      <c r="T354" s="9"/>
      <c r="U354" s="9"/>
      <c r="V354" s="152"/>
      <c r="W354" s="168"/>
      <c r="AE354" s="89"/>
      <c r="AH354" s="210"/>
      <c r="AI354" s="210"/>
      <c r="AJ354" s="175"/>
    </row>
    <row r="355" spans="1:45" ht="11.25" customHeight="1" x14ac:dyDescent="0.2">
      <c r="A355" s="158"/>
      <c r="B355" s="973"/>
      <c r="C355" s="973"/>
      <c r="D355" s="973"/>
      <c r="E355" s="973"/>
      <c r="F355" s="975"/>
      <c r="G355" s="975"/>
      <c r="H355" s="975"/>
      <c r="I355" s="9"/>
      <c r="J355" s="13"/>
      <c r="K355" s="9"/>
      <c r="L355" s="9"/>
      <c r="M355" s="9"/>
      <c r="N355" s="9"/>
      <c r="O355" s="9"/>
      <c r="P355" s="9"/>
      <c r="Q355" s="9"/>
      <c r="R355" s="9"/>
      <c r="S355" s="9"/>
      <c r="T355" s="9"/>
      <c r="U355" s="9"/>
      <c r="V355" s="152"/>
      <c r="W355" s="168"/>
      <c r="AE355" s="89"/>
      <c r="AH355" s="210"/>
      <c r="AI355" s="210"/>
      <c r="AJ355" s="175"/>
    </row>
    <row r="356" spans="1:45" ht="18.75" customHeight="1" x14ac:dyDescent="0.2">
      <c r="A356" s="159"/>
      <c r="B356" s="160"/>
      <c r="C356" s="160"/>
      <c r="D356" s="160"/>
      <c r="E356" s="160"/>
      <c r="F356" s="160"/>
      <c r="G356" s="160"/>
      <c r="H356" s="160"/>
      <c r="I356" s="160"/>
      <c r="J356" s="161"/>
      <c r="K356" s="160"/>
      <c r="L356" s="160"/>
      <c r="M356" s="160"/>
      <c r="N356" s="160"/>
      <c r="O356" s="160"/>
      <c r="P356" s="160"/>
      <c r="Q356" s="160"/>
      <c r="R356" s="160"/>
      <c r="S356" s="160"/>
      <c r="T356" s="160"/>
      <c r="U356" s="160"/>
      <c r="V356" s="156"/>
      <c r="W356" s="180"/>
      <c r="X356" s="227"/>
      <c r="Y356" s="227"/>
      <c r="Z356" s="227"/>
      <c r="AA356" s="227"/>
      <c r="AB356" s="227"/>
      <c r="AC356" s="227"/>
      <c r="AD356" s="227"/>
      <c r="AE356" s="227"/>
      <c r="AF356" s="227"/>
      <c r="AG356" s="227"/>
      <c r="AH356" s="227"/>
      <c r="AI356" s="644"/>
      <c r="AJ356" s="483"/>
    </row>
    <row r="357" spans="1:45" s="87" customFormat="1" ht="11.25" customHeight="1" x14ac:dyDescent="0.2">
      <c r="A357" s="80"/>
      <c r="B357" s="80"/>
      <c r="C357" s="80"/>
      <c r="D357" s="80"/>
      <c r="E357" s="80"/>
      <c r="F357" s="80"/>
      <c r="G357" s="80"/>
      <c r="H357" s="80"/>
      <c r="I357" s="80"/>
      <c r="J357" s="106"/>
      <c r="K357" s="80"/>
      <c r="L357" s="80"/>
      <c r="M357" s="80"/>
      <c r="N357" s="80"/>
      <c r="O357" s="80"/>
      <c r="P357" s="80"/>
      <c r="Q357" s="80"/>
      <c r="R357" s="80"/>
      <c r="S357" s="80"/>
      <c r="T357" s="80"/>
      <c r="U357" s="80"/>
      <c r="V357" s="181"/>
      <c r="X357" s="88"/>
      <c r="Y357" s="88"/>
      <c r="Z357" s="88"/>
      <c r="AA357" s="88"/>
      <c r="AB357" s="88"/>
      <c r="AC357" s="88"/>
      <c r="AD357" s="88"/>
      <c r="AE357" s="88"/>
      <c r="AF357" s="88"/>
      <c r="AG357" s="88"/>
      <c r="AH357" s="88"/>
      <c r="AI357" s="80"/>
      <c r="AJ357" s="207"/>
      <c r="AK357" s="80"/>
      <c r="AL357" s="80"/>
      <c r="AM357" s="80"/>
      <c r="AN357" s="80"/>
      <c r="AO357" s="80"/>
      <c r="AP357" s="80"/>
      <c r="AQ357" s="80"/>
      <c r="AR357" s="80"/>
      <c r="AS357" s="80"/>
    </row>
    <row r="483" spans="37:37" ht="11.25" customHeight="1" x14ac:dyDescent="0.2">
      <c r="AK483" s="80" t="b">
        <v>1</v>
      </c>
    </row>
  </sheetData>
  <mergeCells count="88">
    <mergeCell ref="A314:U314"/>
    <mergeCell ref="A315:U315"/>
    <mergeCell ref="B282:O282"/>
    <mergeCell ref="D283:T283"/>
    <mergeCell ref="B283:B284"/>
    <mergeCell ref="B326:F327"/>
    <mergeCell ref="B328:F329"/>
    <mergeCell ref="B330:F331"/>
    <mergeCell ref="B320:G321"/>
    <mergeCell ref="B322:G323"/>
    <mergeCell ref="B324:G325"/>
    <mergeCell ref="B332:G333"/>
    <mergeCell ref="B334:G335"/>
    <mergeCell ref="B336:G337"/>
    <mergeCell ref="B338:G339"/>
    <mergeCell ref="B350:G351"/>
    <mergeCell ref="B340:G341"/>
    <mergeCell ref="B342:G343"/>
    <mergeCell ref="B344:H345"/>
    <mergeCell ref="B346:G347"/>
    <mergeCell ref="B348:G349"/>
    <mergeCell ref="B352:G353"/>
    <mergeCell ref="B354:H355"/>
    <mergeCell ref="A209:U209"/>
    <mergeCell ref="A210:U210"/>
    <mergeCell ref="B318:B319"/>
    <mergeCell ref="A279:U279"/>
    <mergeCell ref="A280:U280"/>
    <mergeCell ref="D248:H248"/>
    <mergeCell ref="B247:O247"/>
    <mergeCell ref="J250:K250"/>
    <mergeCell ref="J259:K259"/>
    <mergeCell ref="J260:K260"/>
    <mergeCell ref="J252:K252"/>
    <mergeCell ref="J253:K253"/>
    <mergeCell ref="J254:K254"/>
    <mergeCell ref="J255:K255"/>
    <mergeCell ref="AA39:AA40"/>
    <mergeCell ref="AB39:AB40"/>
    <mergeCell ref="B177:I178"/>
    <mergeCell ref="A69:U69"/>
    <mergeCell ref="A70:U70"/>
    <mergeCell ref="A104:U104"/>
    <mergeCell ref="A105:U105"/>
    <mergeCell ref="B107:I108"/>
    <mergeCell ref="A139:U139"/>
    <mergeCell ref="A140:U140"/>
    <mergeCell ref="B142:I143"/>
    <mergeCell ref="A174:U174"/>
    <mergeCell ref="A175:U175"/>
    <mergeCell ref="M63:O63"/>
    <mergeCell ref="Q63:T63"/>
    <mergeCell ref="B5:T6"/>
    <mergeCell ref="D7:H7"/>
    <mergeCell ref="I7:I8"/>
    <mergeCell ref="K7:O7"/>
    <mergeCell ref="P7:P8"/>
    <mergeCell ref="R7:T7"/>
    <mergeCell ref="B7:B8"/>
    <mergeCell ref="B34:T34"/>
    <mergeCell ref="A36:U36"/>
    <mergeCell ref="A37:U37"/>
    <mergeCell ref="J257:K257"/>
    <mergeCell ref="J258:K258"/>
    <mergeCell ref="B212:I213"/>
    <mergeCell ref="A244:U244"/>
    <mergeCell ref="A245:U245"/>
    <mergeCell ref="S64:T64"/>
    <mergeCell ref="Q64:R64"/>
    <mergeCell ref="M64:P64"/>
    <mergeCell ref="B248:B249"/>
    <mergeCell ref="J251:K251"/>
    <mergeCell ref="J271:K271"/>
    <mergeCell ref="J272:K272"/>
    <mergeCell ref="J273:K273"/>
    <mergeCell ref="J249:K249"/>
    <mergeCell ref="I248:N248"/>
    <mergeCell ref="J266:K266"/>
    <mergeCell ref="J267:K267"/>
    <mergeCell ref="J268:K268"/>
    <mergeCell ref="J269:K269"/>
    <mergeCell ref="J270:K270"/>
    <mergeCell ref="J261:K261"/>
    <mergeCell ref="J262:K262"/>
    <mergeCell ref="J263:K263"/>
    <mergeCell ref="J264:K264"/>
    <mergeCell ref="J265:K265"/>
    <mergeCell ref="J256:K256"/>
  </mergeCells>
  <conditionalFormatting sqref="X69:AB69 Z8:AD8">
    <cfRule type="cellIs" dxfId="68" priority="77" stopIfTrue="1" operator="equal">
      <formula>0</formula>
    </cfRule>
  </conditionalFormatting>
  <conditionalFormatting sqref="B9:B30 K9:P30 B50:C65 B145:B166 L250:N271 B250:B271 D250:J271 D9:I30 D145:H166">
    <cfRule type="containsErrors" dxfId="67" priority="79">
      <formula>ISERROR(B9)</formula>
    </cfRule>
  </conditionalFormatting>
  <conditionalFormatting sqref="B110:B131 B215:B236 D215:H236">
    <cfRule type="expression" dxfId="66" priority="71">
      <formula>$B110=$Y$4</formula>
    </cfRule>
    <cfRule type="containsErrors" dxfId="65" priority="72">
      <formula>ISERROR(B110)</formula>
    </cfRule>
  </conditionalFormatting>
  <conditionalFormatting sqref="B180:B201">
    <cfRule type="expression" dxfId="64" priority="68">
      <formula>$B180=$Y$4</formula>
    </cfRule>
    <cfRule type="containsErrors" dxfId="63" priority="69">
      <formula>ISERROR(B180)</formula>
    </cfRule>
  </conditionalFormatting>
  <conditionalFormatting sqref="D110:H131">
    <cfRule type="expression" dxfId="62" priority="66">
      <formula>$B110=$Y$4</formula>
    </cfRule>
    <cfRule type="containsErrors" dxfId="61" priority="67">
      <formula>ISERROR(D110)</formula>
    </cfRule>
  </conditionalFormatting>
  <conditionalFormatting sqref="D180:H201">
    <cfRule type="expression" dxfId="60" priority="64">
      <formula>$B180=$Y$4</formula>
    </cfRule>
    <cfRule type="containsErrors" dxfId="59" priority="65">
      <formula>ISERROR(D180)</formula>
    </cfRule>
  </conditionalFormatting>
  <conditionalFormatting sqref="B9:B30 K9:P30 B50:C65 B145:B166 R9:T30 D9:I30 D145:H166 B250:B271 D250:N271 B285:B306 D285:H306">
    <cfRule type="expression" dxfId="58" priority="78">
      <formula>$B9=$Y$4</formula>
    </cfRule>
  </conditionalFormatting>
  <conditionalFormatting sqref="B285:B306 D285:H306">
    <cfRule type="containsErrors" dxfId="57" priority="54">
      <formula>ISERROR(B285)</formula>
    </cfRule>
  </conditionalFormatting>
  <conditionalFormatting sqref="R8:T30">
    <cfRule type="containsErrors" dxfId="56" priority="40">
      <formula>ISERROR(R8)</formula>
    </cfRule>
  </conditionalFormatting>
  <conditionalFormatting sqref="A9:A30">
    <cfRule type="cellIs" dxfId="55" priority="38" operator="equal">
      <formula>0</formula>
    </cfRule>
  </conditionalFormatting>
  <conditionalFormatting sqref="A110:A131">
    <cfRule type="cellIs" dxfId="54" priority="37" operator="equal">
      <formula>0</formula>
    </cfRule>
  </conditionalFormatting>
  <conditionalFormatting sqref="A145:A166">
    <cfRule type="cellIs" dxfId="53" priority="36" operator="equal">
      <formula>0</formula>
    </cfRule>
  </conditionalFormatting>
  <conditionalFormatting sqref="A180:A201">
    <cfRule type="cellIs" dxfId="52" priority="35" operator="equal">
      <formula>0</formula>
    </cfRule>
  </conditionalFormatting>
  <conditionalFormatting sqref="A215:A236">
    <cfRule type="cellIs" dxfId="51" priority="33" operator="equal">
      <formula>0</formula>
    </cfRule>
  </conditionalFormatting>
  <conditionalFormatting sqref="A250:A271">
    <cfRule type="cellIs" dxfId="50" priority="32" operator="equal">
      <formula>0</formula>
    </cfRule>
  </conditionalFormatting>
  <conditionalFormatting sqref="A285:A306">
    <cfRule type="cellIs" dxfId="49" priority="31" operator="equal">
      <formula>0</formula>
    </cfRule>
  </conditionalFormatting>
  <conditionalFormatting sqref="A1:A36 A38:A69 A71:A104 A106:A139 A141:A174 A176:A209 A211:A244 A246:A279 A281:A314 A316:A1048576">
    <cfRule type="containsErrors" dxfId="48" priority="30">
      <formula>ISERROR(A1)</formula>
    </cfRule>
  </conditionalFormatting>
  <conditionalFormatting sqref="AF9:AG27">
    <cfRule type="containsErrors" dxfId="47" priority="29">
      <formula>ISERROR(AF9)</formula>
    </cfRule>
  </conditionalFormatting>
  <conditionalFormatting sqref="AF9:AG20 AG10:AG27">
    <cfRule type="expression" dxfId="46" priority="28">
      <formula>$B9=$W$4</formula>
    </cfRule>
  </conditionalFormatting>
  <conditionalFormatting sqref="D168:H168">
    <cfRule type="containsErrors" dxfId="45" priority="27">
      <formula>ISERROR(D168)</formula>
    </cfRule>
  </conditionalFormatting>
  <conditionalFormatting sqref="D203:H203">
    <cfRule type="containsErrors" dxfId="44" priority="26">
      <formula>ISERROR(D203)</formula>
    </cfRule>
  </conditionalFormatting>
  <conditionalFormatting sqref="D133:H133">
    <cfRule type="containsErrors" dxfId="43" priority="25">
      <formula>ISERROR(D133)</formula>
    </cfRule>
  </conditionalFormatting>
  <conditionalFormatting sqref="O32">
    <cfRule type="containsErrors" dxfId="42" priority="24">
      <formula>ISERROR(O32)</formula>
    </cfRule>
  </conditionalFormatting>
  <conditionalFormatting sqref="T32">
    <cfRule type="containsErrors" dxfId="41" priority="23">
      <formula>ISERROR(T32)</formula>
    </cfRule>
  </conditionalFormatting>
  <conditionalFormatting sqref="P9:P30">
    <cfRule type="containsErrors" dxfId="40" priority="22">
      <formula>ISERROR(P9)</formula>
    </cfRule>
  </conditionalFormatting>
  <conditionalFormatting sqref="A37">
    <cfRule type="cellIs" dxfId="39" priority="20" operator="equal">
      <formula>0</formula>
    </cfRule>
    <cfRule type="containsErrors" dxfId="38" priority="21">
      <formula>ISERROR(A37)</formula>
    </cfRule>
  </conditionalFormatting>
  <conditionalFormatting sqref="A70">
    <cfRule type="cellIs" dxfId="37" priority="18" operator="equal">
      <formula>0</formula>
    </cfRule>
    <cfRule type="containsErrors" dxfId="36" priority="19">
      <formula>ISERROR(A70)</formula>
    </cfRule>
  </conditionalFormatting>
  <conditionalFormatting sqref="A105">
    <cfRule type="cellIs" dxfId="35" priority="16" operator="equal">
      <formula>0</formula>
    </cfRule>
    <cfRule type="containsErrors" dxfId="34" priority="17">
      <formula>ISERROR(A105)</formula>
    </cfRule>
  </conditionalFormatting>
  <conditionalFormatting sqref="A140">
    <cfRule type="cellIs" dxfId="33" priority="14" operator="equal">
      <formula>0</formula>
    </cfRule>
    <cfRule type="containsErrors" dxfId="32" priority="15">
      <formula>ISERROR(A140)</formula>
    </cfRule>
  </conditionalFormatting>
  <conditionalFormatting sqref="A175">
    <cfRule type="cellIs" dxfId="31" priority="12" operator="equal">
      <formula>0</formula>
    </cfRule>
    <cfRule type="containsErrors" dxfId="30" priority="13">
      <formula>ISERROR(A175)</formula>
    </cfRule>
  </conditionalFormatting>
  <conditionalFormatting sqref="A210">
    <cfRule type="cellIs" dxfId="29" priority="10" operator="equal">
      <formula>0</formula>
    </cfRule>
    <cfRule type="containsErrors" dxfId="28" priority="11">
      <formula>ISERROR(A210)</formula>
    </cfRule>
  </conditionalFormatting>
  <conditionalFormatting sqref="A245">
    <cfRule type="cellIs" dxfId="27" priority="6" operator="equal">
      <formula>0</formula>
    </cfRule>
    <cfRule type="containsErrors" dxfId="26" priority="7">
      <formula>ISERROR(A245)</formula>
    </cfRule>
  </conditionalFormatting>
  <conditionalFormatting sqref="A280">
    <cfRule type="cellIs" dxfId="25" priority="4" operator="equal">
      <formula>0</formula>
    </cfRule>
    <cfRule type="containsErrors" dxfId="24" priority="5">
      <formula>ISERROR(A280)</formula>
    </cfRule>
  </conditionalFormatting>
  <conditionalFormatting sqref="A315">
    <cfRule type="cellIs" dxfId="23" priority="2" operator="equal">
      <formula>0</formula>
    </cfRule>
    <cfRule type="containsErrors" dxfId="22" priority="3">
      <formula>ISERROR(A315)</formula>
    </cfRule>
  </conditionalFormatting>
  <conditionalFormatting sqref="D132:H132 D167:H167 D202:H202">
    <cfRule type="containsErrors" dxfId="21" priority="1">
      <formula>ISERROR(D132)</formula>
    </cfRule>
  </conditionalFormatting>
  <hyperlinks>
    <hyperlink ref="B320:B321" location="Coverage!A1" display="Participating LA's"/>
    <hyperlink ref="B322:B323" location="IDACI!A1" display="IDACI"/>
    <hyperlink ref="B352:B353" location="Adoption!A1" display="Adoption"/>
    <hyperlink ref="B350:B351" location="'Looked After Children'!A1" display="Looked After Children"/>
    <hyperlink ref="B348:B349" location="'Court Applications'!A1" display="Court Applications"/>
    <hyperlink ref="B346:B347" location="'Child Protection Plans'!A1" display="Child Protection Plans"/>
    <hyperlink ref="B344:B345" location="'Initial CP Conferences'!A1" display="Initial Child Protection Conferences"/>
    <hyperlink ref="B342:B343" location="'Section 47 Enquiries'!A1" display="Section 47 Enquiries"/>
    <hyperlink ref="B340:B341" location="'Children in Need'!A1" display="Children in Need"/>
    <hyperlink ref="B338:B339" location="Assessments!A1" display="Assessments"/>
    <hyperlink ref="B336:B337" location="'Re-referrals'!A1" display="Re-referrals"/>
    <hyperlink ref="B334:B335" location="Referral_Source!A1" display="Referral Source"/>
    <hyperlink ref="B332:B333" location="Referrals!A1" display="Referrals"/>
    <hyperlink ref="B324:B325" location="Population!A1" display="Population"/>
    <hyperlink ref="B322:G323" location="IDACI!A1" display="IDACI"/>
    <hyperlink ref="B326:B327" location="CAF_EHA!A1" display="CAF (EHA's)"/>
    <hyperlink ref="B330:B331" location="CAF_EHA!A1" display="CAF (EHA's)"/>
    <hyperlink ref="B328:B329" location="CAF_EHA!A1" display="CAF (EHA's)"/>
    <hyperlink ref="B326:F327" location="EH_Referrals!A1" display="Early Help Referrals"/>
    <hyperlink ref="B328:F329" location="EH_Assessments!A1" display="Early Help Assessments"/>
    <hyperlink ref="B330:F331" location="EH_Clients!A1" display="Early Help Clients"/>
    <hyperlink ref="B352:G353" location="Adoption!A1" display="Permanenc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8" manualBreakCount="8">
    <brk id="37" max="20" man="1"/>
    <brk id="70" max="20" man="1"/>
    <brk id="105" max="20" man="1"/>
    <brk id="140" max="20" man="1"/>
    <brk id="175" max="20" man="1"/>
    <brk id="210" max="20" man="1"/>
    <brk id="245" max="20" man="1"/>
    <brk id="280" max="20" man="1"/>
  </rowBreaks>
  <ignoredErrors>
    <ignoredError sqref="A285:A306 A250:A271 A215:A236 A180:A201 A145:A166 A110:A131 A9:A3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Check Box 1">
              <controlPr defaultSize="0" autoFill="0" autoLine="0" autoPict="0" macro="[0]!CheckBox1_Click" altText="">
                <anchor>
                  <from>
                    <xdr:col>22</xdr:col>
                    <xdr:colOff>66675</xdr:colOff>
                    <xdr:row>38</xdr:row>
                    <xdr:rowOff>76200</xdr:rowOff>
                  </from>
                  <to>
                    <xdr:col>35</xdr:col>
                    <xdr:colOff>47625</xdr:colOff>
                    <xdr:row>40</xdr:row>
                    <xdr:rowOff>19050</xdr:rowOff>
                  </to>
                </anchor>
              </controlPr>
            </control>
          </mc:Choice>
        </mc:AlternateContent>
        <mc:AlternateContent xmlns:mc="http://schemas.openxmlformats.org/markup-compatibility/2006">
          <mc:Choice Requires="x14">
            <control shapeId="105474" r:id="rId5" name="Check Box 2">
              <controlPr defaultSize="0" autoFill="0" autoLine="0" autoPict="0" macro="[0]!CheckBox1_Click" altText="">
                <anchor>
                  <from>
                    <xdr:col>22</xdr:col>
                    <xdr:colOff>66675</xdr:colOff>
                    <xdr:row>39</xdr:row>
                    <xdr:rowOff>161925</xdr:rowOff>
                  </from>
                  <to>
                    <xdr:col>35</xdr:col>
                    <xdr:colOff>47625</xdr:colOff>
                    <xdr:row>41</xdr:row>
                    <xdr:rowOff>19050</xdr:rowOff>
                  </to>
                </anchor>
              </controlPr>
            </control>
          </mc:Choice>
        </mc:AlternateContent>
        <mc:AlternateContent xmlns:mc="http://schemas.openxmlformats.org/markup-compatibility/2006">
          <mc:Choice Requires="x14">
            <control shapeId="105475" r:id="rId6" name="Check Box 3">
              <controlPr defaultSize="0" autoFill="0" autoLine="0" autoPict="0" macro="[0]!CheckBox1_Click" altText="">
                <anchor>
                  <from>
                    <xdr:col>22</xdr:col>
                    <xdr:colOff>66675</xdr:colOff>
                    <xdr:row>40</xdr:row>
                    <xdr:rowOff>161925</xdr:rowOff>
                  </from>
                  <to>
                    <xdr:col>35</xdr:col>
                    <xdr:colOff>47625</xdr:colOff>
                    <xdr:row>42</xdr:row>
                    <xdr:rowOff>19050</xdr:rowOff>
                  </to>
                </anchor>
              </controlPr>
            </control>
          </mc:Choice>
        </mc:AlternateContent>
        <mc:AlternateContent xmlns:mc="http://schemas.openxmlformats.org/markup-compatibility/2006">
          <mc:Choice Requires="x14">
            <control shapeId="105476" r:id="rId7" name="Check Box 4">
              <controlPr defaultSize="0" autoFill="0" autoLine="0" autoPict="0" macro="[0]!CheckBox1_Click" altText="">
                <anchor>
                  <from>
                    <xdr:col>22</xdr:col>
                    <xdr:colOff>66675</xdr:colOff>
                    <xdr:row>41</xdr:row>
                    <xdr:rowOff>161925</xdr:rowOff>
                  </from>
                  <to>
                    <xdr:col>35</xdr:col>
                    <xdr:colOff>47625</xdr:colOff>
                    <xdr:row>43</xdr:row>
                    <xdr:rowOff>19050</xdr:rowOff>
                  </to>
                </anchor>
              </controlPr>
            </control>
          </mc:Choice>
        </mc:AlternateContent>
        <mc:AlternateContent xmlns:mc="http://schemas.openxmlformats.org/markup-compatibility/2006">
          <mc:Choice Requires="x14">
            <control shapeId="105477" r:id="rId8" name="Check Box 5">
              <controlPr defaultSize="0" autoFill="0" autoLine="0" autoPict="0" macro="[0]!CheckBox1_Click" altText="">
                <anchor>
                  <from>
                    <xdr:col>22</xdr:col>
                    <xdr:colOff>66675</xdr:colOff>
                    <xdr:row>42</xdr:row>
                    <xdr:rowOff>161925</xdr:rowOff>
                  </from>
                  <to>
                    <xdr:col>35</xdr:col>
                    <xdr:colOff>47625</xdr:colOff>
                    <xdr:row>44</xdr:row>
                    <xdr:rowOff>19050</xdr:rowOff>
                  </to>
                </anchor>
              </controlPr>
            </control>
          </mc:Choice>
        </mc:AlternateContent>
        <mc:AlternateContent xmlns:mc="http://schemas.openxmlformats.org/markup-compatibility/2006">
          <mc:Choice Requires="x14">
            <control shapeId="105478" r:id="rId9" name="Check Box 6">
              <controlPr defaultSize="0" autoFill="0" autoLine="0" autoPict="0" macro="[0]!CheckBox1_Click" altText="">
                <anchor>
                  <from>
                    <xdr:col>22</xdr:col>
                    <xdr:colOff>66675</xdr:colOff>
                    <xdr:row>43</xdr:row>
                    <xdr:rowOff>161925</xdr:rowOff>
                  </from>
                  <to>
                    <xdr:col>35</xdr:col>
                    <xdr:colOff>47625</xdr:colOff>
                    <xdr:row>45</xdr:row>
                    <xdr:rowOff>19050</xdr:rowOff>
                  </to>
                </anchor>
              </controlPr>
            </control>
          </mc:Choice>
        </mc:AlternateContent>
        <mc:AlternateContent xmlns:mc="http://schemas.openxmlformats.org/markup-compatibility/2006">
          <mc:Choice Requires="x14">
            <control shapeId="105479" r:id="rId10" name="Check Box 7">
              <controlPr defaultSize="0" autoFill="0" autoLine="0" autoPict="0" macro="[0]!CheckBox1_Click" altText="">
                <anchor>
                  <from>
                    <xdr:col>22</xdr:col>
                    <xdr:colOff>66675</xdr:colOff>
                    <xdr:row>44</xdr:row>
                    <xdr:rowOff>161925</xdr:rowOff>
                  </from>
                  <to>
                    <xdr:col>35</xdr:col>
                    <xdr:colOff>47625</xdr:colOff>
                    <xdr:row>46</xdr:row>
                    <xdr:rowOff>19050</xdr:rowOff>
                  </to>
                </anchor>
              </controlPr>
            </control>
          </mc:Choice>
        </mc:AlternateContent>
        <mc:AlternateContent xmlns:mc="http://schemas.openxmlformats.org/markup-compatibility/2006">
          <mc:Choice Requires="x14">
            <control shapeId="105480" r:id="rId11" name="Check Box 8">
              <controlPr defaultSize="0" autoFill="0" autoLine="0" autoPict="0" macro="[0]!CheckBox1_Click" altText="">
                <anchor>
                  <from>
                    <xdr:col>22</xdr:col>
                    <xdr:colOff>66675</xdr:colOff>
                    <xdr:row>45</xdr:row>
                    <xdr:rowOff>161925</xdr:rowOff>
                  </from>
                  <to>
                    <xdr:col>35</xdr:col>
                    <xdr:colOff>47625</xdr:colOff>
                    <xdr:row>47</xdr:row>
                    <xdr:rowOff>19050</xdr:rowOff>
                  </to>
                </anchor>
              </controlPr>
            </control>
          </mc:Choice>
        </mc:AlternateContent>
        <mc:AlternateContent xmlns:mc="http://schemas.openxmlformats.org/markup-compatibility/2006">
          <mc:Choice Requires="x14">
            <control shapeId="105481" r:id="rId12" name="Check Box 9">
              <controlPr defaultSize="0" autoFill="0" autoLine="0" autoPict="0" macro="[0]!CheckBox1_Click" altText="">
                <anchor>
                  <from>
                    <xdr:col>22</xdr:col>
                    <xdr:colOff>66675</xdr:colOff>
                    <xdr:row>46</xdr:row>
                    <xdr:rowOff>161925</xdr:rowOff>
                  </from>
                  <to>
                    <xdr:col>35</xdr:col>
                    <xdr:colOff>47625</xdr:colOff>
                    <xdr:row>48</xdr:row>
                    <xdr:rowOff>19050</xdr:rowOff>
                  </to>
                </anchor>
              </controlPr>
            </control>
          </mc:Choice>
        </mc:AlternateContent>
        <mc:AlternateContent xmlns:mc="http://schemas.openxmlformats.org/markup-compatibility/2006">
          <mc:Choice Requires="x14">
            <control shapeId="105482" r:id="rId13" name="Check Box 10">
              <controlPr defaultSize="0" autoFill="0" autoLine="0" autoPict="0" macro="[0]!CheckBox1_Click" altText="">
                <anchor>
                  <from>
                    <xdr:col>22</xdr:col>
                    <xdr:colOff>66675</xdr:colOff>
                    <xdr:row>47</xdr:row>
                    <xdr:rowOff>161925</xdr:rowOff>
                  </from>
                  <to>
                    <xdr:col>35</xdr:col>
                    <xdr:colOff>47625</xdr:colOff>
                    <xdr:row>49</xdr:row>
                    <xdr:rowOff>19050</xdr:rowOff>
                  </to>
                </anchor>
              </controlPr>
            </control>
          </mc:Choice>
        </mc:AlternateContent>
        <mc:AlternateContent xmlns:mc="http://schemas.openxmlformats.org/markup-compatibility/2006">
          <mc:Choice Requires="x14">
            <control shapeId="105483" r:id="rId14" name="Check Box 11">
              <controlPr defaultSize="0" autoFill="0" autoLine="0" autoPict="0" macro="[0]!CheckBox1_Click" altText="">
                <anchor>
                  <from>
                    <xdr:col>22</xdr:col>
                    <xdr:colOff>66675</xdr:colOff>
                    <xdr:row>48</xdr:row>
                    <xdr:rowOff>161925</xdr:rowOff>
                  </from>
                  <to>
                    <xdr:col>35</xdr:col>
                    <xdr:colOff>47625</xdr:colOff>
                    <xdr:row>50</xdr:row>
                    <xdr:rowOff>19050</xdr:rowOff>
                  </to>
                </anchor>
              </controlPr>
            </control>
          </mc:Choice>
        </mc:AlternateContent>
        <mc:AlternateContent xmlns:mc="http://schemas.openxmlformats.org/markup-compatibility/2006">
          <mc:Choice Requires="x14">
            <control shapeId="105484" r:id="rId15" name="Check Box 12">
              <controlPr defaultSize="0" autoFill="0" autoLine="0" autoPict="0" macro="[0]!CheckBox1_Click" altText="">
                <anchor>
                  <from>
                    <xdr:col>22</xdr:col>
                    <xdr:colOff>66675</xdr:colOff>
                    <xdr:row>49</xdr:row>
                    <xdr:rowOff>161925</xdr:rowOff>
                  </from>
                  <to>
                    <xdr:col>35</xdr:col>
                    <xdr:colOff>47625</xdr:colOff>
                    <xdr:row>51</xdr:row>
                    <xdr:rowOff>19050</xdr:rowOff>
                  </to>
                </anchor>
              </controlPr>
            </control>
          </mc:Choice>
        </mc:AlternateContent>
        <mc:AlternateContent xmlns:mc="http://schemas.openxmlformats.org/markup-compatibility/2006">
          <mc:Choice Requires="x14">
            <control shapeId="105485" r:id="rId16" name="Check Box 13">
              <controlPr defaultSize="0" autoFill="0" autoLine="0" autoPict="0" macro="[0]!CheckBox1_Click" altText="">
                <anchor>
                  <from>
                    <xdr:col>22</xdr:col>
                    <xdr:colOff>66675</xdr:colOff>
                    <xdr:row>50</xdr:row>
                    <xdr:rowOff>161925</xdr:rowOff>
                  </from>
                  <to>
                    <xdr:col>35</xdr:col>
                    <xdr:colOff>47625</xdr:colOff>
                    <xdr:row>52</xdr:row>
                    <xdr:rowOff>19050</xdr:rowOff>
                  </to>
                </anchor>
              </controlPr>
            </control>
          </mc:Choice>
        </mc:AlternateContent>
        <mc:AlternateContent xmlns:mc="http://schemas.openxmlformats.org/markup-compatibility/2006">
          <mc:Choice Requires="x14">
            <control shapeId="105486" r:id="rId17" name="Check Box 14">
              <controlPr defaultSize="0" autoFill="0" autoLine="0" autoPict="0" macro="[0]!CheckBox1_Click" altText="">
                <anchor>
                  <from>
                    <xdr:col>22</xdr:col>
                    <xdr:colOff>66675</xdr:colOff>
                    <xdr:row>51</xdr:row>
                    <xdr:rowOff>161925</xdr:rowOff>
                  </from>
                  <to>
                    <xdr:col>35</xdr:col>
                    <xdr:colOff>47625</xdr:colOff>
                    <xdr:row>53</xdr:row>
                    <xdr:rowOff>19050</xdr:rowOff>
                  </to>
                </anchor>
              </controlPr>
            </control>
          </mc:Choice>
        </mc:AlternateContent>
        <mc:AlternateContent xmlns:mc="http://schemas.openxmlformats.org/markup-compatibility/2006">
          <mc:Choice Requires="x14">
            <control shapeId="105487" r:id="rId18" name="Check Box 15">
              <controlPr defaultSize="0" autoFill="0" autoLine="0" autoPict="0" macro="[0]!CheckBox1_Click" altText="">
                <anchor>
                  <from>
                    <xdr:col>22</xdr:col>
                    <xdr:colOff>66675</xdr:colOff>
                    <xdr:row>52</xdr:row>
                    <xdr:rowOff>161925</xdr:rowOff>
                  </from>
                  <to>
                    <xdr:col>35</xdr:col>
                    <xdr:colOff>47625</xdr:colOff>
                    <xdr:row>54</xdr:row>
                    <xdr:rowOff>19050</xdr:rowOff>
                  </to>
                </anchor>
              </controlPr>
            </control>
          </mc:Choice>
        </mc:AlternateContent>
        <mc:AlternateContent xmlns:mc="http://schemas.openxmlformats.org/markup-compatibility/2006">
          <mc:Choice Requires="x14">
            <control shapeId="105488" r:id="rId19" name="Check Box 16">
              <controlPr defaultSize="0" autoFill="0" autoLine="0" autoPict="0" macro="[0]!CheckBox1_Click" altText="">
                <anchor>
                  <from>
                    <xdr:col>22</xdr:col>
                    <xdr:colOff>66675</xdr:colOff>
                    <xdr:row>53</xdr:row>
                    <xdr:rowOff>161925</xdr:rowOff>
                  </from>
                  <to>
                    <xdr:col>35</xdr:col>
                    <xdr:colOff>47625</xdr:colOff>
                    <xdr:row>55</xdr:row>
                    <xdr:rowOff>19050</xdr:rowOff>
                  </to>
                </anchor>
              </controlPr>
            </control>
          </mc:Choice>
        </mc:AlternateContent>
        <mc:AlternateContent xmlns:mc="http://schemas.openxmlformats.org/markup-compatibility/2006">
          <mc:Choice Requires="x14">
            <control shapeId="105489" r:id="rId20" name="Check Box 17">
              <controlPr defaultSize="0" autoFill="0" autoLine="0" autoPict="0" macro="[0]!CheckBox1_Click" altText="">
                <anchor>
                  <from>
                    <xdr:col>22</xdr:col>
                    <xdr:colOff>66675</xdr:colOff>
                    <xdr:row>56</xdr:row>
                    <xdr:rowOff>161925</xdr:rowOff>
                  </from>
                  <to>
                    <xdr:col>35</xdr:col>
                    <xdr:colOff>47625</xdr:colOff>
                    <xdr:row>58</xdr:row>
                    <xdr:rowOff>19050</xdr:rowOff>
                  </to>
                </anchor>
              </controlPr>
            </control>
          </mc:Choice>
        </mc:AlternateContent>
        <mc:AlternateContent xmlns:mc="http://schemas.openxmlformats.org/markup-compatibility/2006">
          <mc:Choice Requires="x14">
            <control shapeId="105490" r:id="rId21" name="Check Box 18">
              <controlPr defaultSize="0" autoFill="0" autoLine="0" autoPict="0" macro="[0]!CheckBox1_Click" altText="">
                <anchor>
                  <from>
                    <xdr:col>22</xdr:col>
                    <xdr:colOff>66675</xdr:colOff>
                    <xdr:row>57</xdr:row>
                    <xdr:rowOff>161925</xdr:rowOff>
                  </from>
                  <to>
                    <xdr:col>35</xdr:col>
                    <xdr:colOff>47625</xdr:colOff>
                    <xdr:row>59</xdr:row>
                    <xdr:rowOff>19050</xdr:rowOff>
                  </to>
                </anchor>
              </controlPr>
            </control>
          </mc:Choice>
        </mc:AlternateContent>
        <mc:AlternateContent xmlns:mc="http://schemas.openxmlformats.org/markup-compatibility/2006">
          <mc:Choice Requires="x14">
            <control shapeId="105491" r:id="rId22" name="Check Box 19">
              <controlPr defaultSize="0" autoFill="0" autoLine="0" autoPict="0" macro="[0]!CheckBox1_Click" altText="">
                <anchor>
                  <from>
                    <xdr:col>22</xdr:col>
                    <xdr:colOff>66675</xdr:colOff>
                    <xdr:row>58</xdr:row>
                    <xdr:rowOff>161925</xdr:rowOff>
                  </from>
                  <to>
                    <xdr:col>35</xdr:col>
                    <xdr:colOff>47625</xdr:colOff>
                    <xdr:row>60</xdr:row>
                    <xdr:rowOff>19050</xdr:rowOff>
                  </to>
                </anchor>
              </controlPr>
            </control>
          </mc:Choice>
        </mc:AlternateContent>
        <mc:AlternateContent xmlns:mc="http://schemas.openxmlformats.org/markup-compatibility/2006">
          <mc:Choice Requires="x14">
            <control shapeId="105492" r:id="rId23" name="Check Box 20">
              <controlPr defaultSize="0" autoFill="0" autoLine="0" autoPict="0" macro="[0]!CheckBox1_Click" altText="">
                <anchor>
                  <from>
                    <xdr:col>22</xdr:col>
                    <xdr:colOff>66675</xdr:colOff>
                    <xdr:row>59</xdr:row>
                    <xdr:rowOff>161925</xdr:rowOff>
                  </from>
                  <to>
                    <xdr:col>35</xdr:col>
                    <xdr:colOff>47625</xdr:colOff>
                    <xdr:row>61</xdr:row>
                    <xdr:rowOff>19050</xdr:rowOff>
                  </to>
                </anchor>
              </controlPr>
            </control>
          </mc:Choice>
        </mc:AlternateContent>
        <mc:AlternateContent xmlns:mc="http://schemas.openxmlformats.org/markup-compatibility/2006">
          <mc:Choice Requires="x14">
            <control shapeId="105493" r:id="rId24" name="Check Box 21">
              <controlPr defaultSize="0" autoFill="0" autoLine="0" autoPict="0" macro="[0]!CheckBox1_Click" altText="">
                <anchor>
                  <from>
                    <xdr:col>22</xdr:col>
                    <xdr:colOff>66675</xdr:colOff>
                    <xdr:row>60</xdr:row>
                    <xdr:rowOff>161925</xdr:rowOff>
                  </from>
                  <to>
                    <xdr:col>35</xdr:col>
                    <xdr:colOff>47625</xdr:colOff>
                    <xdr:row>62</xdr:row>
                    <xdr:rowOff>19050</xdr:rowOff>
                  </to>
                </anchor>
              </controlPr>
            </control>
          </mc:Choice>
        </mc:AlternateContent>
        <mc:AlternateContent xmlns:mc="http://schemas.openxmlformats.org/markup-compatibility/2006">
          <mc:Choice Requires="x14">
            <control shapeId="105494" r:id="rId25" name="Check Box 22">
              <controlPr defaultSize="0" autoFill="0" autoLine="0" autoPict="0" macro="[0]!CheckBox1_Click" altText="">
                <anchor>
                  <from>
                    <xdr:col>22</xdr:col>
                    <xdr:colOff>66675</xdr:colOff>
                    <xdr:row>54</xdr:row>
                    <xdr:rowOff>161925</xdr:rowOff>
                  </from>
                  <to>
                    <xdr:col>35</xdr:col>
                    <xdr:colOff>47625</xdr:colOff>
                    <xdr:row>56</xdr:row>
                    <xdr:rowOff>19050</xdr:rowOff>
                  </to>
                </anchor>
              </controlPr>
            </control>
          </mc:Choice>
        </mc:AlternateContent>
        <mc:AlternateContent xmlns:mc="http://schemas.openxmlformats.org/markup-compatibility/2006">
          <mc:Choice Requires="x14">
            <control shapeId="105495" r:id="rId26" name="Check Box 23">
              <controlPr defaultSize="0" autoFill="0" autoLine="0" autoPict="0" macro="[0]!CheckBox1_Click" altText="">
                <anchor>
                  <from>
                    <xdr:col>22</xdr:col>
                    <xdr:colOff>66675</xdr:colOff>
                    <xdr:row>55</xdr:row>
                    <xdr:rowOff>161925</xdr:rowOff>
                  </from>
                  <to>
                    <xdr:col>35</xdr:col>
                    <xdr:colOff>47625</xdr:colOff>
                    <xdr:row>57</xdr:row>
                    <xdr:rowOff>19050</xdr:rowOff>
                  </to>
                </anchor>
              </controlPr>
            </control>
          </mc:Choice>
        </mc:AlternateContent>
        <mc:AlternateContent xmlns:mc="http://schemas.openxmlformats.org/markup-compatibility/2006">
          <mc:Choice Requires="x14">
            <control shapeId="105496" r:id="rId27" name="Check Box 24">
              <controlPr defaultSize="0" autoFill="0" autoLine="0" autoPict="0" macro="[0]!CheckBox1_Click" altText="">
                <anchor>
                  <from>
                    <xdr:col>22</xdr:col>
                    <xdr:colOff>66675</xdr:colOff>
                    <xdr:row>61</xdr:row>
                    <xdr:rowOff>161925</xdr:rowOff>
                  </from>
                  <to>
                    <xdr:col>35</xdr:col>
                    <xdr:colOff>47625</xdr:colOff>
                    <xdr:row>63</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BQ344"/>
  <sheetViews>
    <sheetView showRowColHeaders="0" zoomScaleNormal="100" workbookViewId="0"/>
  </sheetViews>
  <sheetFormatPr defaultColWidth="9.140625" defaultRowHeight="11.25" customHeight="1" x14ac:dyDescent="0.2"/>
  <cols>
    <col min="1" max="1" width="2.140625" style="80" customWidth="1"/>
    <col min="2" max="2" width="17.140625" style="80" customWidth="1"/>
    <col min="3" max="3" width="1.42578125" style="80" customWidth="1"/>
    <col min="4" max="8" width="7.42578125" style="80" customWidth="1"/>
    <col min="9" max="9" width="7.7109375" style="80" customWidth="1"/>
    <col min="10" max="10" width="1.42578125" style="106" customWidth="1"/>
    <col min="11" max="15" width="7.42578125" style="80" customWidth="1"/>
    <col min="16" max="16" width="7.140625" style="80" customWidth="1"/>
    <col min="17" max="17" width="1.42578125" style="80" customWidth="1"/>
    <col min="18" max="18" width="10.28515625" style="80" customWidth="1"/>
    <col min="19" max="19" width="1.5703125" style="80" customWidth="1"/>
    <col min="20" max="20" width="5.42578125" style="80" customWidth="1"/>
    <col min="21" max="21" width="5.5703125" style="80" customWidth="1"/>
    <col min="22" max="22" width="2.140625" style="80" customWidth="1"/>
    <col min="23" max="23" width="6.42578125" style="87" customWidth="1"/>
    <col min="24" max="24" width="4.85546875" style="87" customWidth="1"/>
    <col min="25" max="25" width="16.85546875" style="88" hidden="1" customWidth="1"/>
    <col min="26" max="26" width="17" style="88" hidden="1" customWidth="1"/>
    <col min="27" max="27" width="21.28515625" style="88" hidden="1" customWidth="1"/>
    <col min="28" max="29" width="16.7109375" style="88" hidden="1" customWidth="1"/>
    <col min="30" max="30" width="8.5703125" style="88" hidden="1" customWidth="1"/>
    <col min="31" max="31" width="17" style="88" hidden="1" customWidth="1"/>
    <col min="32" max="32" width="8.5703125" style="88" hidden="1" customWidth="1"/>
    <col min="33" max="33" width="14.28515625" style="88" hidden="1" customWidth="1"/>
    <col min="34" max="35" width="6.5703125" style="88" hidden="1" customWidth="1"/>
    <col min="36" max="36" width="6.5703125" style="80" hidden="1" customWidth="1"/>
    <col min="37" max="37" width="31.5703125" style="210" customWidth="1"/>
    <col min="38" max="38" width="17" style="80" hidden="1" customWidth="1"/>
    <col min="39" max="43" width="13.7109375" style="80" hidden="1" customWidth="1"/>
    <col min="44" max="69" width="9.140625" style="80" hidden="1" customWidth="1"/>
    <col min="70" max="70" width="0" style="80" hidden="1" customWidth="1"/>
    <col min="71" max="16384" width="9.140625" style="80"/>
  </cols>
  <sheetData>
    <row r="1" spans="1:45" ht="18.75" customHeight="1" x14ac:dyDescent="0.2">
      <c r="A1" s="912"/>
      <c r="B1" s="130"/>
      <c r="C1" s="130"/>
      <c r="D1" s="130"/>
      <c r="E1" s="130"/>
      <c r="F1" s="130"/>
      <c r="G1" s="130"/>
      <c r="H1" s="130"/>
      <c r="I1" s="130"/>
      <c r="J1" s="131"/>
      <c r="K1" s="130"/>
      <c r="L1" s="130"/>
      <c r="M1" s="130"/>
      <c r="N1" s="130"/>
      <c r="O1" s="130"/>
      <c r="P1" s="130"/>
      <c r="Q1" s="130"/>
      <c r="R1" s="130"/>
      <c r="S1" s="130"/>
      <c r="T1" s="130"/>
      <c r="U1" s="130"/>
      <c r="V1" s="132"/>
      <c r="W1" s="306"/>
      <c r="X1" s="173"/>
      <c r="Y1" s="206"/>
      <c r="Z1" s="206"/>
      <c r="AA1" s="206"/>
      <c r="AB1" s="206"/>
      <c r="AC1" s="206"/>
      <c r="AD1" s="206"/>
      <c r="AE1" s="206"/>
      <c r="AF1" s="206"/>
      <c r="AG1" s="206"/>
      <c r="AH1" s="206"/>
      <c r="AI1" s="206"/>
      <c r="AJ1" s="207"/>
      <c r="AK1" s="482"/>
    </row>
    <row r="2" spans="1:45" ht="18.75" customHeight="1" x14ac:dyDescent="0.2">
      <c r="A2" s="135"/>
      <c r="B2" s="145" t="s">
        <v>874</v>
      </c>
      <c r="C2" s="9"/>
      <c r="D2" s="9"/>
      <c r="E2" s="9"/>
      <c r="F2" s="9"/>
      <c r="G2" s="9"/>
      <c r="H2" s="9"/>
      <c r="I2" s="9"/>
      <c r="J2" s="13"/>
      <c r="K2" s="9"/>
      <c r="L2" s="9"/>
      <c r="M2" s="9"/>
      <c r="N2" s="9"/>
      <c r="O2" s="9"/>
      <c r="P2" s="9"/>
      <c r="Q2" s="9"/>
      <c r="R2" s="9"/>
      <c r="S2" s="9"/>
      <c r="T2" s="9"/>
      <c r="U2" s="9"/>
      <c r="V2" s="134"/>
      <c r="W2" s="179"/>
      <c r="X2" s="168"/>
      <c r="AJ2" s="210"/>
      <c r="AK2" s="175"/>
    </row>
    <row r="3" spans="1:45" ht="18.75" customHeight="1" x14ac:dyDescent="0.2">
      <c r="A3" s="141"/>
      <c r="B3" s="142"/>
      <c r="C3" s="142"/>
      <c r="D3" s="142"/>
      <c r="E3" s="142"/>
      <c r="F3" s="142"/>
      <c r="G3" s="142"/>
      <c r="H3" s="142"/>
      <c r="I3" s="298"/>
      <c r="J3" s="143"/>
      <c r="K3" s="142"/>
      <c r="L3" s="142"/>
      <c r="M3" s="142"/>
      <c r="N3" s="142"/>
      <c r="O3" s="142"/>
      <c r="P3" s="142"/>
      <c r="Q3" s="142"/>
      <c r="R3" s="142"/>
      <c r="S3" s="298"/>
      <c r="T3" s="613"/>
      <c r="U3" s="142"/>
      <c r="V3" s="144"/>
      <c r="W3" s="179"/>
      <c r="X3" s="168"/>
      <c r="AJ3" s="210"/>
      <c r="AK3" s="175"/>
    </row>
    <row r="4" spans="1:45" ht="11.25" customHeight="1" x14ac:dyDescent="0.2">
      <c r="A4" s="129"/>
      <c r="B4" s="130"/>
      <c r="C4" s="130"/>
      <c r="D4" s="130"/>
      <c r="E4" s="130"/>
      <c r="F4" s="130"/>
      <c r="G4" s="130"/>
      <c r="H4" s="130"/>
      <c r="I4" s="130"/>
      <c r="J4" s="131"/>
      <c r="K4" s="130"/>
      <c r="L4" s="130"/>
      <c r="M4" s="130"/>
      <c r="N4" s="130"/>
      <c r="O4" s="130"/>
      <c r="P4" s="130"/>
      <c r="Q4" s="130"/>
      <c r="R4" s="130"/>
      <c r="S4" s="130"/>
      <c r="T4" s="130"/>
      <c r="U4" s="130"/>
      <c r="V4" s="132"/>
      <c r="W4" s="152"/>
      <c r="X4" s="168"/>
      <c r="Y4" s="212" t="e">
        <f>VLOOKUP(Z4,$Y$9:$Z$30,2,FALSE)</f>
        <v>#N/A</v>
      </c>
      <c r="Z4" s="212" t="str">
        <f>Home!$D$10</f>
        <v>(none)</v>
      </c>
      <c r="AA4" s="43" t="str">
        <f>"Selected LA- "&amp;Z4</f>
        <v>Selected LA- (none)</v>
      </c>
      <c r="AJ4" s="210"/>
      <c r="AK4" s="175"/>
    </row>
    <row r="5" spans="1:45" s="82" customFormat="1" ht="15" customHeight="1" x14ac:dyDescent="0.2">
      <c r="A5" s="136"/>
      <c r="B5" s="1087" t="s">
        <v>186</v>
      </c>
      <c r="C5" s="1087"/>
      <c r="D5" s="1087"/>
      <c r="E5" s="1087"/>
      <c r="F5" s="1087"/>
      <c r="G5" s="1087"/>
      <c r="H5" s="1087"/>
      <c r="I5" s="1087"/>
      <c r="J5" s="836"/>
      <c r="K5" s="836"/>
      <c r="L5" s="880"/>
      <c r="M5" s="880"/>
      <c r="N5" s="256"/>
      <c r="O5" s="836"/>
      <c r="P5" s="836"/>
      <c r="Q5" s="836"/>
      <c r="R5" s="836"/>
      <c r="S5" s="836"/>
      <c r="T5" s="836"/>
      <c r="U5" s="836"/>
      <c r="V5" s="137"/>
      <c r="W5" s="153"/>
      <c r="X5" s="169"/>
      <c r="Y5" s="215"/>
      <c r="Z5" s="215"/>
      <c r="AA5" s="215"/>
      <c r="AB5" s="215"/>
      <c r="AC5" s="215"/>
      <c r="AD5" s="215"/>
      <c r="AE5" s="215"/>
      <c r="AF5" s="215"/>
      <c r="AG5" s="215"/>
      <c r="AH5" s="215"/>
      <c r="AI5" s="215"/>
      <c r="AJ5" s="215"/>
      <c r="AK5" s="176"/>
    </row>
    <row r="6" spans="1:45" ht="13.5" customHeight="1" x14ac:dyDescent="0.2">
      <c r="A6" s="135"/>
      <c r="B6" s="1087"/>
      <c r="C6" s="1087"/>
      <c r="D6" s="1087"/>
      <c r="E6" s="1087"/>
      <c r="F6" s="1087"/>
      <c r="G6" s="1087"/>
      <c r="H6" s="1087"/>
      <c r="I6" s="1087"/>
      <c r="J6" s="836"/>
      <c r="K6" s="836"/>
      <c r="L6" s="836"/>
      <c r="M6" s="836"/>
      <c r="N6" s="836"/>
      <c r="O6" s="836"/>
      <c r="P6" s="836"/>
      <c r="Q6" s="836"/>
      <c r="R6" s="836"/>
      <c r="S6" s="836"/>
      <c r="T6" s="836"/>
      <c r="U6" s="836"/>
      <c r="V6" s="134"/>
      <c r="W6" s="152"/>
      <c r="X6" s="168"/>
      <c r="Z6" s="217"/>
      <c r="AJ6" s="210"/>
      <c r="AK6" s="175"/>
    </row>
    <row r="7" spans="1:45" s="101" customFormat="1" ht="21" customHeight="1" x14ac:dyDescent="0.2">
      <c r="A7" s="138"/>
      <c r="B7" s="1050" t="s">
        <v>215</v>
      </c>
      <c r="C7" s="97"/>
      <c r="D7" s="982" t="s">
        <v>88</v>
      </c>
      <c r="E7" s="1042"/>
      <c r="F7" s="1042"/>
      <c r="G7" s="1042"/>
      <c r="H7" s="1043"/>
      <c r="I7" s="1044" t="str">
        <f>"% Change "&amp;E8&amp;"-"&amp;RIGHT(H8,2)</f>
        <v>% Change 2015-18</v>
      </c>
      <c r="J7" s="115"/>
      <c r="K7" s="1046" t="s">
        <v>89</v>
      </c>
      <c r="L7" s="1047"/>
      <c r="M7" s="1047"/>
      <c r="N7" s="1047"/>
      <c r="O7" s="1047"/>
      <c r="P7" s="1048" t="str">
        <f>"SE Rank "&amp;O8</f>
        <v>SE Rank 2018</v>
      </c>
      <c r="Q7" s="70"/>
      <c r="R7" s="1125" t="s">
        <v>95</v>
      </c>
      <c r="S7" s="64"/>
      <c r="T7" s="64"/>
      <c r="U7" s="64"/>
      <c r="V7" s="139"/>
      <c r="W7" s="154"/>
      <c r="X7" s="170"/>
      <c r="Y7" s="232"/>
      <c r="Z7" s="232"/>
      <c r="AA7" s="233" t="s">
        <v>79</v>
      </c>
      <c r="AB7" s="217"/>
      <c r="AC7" s="217"/>
      <c r="AD7" s="226"/>
      <c r="AE7" s="226"/>
      <c r="AF7" s="217"/>
      <c r="AG7" s="234" t="s">
        <v>92</v>
      </c>
      <c r="AH7" s="217"/>
      <c r="AI7" s="217"/>
      <c r="AJ7" s="232"/>
      <c r="AK7" s="178"/>
    </row>
    <row r="8" spans="1:45" s="101" customFormat="1" ht="13.5" customHeight="1" x14ac:dyDescent="0.2">
      <c r="A8" s="138"/>
      <c r="B8" s="1051"/>
      <c r="C8" s="97"/>
      <c r="D8" s="393">
        <v>2014</v>
      </c>
      <c r="E8" s="393">
        <v>2015</v>
      </c>
      <c r="F8" s="393">
        <v>2016</v>
      </c>
      <c r="G8" s="393">
        <v>2017</v>
      </c>
      <c r="H8" s="394">
        <v>2018</v>
      </c>
      <c r="I8" s="1045"/>
      <c r="J8" s="115"/>
      <c r="K8" s="395">
        <f>D8</f>
        <v>2014</v>
      </c>
      <c r="L8" s="395">
        <f>E8</f>
        <v>2015</v>
      </c>
      <c r="M8" s="395">
        <f>F8</f>
        <v>2016</v>
      </c>
      <c r="N8" s="395">
        <f>G8</f>
        <v>2017</v>
      </c>
      <c r="O8" s="396">
        <f>H8</f>
        <v>2018</v>
      </c>
      <c r="P8" s="1049"/>
      <c r="Q8" s="70"/>
      <c r="R8" s="1126"/>
      <c r="S8" s="64"/>
      <c r="T8" s="64"/>
      <c r="U8" s="64"/>
      <c r="V8" s="139"/>
      <c r="W8" s="154"/>
      <c r="X8" s="170"/>
      <c r="Y8" s="232"/>
      <c r="Z8" s="232"/>
      <c r="AA8" s="44">
        <f>K8</f>
        <v>2014</v>
      </c>
      <c r="AB8" s="44">
        <f>L8</f>
        <v>2015</v>
      </c>
      <c r="AC8" s="44">
        <f>M8</f>
        <v>2016</v>
      </c>
      <c r="AD8" s="44">
        <f>N8</f>
        <v>2017</v>
      </c>
      <c r="AE8" s="44">
        <f>O8</f>
        <v>2018</v>
      </c>
      <c r="AF8" s="217"/>
      <c r="AG8" s="217"/>
      <c r="AH8" s="217"/>
      <c r="AI8" s="217"/>
      <c r="AJ8" s="232"/>
      <c r="AK8" s="178"/>
    </row>
    <row r="9" spans="1:45" s="101" customFormat="1" ht="13.5" customHeight="1" x14ac:dyDescent="0.2">
      <c r="A9" s="533">
        <f>VLOOKUP(B9,Sheet1!$B$4:$C$25,2,FALSE)</f>
        <v>0</v>
      </c>
      <c r="B9" s="112" t="s">
        <v>0</v>
      </c>
      <c r="C9" s="97"/>
      <c r="D9" s="479" t="str">
        <f>IF(Year1_Bracknell_Forest Year1_Adoption_PFA="","",Year1_Bracknell_Forest Year1_Adoption_PFA)</f>
        <v>x</v>
      </c>
      <c r="E9" s="329">
        <f>IF(Year2_Bracknell_Forest Year2_Adoption_PFA="","",Year2_Bracknell_Forest Year2_Adoption_PFA)</f>
        <v>5</v>
      </c>
      <c r="F9" s="329">
        <f>IF(Year3_Bracknell_Forest Year3_Adoption_PFA="","",Year3_Bracknell_Forest Year3_Adoption_PFA)</f>
        <v>5</v>
      </c>
      <c r="G9" s="479" t="str">
        <f>IF(Year4_Bracknell_Forest Year4_Adoption_PFA="","",Year4_Bracknell_Forest Year4_Adoption_PFA)</f>
        <v>x</v>
      </c>
      <c r="H9" s="909" t="str">
        <f>IF(Year5_Bracknell_Forest Year5_Adoption_PFA="","",Year5_Bracknell_Forest Year5_Adoption_PFA)</f>
        <v>x</v>
      </c>
      <c r="I9" s="392" t="str">
        <f>IF(ISNUMBER(H9),(H9-E9)/E9,"")</f>
        <v/>
      </c>
      <c r="J9" s="115"/>
      <c r="K9" s="718" t="e">
        <f>IF(ISNUMBER(D9),D9/Population!C8*10000,NA())</f>
        <v>#N/A</v>
      </c>
      <c r="L9" s="116">
        <f>IF(ISNUMBER(E9),E9/Population!D8*10000,NA())</f>
        <v>1.7985611510791368</v>
      </c>
      <c r="M9" s="116">
        <f>IF(ISNUMBER(F9),F9/Population!E8*10000,NA())</f>
        <v>1.773049645390071</v>
      </c>
      <c r="N9" s="718" t="e">
        <f>IF(ISNUMBER(G9),G9/Population!F8*10000,NA())</f>
        <v>#N/A</v>
      </c>
      <c r="O9" s="910" t="e">
        <f>IF(ISNUMBER(H9),H9/Population!G8*10000,NA())</f>
        <v>#N/A</v>
      </c>
      <c r="P9" s="397" t="e">
        <f t="shared" ref="P9:P32" si="0">IF(ISNA(VLOOKUP(B9,$AG$9:$AI$27,3,FALSE)),"--",IF(ISNUMBER(H9),VLOOKUP(B9,$AG$9:$AI$27,3,FALSE),NA()))</f>
        <v>#N/A</v>
      </c>
      <c r="Q9" s="70"/>
      <c r="R9" s="854">
        <f>IDACI!C9</f>
        <v>11</v>
      </c>
      <c r="S9" s="64"/>
      <c r="T9" s="196"/>
      <c r="U9" s="196"/>
      <c r="V9" s="139"/>
      <c r="W9" s="154"/>
      <c r="X9" s="170"/>
      <c r="Y9" s="72" t="str">
        <f t="shared" ref="Y9:Y32" si="1">B9</f>
        <v>Bracknell Forest</v>
      </c>
      <c r="Z9" s="235">
        <v>1</v>
      </c>
      <c r="AA9" s="236">
        <f>IF(D9&gt;0,Population!C8,"")</f>
        <v>27100</v>
      </c>
      <c r="AB9" s="236">
        <f>IF(E9&gt;0,Population!D8,"")</f>
        <v>27800</v>
      </c>
      <c r="AC9" s="236">
        <f>IF(F9&gt;0,Population!E8,"")</f>
        <v>28200</v>
      </c>
      <c r="AD9" s="236">
        <f>IF(G9&gt;0,Population!F8,"")</f>
        <v>28174</v>
      </c>
      <c r="AE9" s="236">
        <f>IF(H9&gt;0,Population!G8,"")</f>
        <v>28071</v>
      </c>
      <c r="AF9" s="217"/>
      <c r="AG9" s="112" t="s">
        <v>0</v>
      </c>
      <c r="AH9" s="262" t="str">
        <f>IFERROR(VLOOKUP(AG9,$B$9:$O$30,14,FALSE),"")</f>
        <v/>
      </c>
      <c r="AI9" s="237" t="e">
        <f t="shared" ref="AI9:AI27" si="2">RANK(AH9,$AH$9:$AH$27,1)</f>
        <v>#VALUE!</v>
      </c>
      <c r="AJ9" s="232"/>
      <c r="AK9" s="178"/>
    </row>
    <row r="10" spans="1:45" s="101" customFormat="1" ht="13.5" customHeight="1" x14ac:dyDescent="0.2">
      <c r="A10" s="533">
        <f>VLOOKUP(B10,Sheet1!$B$4:$C$25,2,FALSE)</f>
        <v>0</v>
      </c>
      <c r="B10" s="112" t="s">
        <v>32</v>
      </c>
      <c r="C10" s="97"/>
      <c r="D10" s="113">
        <f>IF(Year1_Brighton_Hove Year1_Adoption_PFA="","",Year1_Brighton_Hove Year1_Adoption_PFA)</f>
        <v>25</v>
      </c>
      <c r="E10" s="329">
        <f>IF(Year2_Brighton_Hove Year2_Adoption_PFA="","",Year2_Brighton_Hove Year2_Adoption_PFA)</f>
        <v>25</v>
      </c>
      <c r="F10" s="329">
        <f>IF(Year3_Brighton_Hove Year3_Adoption_PFA="","",Year3_Brighton_Hove Year3_Adoption_PFA)</f>
        <v>15</v>
      </c>
      <c r="G10" s="113">
        <f>IF(Year4_Brighton_Hove Year4_Adoption_PFA="","",Year4_Brighton_Hove Year4_Adoption_PFA)</f>
        <v>31</v>
      </c>
      <c r="H10" s="114">
        <f>IF(Year5_Brighton_Hove Year5_Adoption_PFA="","",Year5_Brighton_Hove Year5_Adoption_PFA)</f>
        <v>19</v>
      </c>
      <c r="I10" s="392">
        <f>IF(ISNUMBER(H10),(H10-E10)/E10,"")</f>
        <v>-0.24</v>
      </c>
      <c r="J10" s="115"/>
      <c r="K10" s="116">
        <f>IF(ISNUMBER(D10),D10/Population!C9*10000,NA())</f>
        <v>4.9504950495049505</v>
      </c>
      <c r="L10" s="116">
        <f>IF(ISNUMBER(E10),E10/Population!D9*10000,NA())</f>
        <v>4.9019607843137258</v>
      </c>
      <c r="M10" s="116">
        <f>IF(ISNUMBER(F10),F10/Population!E9*10000,NA())</f>
        <v>2.9296875</v>
      </c>
      <c r="N10" s="116">
        <f>IF(ISNUMBER(G10),G10/Population!F9*10000,NA())</f>
        <v>6.045123925040464</v>
      </c>
      <c r="O10" s="117">
        <f>IF(ISNUMBER(H10),H10/Population!G9*10000,NA())</f>
        <v>3.7268786410623562</v>
      </c>
      <c r="P10" s="397">
        <f t="shared" si="0"/>
        <v>11</v>
      </c>
      <c r="Q10" s="70"/>
      <c r="R10" s="854">
        <f>IDACI!C10</f>
        <v>18.3</v>
      </c>
      <c r="S10" s="64"/>
      <c r="T10" s="196"/>
      <c r="U10" s="196"/>
      <c r="V10" s="139"/>
      <c r="W10" s="154"/>
      <c r="X10" s="170"/>
      <c r="Y10" s="72" t="str">
        <f t="shared" si="1"/>
        <v>Brighton &amp; Hove</v>
      </c>
      <c r="Z10" s="235">
        <v>2</v>
      </c>
      <c r="AA10" s="236">
        <f>IF(D10&gt;0,Population!C9,"")</f>
        <v>50500</v>
      </c>
      <c r="AB10" s="236">
        <f>IF(E10&gt;0,Population!D9,"")</f>
        <v>51000</v>
      </c>
      <c r="AC10" s="236">
        <f>IF(F10&gt;0,Population!E9,"")</f>
        <v>51200</v>
      </c>
      <c r="AD10" s="236">
        <f>IF(G10&gt;0,Population!F9,"")</f>
        <v>51281</v>
      </c>
      <c r="AE10" s="236">
        <f>IF(H10&gt;0,Population!G9,"")</f>
        <v>50981</v>
      </c>
      <c r="AF10" s="217"/>
      <c r="AG10" s="112" t="s">
        <v>32</v>
      </c>
      <c r="AH10" s="262">
        <f t="shared" ref="AH10:AH27" si="3">IFERROR(VLOOKUP(AG10,$B$9:$O$30,14,FALSE),"")</f>
        <v>3.7268786410623562</v>
      </c>
      <c r="AI10" s="237">
        <f t="shared" si="2"/>
        <v>11</v>
      </c>
      <c r="AJ10" s="232"/>
      <c r="AK10" s="178"/>
    </row>
    <row r="11" spans="1:45" s="101" customFormat="1" ht="13.5" customHeight="1" x14ac:dyDescent="0.2">
      <c r="A11" s="533">
        <f>VLOOKUP(B11,Sheet1!$B$4:$C$25,2,FALSE)</f>
        <v>0</v>
      </c>
      <c r="B11" s="112" t="s">
        <v>9</v>
      </c>
      <c r="C11" s="97"/>
      <c r="D11" s="113">
        <f>IF(Year1_Buckinghamshire Year1_Adoption_PFA="","",Year1_Buckinghamshire Year1_Adoption_PFA)</f>
        <v>15</v>
      </c>
      <c r="E11" s="329">
        <f>IF(Year2_Buckinghamshire Year2_Adoption_PFA="","",Year2_Buckinghamshire Year2_Adoption_PFA)</f>
        <v>25</v>
      </c>
      <c r="F11" s="329">
        <f>IF(Year3_Buckinghamshire Year3_Adoption_PFA="","",Year3_Buckinghamshire Year3_Adoption_PFA)</f>
        <v>25</v>
      </c>
      <c r="G11" s="113">
        <f>IF(Year4_Buckinghamshire Year4_Adoption_PFA="","",Year4_Buckinghamshire Year4_Adoption_PFA)</f>
        <v>14</v>
      </c>
      <c r="H11" s="114">
        <f>IF(Year5_Buckinghamshire Year5_Adoption_PFA="","",Year5_Buckinghamshire Year5_Adoption_PFA)</f>
        <v>9</v>
      </c>
      <c r="I11" s="392">
        <f t="shared" ref="I11:I32" si="4">IF(ISNUMBER(H11),(H11-E11)/E11,"")</f>
        <v>-0.64</v>
      </c>
      <c r="J11" s="115"/>
      <c r="K11" s="116">
        <f>IF(ISNUMBER(D11),D11/Population!C10*10000,NA())</f>
        <v>1.2755102040816328</v>
      </c>
      <c r="L11" s="116">
        <f>IF(ISNUMBER(E11),E11/Population!D10*10000,NA())</f>
        <v>2.1026072329688814</v>
      </c>
      <c r="M11" s="116">
        <f>IF(ISNUMBER(F11),F11/Population!E10*10000,NA())</f>
        <v>2.0729684908789388</v>
      </c>
      <c r="N11" s="116">
        <f>IF(ISNUMBER(G11),G11/Population!F10*10000,NA())</f>
        <v>1.1456159731598543</v>
      </c>
      <c r="O11" s="117">
        <f>IF(ISNUMBER(H11),H11/Population!G10*10000,NA())</f>
        <v>0.73126142595978061</v>
      </c>
      <c r="P11" s="397">
        <f t="shared" si="0"/>
        <v>2</v>
      </c>
      <c r="Q11" s="70"/>
      <c r="R11" s="854">
        <f>IDACI!C11</f>
        <v>9.8000000000000007</v>
      </c>
      <c r="S11" s="64"/>
      <c r="T11" s="196"/>
      <c r="U11" s="196"/>
      <c r="V11" s="139"/>
      <c r="W11" s="154"/>
      <c r="X11" s="170"/>
      <c r="Y11" s="72" t="str">
        <f t="shared" si="1"/>
        <v>Buckinghamshire</v>
      </c>
      <c r="Z11" s="235">
        <v>3</v>
      </c>
      <c r="AA11" s="236">
        <f>IF(D11&gt;0,Population!C10,"")</f>
        <v>117600</v>
      </c>
      <c r="AB11" s="236">
        <f>IF(E11&gt;0,Population!D10,"")</f>
        <v>118900</v>
      </c>
      <c r="AC11" s="236">
        <f>IF(F11&gt;0,Population!E10,"")</f>
        <v>120600</v>
      </c>
      <c r="AD11" s="236">
        <f>IF(G11&gt;0,Population!F10,"")</f>
        <v>122205</v>
      </c>
      <c r="AE11" s="236">
        <f>IF(H11&gt;0,Population!G10,"")</f>
        <v>123075</v>
      </c>
      <c r="AF11" s="217"/>
      <c r="AG11" s="112" t="s">
        <v>9</v>
      </c>
      <c r="AH11" s="262">
        <f t="shared" si="3"/>
        <v>0.73126142595978061</v>
      </c>
      <c r="AI11" s="237">
        <f t="shared" si="2"/>
        <v>2</v>
      </c>
      <c r="AJ11" s="232"/>
      <c r="AK11" s="178"/>
    </row>
    <row r="12" spans="1:45" s="101" customFormat="1" ht="13.5" customHeight="1" x14ac:dyDescent="0.2">
      <c r="A12" s="533">
        <f>VLOOKUP(B12,Sheet1!$B$4:$C$25,2,FALSE)</f>
        <v>0</v>
      </c>
      <c r="B12" s="112" t="s">
        <v>4</v>
      </c>
      <c r="C12" s="97"/>
      <c r="D12" s="113">
        <f>IF(Year1_East_Sussex Year1_Adoption_PFA="","",Year1_East_Sussex Year1_Adoption_PFA)</f>
        <v>30</v>
      </c>
      <c r="E12" s="329">
        <f>IF(Year2_East_Sussex Year2_Adoption_PFA="","",Year2_East_Sussex Year2_Adoption_PFA)</f>
        <v>40</v>
      </c>
      <c r="F12" s="329">
        <f>IF(Year3_East_Sussex Year3_Adoption_PFA="","",Year3_East_Sussex Year3_Adoption_PFA)</f>
        <v>30</v>
      </c>
      <c r="G12" s="113">
        <f>IF(Year4_East_Sussex Year4_Adoption_PFA="","",Year4_East_Sussex Year4_Adoption_PFA)</f>
        <v>30</v>
      </c>
      <c r="H12" s="114">
        <f>IF(Year5_East_Sussex Year5_Adoption_PFA="","",Year5_East_Sussex Year5_Adoption_PFA)</f>
        <v>26</v>
      </c>
      <c r="I12" s="392">
        <f t="shared" si="4"/>
        <v>-0.35</v>
      </c>
      <c r="J12" s="115"/>
      <c r="K12" s="116">
        <f>IF(ISNUMBER(D12),D12/Population!C11*10000,NA())</f>
        <v>2.8625954198473282</v>
      </c>
      <c r="L12" s="116">
        <f>IF(ISNUMBER(E12),E12/Population!D11*10000,NA())</f>
        <v>3.795066413662239</v>
      </c>
      <c r="M12" s="116">
        <f>IF(ISNUMBER(F12),F12/Population!E11*10000,NA())</f>
        <v>2.8328611898016995</v>
      </c>
      <c r="N12" s="116">
        <f>IF(ISNUMBER(G12),G12/Population!F11*10000,NA())</f>
        <v>2.8322460655381736</v>
      </c>
      <c r="O12" s="117">
        <f>IF(ISNUMBER(H12),H12/Population!G11*10000,NA())</f>
        <v>2.4517893347163939</v>
      </c>
      <c r="P12" s="397">
        <f t="shared" si="0"/>
        <v>8</v>
      </c>
      <c r="Q12" s="70"/>
      <c r="R12" s="854">
        <f>IDACI!C12</f>
        <v>17.399999999999999</v>
      </c>
      <c r="S12" s="64"/>
      <c r="T12" s="64"/>
      <c r="U12" s="64"/>
      <c r="V12" s="139"/>
      <c r="W12" s="154"/>
      <c r="X12" s="170"/>
      <c r="Y12" s="72" t="str">
        <f t="shared" si="1"/>
        <v>East Sussex</v>
      </c>
      <c r="Z12" s="235">
        <v>4</v>
      </c>
      <c r="AA12" s="236">
        <f>IF(D12&gt;0,Population!C11,"")</f>
        <v>104800</v>
      </c>
      <c r="AB12" s="236">
        <f>IF(E12&gt;0,Population!D11,"")</f>
        <v>105400</v>
      </c>
      <c r="AC12" s="236">
        <f>IF(F12&gt;0,Population!E11,"")</f>
        <v>105900</v>
      </c>
      <c r="AD12" s="236">
        <f>IF(G12&gt;0,Population!F11,"")</f>
        <v>105923</v>
      </c>
      <c r="AE12" s="236">
        <f>IF(H12&gt;0,Population!G11,"")</f>
        <v>106045</v>
      </c>
      <c r="AF12" s="217"/>
      <c r="AG12" s="112" t="s">
        <v>4</v>
      </c>
      <c r="AH12" s="262">
        <f t="shared" si="3"/>
        <v>2.4517893347163939</v>
      </c>
      <c r="AI12" s="237">
        <f t="shared" si="2"/>
        <v>8</v>
      </c>
      <c r="AJ12" s="232"/>
      <c r="AK12" s="178"/>
    </row>
    <row r="13" spans="1:45" s="101" customFormat="1" ht="13.5" customHeight="1" x14ac:dyDescent="0.2">
      <c r="A13" s="533">
        <f>VLOOKUP(B13,Sheet1!$B$4:$C$25,2,FALSE)</f>
        <v>0</v>
      </c>
      <c r="B13" s="112" t="s">
        <v>6</v>
      </c>
      <c r="C13" s="97"/>
      <c r="D13" s="113">
        <f>IF(Year1_Hampshire Year1_Adoption_PFA="","",Year1_Hampshire Year1_Adoption_PFA)</f>
        <v>60</v>
      </c>
      <c r="E13" s="329">
        <f>IF(Year2_Hampshire Year2_Adoption_PFA="","",Year2_Hampshire Year2_Adoption_PFA)</f>
        <v>70</v>
      </c>
      <c r="F13" s="542">
        <f>IF(Year3_Hampshire Year3_Adoption_PFA="","",Year3_Hampshire Year3_Adoption_PFA)</f>
        <v>60</v>
      </c>
      <c r="G13" s="119">
        <f>IF(Year4_Hampshire Year4_Adoption_PFA="","",Year4_Hampshire Year4_Adoption_PFA)</f>
        <v>41</v>
      </c>
      <c r="H13" s="114">
        <f>IF(Year5_Hampshire Year5_Adoption_PFA="","",Year5_Hampshire Year5_Adoption_PFA)</f>
        <v>55</v>
      </c>
      <c r="I13" s="392">
        <f t="shared" si="4"/>
        <v>-0.21428571428571427</v>
      </c>
      <c r="J13" s="115"/>
      <c r="K13" s="116">
        <f>IF(ISNUMBER(D13),D13/Population!C12*10000,NA())</f>
        <v>2.1284143313231643</v>
      </c>
      <c r="L13" s="116">
        <f>IF(ISNUMBER(E13),E13/Population!D12*10000,NA())</f>
        <v>2.4866785079928952</v>
      </c>
      <c r="M13" s="116">
        <f>IF(ISNUMBER(F13),F13/Population!E12*10000,NA())</f>
        <v>2.1284143313231643</v>
      </c>
      <c r="N13" s="116">
        <f>IF(ISNUMBER(G13),G13/Population!F12*10000,NA())</f>
        <v>1.4498339763288082</v>
      </c>
      <c r="O13" s="117">
        <f>IF(ISNUMBER(H13),H13/Population!G12*10000,NA())</f>
        <v>1.941308936374482</v>
      </c>
      <c r="P13" s="397">
        <f t="shared" si="0"/>
        <v>6</v>
      </c>
      <c r="Q13" s="70"/>
      <c r="R13" s="854">
        <f>IDACI!C13</f>
        <v>11.799999999999999</v>
      </c>
      <c r="S13" s="64"/>
      <c r="T13" s="64"/>
      <c r="U13" s="64"/>
      <c r="V13" s="139"/>
      <c r="W13" s="154"/>
      <c r="X13" s="170"/>
      <c r="Y13" s="72" t="str">
        <f t="shared" si="1"/>
        <v>Hampshire</v>
      </c>
      <c r="Z13" s="235">
        <v>5</v>
      </c>
      <c r="AA13" s="236">
        <f>IF(D13&gt;0,Population!C12,"")</f>
        <v>281900</v>
      </c>
      <c r="AB13" s="236">
        <f>IF(E13&gt;0,Population!D12,"")</f>
        <v>281500</v>
      </c>
      <c r="AC13" s="236">
        <f>IF(F13&gt;0,Population!E12,"")</f>
        <v>281900</v>
      </c>
      <c r="AD13" s="236">
        <f>IF(G13&gt;0,Population!F12,"")</f>
        <v>282791</v>
      </c>
      <c r="AE13" s="236">
        <f>IF(H13&gt;0,Population!G12,"")</f>
        <v>283314</v>
      </c>
      <c r="AF13" s="217"/>
      <c r="AG13" s="112" t="s">
        <v>6</v>
      </c>
      <c r="AH13" s="262">
        <f t="shared" si="3"/>
        <v>1.941308936374482</v>
      </c>
      <c r="AI13" s="237">
        <f t="shared" si="2"/>
        <v>6</v>
      </c>
      <c r="AJ13" s="232"/>
      <c r="AK13" s="178"/>
    </row>
    <row r="14" spans="1:45" s="101" customFormat="1" ht="13.5" customHeight="1" x14ac:dyDescent="0.2">
      <c r="A14" s="533">
        <f>VLOOKUP(B14,Sheet1!$B$4:$C$25,2,FALSE)</f>
        <v>0</v>
      </c>
      <c r="B14" s="112" t="s">
        <v>1</v>
      </c>
      <c r="C14" s="97"/>
      <c r="D14" s="479" t="str">
        <f>IF(Year1_Isle_of_Wight Year1_Adoption_PFA="","",Year1_Isle_of_Wight Year1_Adoption_PFA)</f>
        <v>x</v>
      </c>
      <c r="E14" s="329">
        <f>IF(Year2_Isle_of_Wight Year2_Adoption_PFA="","",Year2_Isle_of_Wight Year2_Adoption_PFA)</f>
        <v>10</v>
      </c>
      <c r="F14" s="479" t="str">
        <f>IF(Year3_Isle_of_Wight Year3_Adoption_PFA="","",Year3_Isle_of_Wight Year3_Adoption_PFA)</f>
        <v>x</v>
      </c>
      <c r="G14" s="113">
        <f>IF(Year4_Isle_of_Wight Year4_Adoption_PFA="","",Year4_Isle_of_Wight Year4_Adoption_PFA)</f>
        <v>10</v>
      </c>
      <c r="H14" s="909" t="str">
        <f>IF(Year5_Isle_of_Wight Year5_Adoption_PFA="","",Year5_Isle_of_Wight Year5_Adoption_PFA)</f>
        <v>x</v>
      </c>
      <c r="I14" s="392" t="str">
        <f t="shared" si="4"/>
        <v/>
      </c>
      <c r="J14" s="115"/>
      <c r="K14" s="718" t="e">
        <f>IF(ISNUMBER(D14),D14/Population!C13*10000,NA())</f>
        <v>#N/A</v>
      </c>
      <c r="L14" s="116">
        <f>IF(ISNUMBER(E14),E14/Population!D13*10000,NA())</f>
        <v>3.9215686274509802</v>
      </c>
      <c r="M14" s="718" t="e">
        <f>IF(ISNUMBER(F14),F14/Population!E13*10000,NA())</f>
        <v>#N/A</v>
      </c>
      <c r="N14" s="116">
        <f>IF(ISNUMBER(G14),G14/Population!F13*10000,NA())</f>
        <v>3.9682539682539684</v>
      </c>
      <c r="O14" s="910" t="e">
        <f>IF(ISNUMBER(H14),H14/Population!G13*10000,NA())</f>
        <v>#N/A</v>
      </c>
      <c r="P14" s="397" t="e">
        <f t="shared" si="0"/>
        <v>#N/A</v>
      </c>
      <c r="Q14" s="70"/>
      <c r="R14" s="854">
        <f>IDACI!C14</f>
        <v>20.399999999999999</v>
      </c>
      <c r="S14" s="64"/>
      <c r="T14" s="64"/>
      <c r="U14" s="64"/>
      <c r="V14" s="139"/>
      <c r="W14" s="154"/>
      <c r="X14" s="170"/>
      <c r="Y14" s="72" t="str">
        <f t="shared" si="1"/>
        <v>Isle of Wight</v>
      </c>
      <c r="Z14" s="235">
        <v>6</v>
      </c>
      <c r="AA14" s="236">
        <f>IF(D14&gt;0,Population!C13,"")</f>
        <v>25800</v>
      </c>
      <c r="AB14" s="236">
        <f>IF(E14&gt;0,Population!D13,"")</f>
        <v>25500</v>
      </c>
      <c r="AC14" s="236">
        <f>IF(F14&gt;0,Population!E13,"")</f>
        <v>25300</v>
      </c>
      <c r="AD14" s="236">
        <f>IF(G14&gt;0,Population!F13,"")</f>
        <v>25200</v>
      </c>
      <c r="AE14" s="236">
        <f>IF(H14&gt;0,Population!G13,"")</f>
        <v>25055</v>
      </c>
      <c r="AF14" s="217"/>
      <c r="AG14" s="112" t="s">
        <v>1</v>
      </c>
      <c r="AH14" s="262" t="str">
        <f t="shared" si="3"/>
        <v/>
      </c>
      <c r="AI14" s="237" t="e">
        <f t="shared" si="2"/>
        <v>#VALUE!</v>
      </c>
      <c r="AJ14" s="232"/>
      <c r="AK14" s="178"/>
      <c r="AS14" s="101" t="s">
        <v>104</v>
      </c>
    </row>
    <row r="15" spans="1:45" s="101" customFormat="1" ht="13.5" customHeight="1" x14ac:dyDescent="0.2">
      <c r="A15" s="533">
        <f>VLOOKUP(B15,Sheet1!$B$4:$C$25,2,FALSE)</f>
        <v>0</v>
      </c>
      <c r="B15" s="112" t="s">
        <v>10</v>
      </c>
      <c r="C15" s="97"/>
      <c r="D15" s="113">
        <f>IF(Year1_Kent Year1_Adoption_PFA="","",Year1_Kent Year1_Adoption_PFA)</f>
        <v>115</v>
      </c>
      <c r="E15" s="329">
        <f>IF(Year2_Kent Year2_Adoption_PFA="","",Year2_Kent Year2_Adoption_PFA)</f>
        <v>70</v>
      </c>
      <c r="F15" s="113">
        <f>IF(Year3_Kent Year3_Adoption_PFA="","",Year3_Kent Year3_Adoption_PFA)</f>
        <v>50</v>
      </c>
      <c r="G15" s="113">
        <f>IF(Year4_Kent Year4_Adoption_PFA="","",Year4_Kent Year4_Adoption_PFA)</f>
        <v>55</v>
      </c>
      <c r="H15" s="114">
        <f>IF(Year5_Kent Year5_Adoption_PFA="","",Year5_Kent Year5_Adoption_PFA)</f>
        <v>56</v>
      </c>
      <c r="I15" s="392">
        <f t="shared" si="4"/>
        <v>-0.2</v>
      </c>
      <c r="J15" s="115"/>
      <c r="K15" s="116">
        <f>IF(ISNUMBER(D15),D15/Population!C14*10000,NA())</f>
        <v>3.5319410319410318</v>
      </c>
      <c r="L15" s="116">
        <f>IF(ISNUMBER(E15),E15/Population!D14*10000,NA())</f>
        <v>2.1321961620469083</v>
      </c>
      <c r="M15" s="116">
        <f>IF(ISNUMBER(F15),F15/Population!E14*10000,NA())</f>
        <v>1.513317191283293</v>
      </c>
      <c r="N15" s="116">
        <f>IF(ISNUMBER(G15),G15/Population!F14*10000,NA())</f>
        <v>1.6514284856400787</v>
      </c>
      <c r="O15" s="117">
        <f>IF(ISNUMBER(H15),H15/Population!G14*10000,NA())</f>
        <v>1.6662203576422983</v>
      </c>
      <c r="P15" s="397">
        <f t="shared" si="0"/>
        <v>4</v>
      </c>
      <c r="Q15" s="70"/>
      <c r="R15" s="854">
        <f>IDACI!C15</f>
        <v>17.8</v>
      </c>
      <c r="S15" s="64"/>
      <c r="T15" s="64"/>
      <c r="U15" s="64"/>
      <c r="V15" s="139"/>
      <c r="W15" s="154"/>
      <c r="X15" s="170"/>
      <c r="Y15" s="72" t="str">
        <f t="shared" si="1"/>
        <v>Kent</v>
      </c>
      <c r="Z15" s="235">
        <v>7</v>
      </c>
      <c r="AA15" s="236">
        <f>IF(D15&gt;0,Population!C14,"")</f>
        <v>325600</v>
      </c>
      <c r="AB15" s="236">
        <f>IF(E15&gt;0,Population!D14,"")</f>
        <v>328300</v>
      </c>
      <c r="AC15" s="236">
        <f>IF(F15&gt;0,Population!E14,"")</f>
        <v>330400</v>
      </c>
      <c r="AD15" s="236">
        <f>IF(G15&gt;0,Population!F14,"")</f>
        <v>333045</v>
      </c>
      <c r="AE15" s="236">
        <f>IF(H15&gt;0,Population!G14,"")</f>
        <v>336090</v>
      </c>
      <c r="AF15" s="217"/>
      <c r="AG15" s="112" t="s">
        <v>10</v>
      </c>
      <c r="AH15" s="262">
        <f t="shared" si="3"/>
        <v>1.6662203576422983</v>
      </c>
      <c r="AI15" s="237">
        <f t="shared" si="2"/>
        <v>4</v>
      </c>
      <c r="AJ15" s="232"/>
      <c r="AK15" s="178"/>
    </row>
    <row r="16" spans="1:45" s="101" customFormat="1" ht="13.5" customHeight="1" x14ac:dyDescent="0.2">
      <c r="A16" s="533">
        <f>VLOOKUP(B16,Sheet1!$B$4:$C$25,2,FALSE)</f>
        <v>0</v>
      </c>
      <c r="B16" s="112" t="s">
        <v>2</v>
      </c>
      <c r="C16" s="97"/>
      <c r="D16" s="113">
        <f>IF(Year1_Medway Year1_Adoption_PFA="","",Year1_Medway Year1_Adoption_PFA)</f>
        <v>40</v>
      </c>
      <c r="E16" s="329">
        <f>IF(Year2_Medway Year2_Adoption_PFA="","",Year2_Medway Year2_Adoption_PFA)</f>
        <v>20</v>
      </c>
      <c r="F16" s="329">
        <f>IF(Year3_Medway Year3_Adoption_PFA="","",Year3_Medway Year3_Adoption_PFA)</f>
        <v>25</v>
      </c>
      <c r="G16" s="329">
        <f>IF(Year4_Medway Year4_Adoption_PFA="","",Year4_Medway Year4_Adoption_PFA)</f>
        <v>36</v>
      </c>
      <c r="H16" s="330">
        <f>IF(Year5_Medway Year5_Adoption_PFA="","",Year5_Medway Year5_Adoption_PFA)</f>
        <v>23</v>
      </c>
      <c r="I16" s="392">
        <f t="shared" si="4"/>
        <v>0.15</v>
      </c>
      <c r="J16" s="115"/>
      <c r="K16" s="116">
        <f>IF(ISNUMBER(D16),D16/Population!C15*10000,NA())</f>
        <v>6.4935064935064934</v>
      </c>
      <c r="L16" s="116">
        <f>IF(ISNUMBER(E16),E16/Population!D15*10000,NA())</f>
        <v>3.2</v>
      </c>
      <c r="M16" s="116">
        <f>IF(ISNUMBER(F16),F16/Population!E15*10000,NA())</f>
        <v>3.9556962025316453</v>
      </c>
      <c r="N16" s="116">
        <f>IF(ISNUMBER(G16),G16/Population!F15*10000,NA())</f>
        <v>5.6517575396015509</v>
      </c>
      <c r="O16" s="117">
        <f>IF(ISNUMBER(H16),H16/Population!G15*10000,NA())</f>
        <v>3.596953536743662</v>
      </c>
      <c r="P16" s="397">
        <f t="shared" si="0"/>
        <v>10</v>
      </c>
      <c r="Q16" s="70"/>
      <c r="R16" s="854">
        <f>IDACI!C16</f>
        <v>22</v>
      </c>
      <c r="S16" s="64"/>
      <c r="T16" s="64"/>
      <c r="U16" s="64"/>
      <c r="V16" s="139"/>
      <c r="W16" s="154"/>
      <c r="X16" s="170"/>
      <c r="Y16" s="72" t="str">
        <f t="shared" si="1"/>
        <v>Medway</v>
      </c>
      <c r="Z16" s="235">
        <v>8</v>
      </c>
      <c r="AA16" s="236">
        <f>IF(D16&gt;0,Population!C15,"")</f>
        <v>61600</v>
      </c>
      <c r="AB16" s="236">
        <f>IF(E16&gt;0,Population!D15,"")</f>
        <v>62500</v>
      </c>
      <c r="AC16" s="236">
        <f>IF(F16&gt;0,Population!E15,"")</f>
        <v>63200</v>
      </c>
      <c r="AD16" s="236">
        <f>IF(G16&gt;0,Population!F15,"")</f>
        <v>63697</v>
      </c>
      <c r="AE16" s="236">
        <f>IF(H16&gt;0,Population!G15,"")</f>
        <v>63943</v>
      </c>
      <c r="AF16" s="217"/>
      <c r="AG16" s="112" t="s">
        <v>2</v>
      </c>
      <c r="AH16" s="262">
        <f t="shared" si="3"/>
        <v>3.596953536743662</v>
      </c>
      <c r="AI16" s="237">
        <f t="shared" si="2"/>
        <v>10</v>
      </c>
      <c r="AJ16" s="232"/>
      <c r="AK16" s="178"/>
    </row>
    <row r="17" spans="1:37" s="101" customFormat="1" ht="13.5" customHeight="1" x14ac:dyDescent="0.2">
      <c r="A17" s="533">
        <f>VLOOKUP(B17,Sheet1!$B$4:$C$25,2,FALSE)</f>
        <v>0</v>
      </c>
      <c r="B17" s="112" t="s">
        <v>11</v>
      </c>
      <c r="C17" s="97"/>
      <c r="D17" s="113">
        <f>IF(Year1_Milton_Keynes Year1_Adoption_PFA="","",Year1_Milton_Keynes Year1_Adoption_PFA)</f>
        <v>10</v>
      </c>
      <c r="E17" s="329">
        <f>IF(Year2_Milton_Keynes Year2_Adoption_PFA="","",Year2_Milton_Keynes Year2_Adoption_PFA)</f>
        <v>10</v>
      </c>
      <c r="F17" s="479" t="str">
        <f>IF(Year3_Milton_Keynes Year3_Adoption_PFA="","",Year3_Milton_Keynes Year3_Adoption_PFA)</f>
        <v>x</v>
      </c>
      <c r="G17" s="113">
        <f>IF(Year4_Milton_Keynes Year4_Adoption_PFA="","",Year4_Milton_Keynes Year4_Adoption_PFA)</f>
        <v>6</v>
      </c>
      <c r="H17" s="909" t="str">
        <f>IF(Year5_Milton_Keynes Year5_Adoption_PFA="","",Year5_Milton_Keynes Year5_Adoption_PFA)</f>
        <v>x</v>
      </c>
      <c r="I17" s="392" t="str">
        <f t="shared" si="4"/>
        <v/>
      </c>
      <c r="J17" s="115"/>
      <c r="K17" s="116">
        <f>IF(ISNUMBER(D17),D17/Population!C16*10000,NA())</f>
        <v>1.5625</v>
      </c>
      <c r="L17" s="116">
        <f>IF(ISNUMBER(E17),E17/Population!D16*10000,NA())</f>
        <v>1.5337423312883436</v>
      </c>
      <c r="M17" s="718" t="e">
        <f>IF(ISNUMBER(F17),F17/Population!E16*10000,NA())</f>
        <v>#N/A</v>
      </c>
      <c r="N17" s="116">
        <f>IF(ISNUMBER(G17),G17/Population!F16*10000,NA())</f>
        <v>0.8935751943526048</v>
      </c>
      <c r="O17" s="910" t="e">
        <f>IF(ISNUMBER(H17),H17/Population!G16*10000,NA())</f>
        <v>#N/A</v>
      </c>
      <c r="P17" s="397" t="e">
        <f t="shared" si="0"/>
        <v>#N/A</v>
      </c>
      <c r="Q17" s="70"/>
      <c r="R17" s="854">
        <f>IDACI!C17</f>
        <v>19.7</v>
      </c>
      <c r="S17" s="64"/>
      <c r="T17" s="64"/>
      <c r="U17" s="64"/>
      <c r="V17" s="139"/>
      <c r="W17" s="154"/>
      <c r="X17" s="170"/>
      <c r="Y17" s="72" t="str">
        <f t="shared" si="1"/>
        <v>Milton Keynes</v>
      </c>
      <c r="Z17" s="235">
        <v>9</v>
      </c>
      <c r="AA17" s="236">
        <f>IF(D17&gt;0,Population!C16,"")</f>
        <v>64000</v>
      </c>
      <c r="AB17" s="236">
        <f>IF(E17&gt;0,Population!D16,"")</f>
        <v>65200</v>
      </c>
      <c r="AC17" s="236">
        <f>IF(F17&gt;0,Population!E16,"")</f>
        <v>66100</v>
      </c>
      <c r="AD17" s="236">
        <f>IF(G17&gt;0,Population!F16,"")</f>
        <v>67146</v>
      </c>
      <c r="AE17" s="236">
        <f>IF(H17&gt;0,Population!G16,"")</f>
        <v>67647</v>
      </c>
      <c r="AF17" s="217"/>
      <c r="AG17" s="112" t="s">
        <v>11</v>
      </c>
      <c r="AH17" s="262" t="str">
        <f t="shared" si="3"/>
        <v/>
      </c>
      <c r="AI17" s="237" t="e">
        <f t="shared" si="2"/>
        <v>#VALUE!</v>
      </c>
      <c r="AJ17" s="232"/>
      <c r="AK17" s="178"/>
    </row>
    <row r="18" spans="1:37" s="101" customFormat="1" ht="13.5" customHeight="1" x14ac:dyDescent="0.2">
      <c r="A18" s="533">
        <f>VLOOKUP(B18,Sheet1!$B$4:$C$25,2,FALSE)</f>
        <v>0</v>
      </c>
      <c r="B18" s="112" t="s">
        <v>12</v>
      </c>
      <c r="C18" s="97"/>
      <c r="D18" s="113">
        <f>IF(Year1_Oxfordshire Year1_Adoption_PFA="","",Year1_Oxfordshire Year1_Adoption_PFA)</f>
        <v>20</v>
      </c>
      <c r="E18" s="329">
        <f>IF(Year2_Oxfordshire Year2_Adoption_PFA="","",Year2_Oxfordshire Year2_Adoption_PFA)</f>
        <v>30</v>
      </c>
      <c r="F18" s="113">
        <f>IF(Year3_Oxfordshire Year3_Adoption_PFA="","",Year3_Oxfordshire Year3_Adoption_PFA)</f>
        <v>20</v>
      </c>
      <c r="G18" s="113">
        <f>IF(Year4_Oxfordshire Year4_Adoption_PFA="","",Year4_Oxfordshire Year4_Adoption_PFA)</f>
        <v>27</v>
      </c>
      <c r="H18" s="114">
        <f>IF(Year5_Oxfordshire Year5_Adoption_PFA="","",Year5_Oxfordshire Year5_Adoption_PFA)</f>
        <v>19</v>
      </c>
      <c r="I18" s="392">
        <f t="shared" si="4"/>
        <v>-0.36666666666666664</v>
      </c>
      <c r="J18" s="115"/>
      <c r="K18" s="116">
        <f>IF(ISNUMBER(D18),D18/Population!C17*10000,NA())</f>
        <v>1.4255167498218104</v>
      </c>
      <c r="L18" s="116">
        <f>IF(ISNUMBER(E18),E18/Population!D17*10000,NA())</f>
        <v>2.1246458923512748</v>
      </c>
      <c r="M18" s="116">
        <f>IF(ISNUMBER(F18),F18/Population!E17*10000,NA())</f>
        <v>1.4104372355430184</v>
      </c>
      <c r="N18" s="116">
        <f>IF(ISNUMBER(G18),G18/Population!F17*10000,NA())</f>
        <v>1.889472837078455</v>
      </c>
      <c r="O18" s="117">
        <f>IF(ISNUMBER(H18),H18/Population!G17*10000,NA())</f>
        <v>1.3245587128077856</v>
      </c>
      <c r="P18" s="397">
        <f t="shared" si="0"/>
        <v>3</v>
      </c>
      <c r="Q18" s="70"/>
      <c r="R18" s="854">
        <f>IDACI!C18</f>
        <v>11.799999999999999</v>
      </c>
      <c r="S18" s="64"/>
      <c r="T18" s="857" t="s">
        <v>73</v>
      </c>
      <c r="U18" s="858" t="e">
        <v>#N/A</v>
      </c>
      <c r="V18" s="139"/>
      <c r="W18" s="154"/>
      <c r="X18" s="170"/>
      <c r="Y18" s="72" t="str">
        <f t="shared" si="1"/>
        <v>Oxfordshire</v>
      </c>
      <c r="Z18" s="235">
        <v>10</v>
      </c>
      <c r="AA18" s="236">
        <f>IF(D18&gt;0,Population!C17,"")</f>
        <v>140300</v>
      </c>
      <c r="AB18" s="236">
        <f>IF(E18&gt;0,Population!D17,"")</f>
        <v>141200</v>
      </c>
      <c r="AC18" s="236">
        <f>IF(F18&gt;0,Population!E17,"")</f>
        <v>141800</v>
      </c>
      <c r="AD18" s="236">
        <f>IF(G18&gt;0,Population!F17,"")</f>
        <v>142897</v>
      </c>
      <c r="AE18" s="236">
        <f>IF(H18&gt;0,Population!G17,"")</f>
        <v>143444</v>
      </c>
      <c r="AF18" s="217"/>
      <c r="AG18" s="112" t="s">
        <v>12</v>
      </c>
      <c r="AH18" s="262">
        <f t="shared" si="3"/>
        <v>1.3245587128077856</v>
      </c>
      <c r="AI18" s="237">
        <f t="shared" si="2"/>
        <v>3</v>
      </c>
      <c r="AJ18" s="232"/>
      <c r="AK18" s="178"/>
    </row>
    <row r="19" spans="1:37" s="101" customFormat="1" ht="13.5" customHeight="1" x14ac:dyDescent="0.2">
      <c r="A19" s="533">
        <f>VLOOKUP(B19,Sheet1!$B$4:$C$25,2,FALSE)</f>
        <v>0</v>
      </c>
      <c r="B19" s="112" t="s">
        <v>13</v>
      </c>
      <c r="C19" s="97"/>
      <c r="D19" s="113">
        <f>IF(Year1_Portsmouth Year1_Adoption_PFA="","",Year1_Portsmouth Year1_Adoption_PFA)</f>
        <v>20</v>
      </c>
      <c r="E19" s="113">
        <f>IF(Year2_Portsmouth Year2_Adoption_PFA="","",Year2_Portsmouth Year2_Adoption_PFA)</f>
        <v>15</v>
      </c>
      <c r="F19" s="113">
        <f>IF(Year3_Portsmouth Year3_Adoption_PFA="","",Year3_Portsmouth Year3_Adoption_PFA)</f>
        <v>20</v>
      </c>
      <c r="G19" s="479" t="str">
        <f>IF(Year4_Portsmouth Year4_Adoption_PFA="","",Year4_Portsmouth Year4_Adoption_PFA)</f>
        <v>x</v>
      </c>
      <c r="H19" s="909" t="str">
        <f>IF(Year5_Portsmouth Year5_Adoption_PFA="","",Year5_Portsmouth Year5_Adoption_PFA)</f>
        <v>x</v>
      </c>
      <c r="I19" s="392" t="str">
        <f t="shared" si="4"/>
        <v/>
      </c>
      <c r="J19" s="115"/>
      <c r="K19" s="116">
        <f>IF(ISNUMBER(D19),D19/Population!C18*10000,NA())</f>
        <v>4.694835680751174</v>
      </c>
      <c r="L19" s="116">
        <f>IF(ISNUMBER(E19),E19/Population!D18*10000,NA())</f>
        <v>3.4562211981566819</v>
      </c>
      <c r="M19" s="116">
        <f>IF(ISNUMBER(F19),F19/Population!E18*10000,NA())</f>
        <v>4.5662100456621006</v>
      </c>
      <c r="N19" s="718" t="e">
        <f>IF(ISNUMBER(G19),G19/Population!F18*10000,NA())</f>
        <v>#N/A</v>
      </c>
      <c r="O19" s="910" t="e">
        <f>IF(ISNUMBER(H19),H19/Population!G18*10000,NA())</f>
        <v>#N/A</v>
      </c>
      <c r="P19" s="397" t="e">
        <f t="shared" si="0"/>
        <v>#N/A</v>
      </c>
      <c r="Q19" s="70"/>
      <c r="R19" s="854">
        <f>IDACI!C19</f>
        <v>23.799999999999997</v>
      </c>
      <c r="S19" s="64"/>
      <c r="T19" s="1127" t="s">
        <v>869</v>
      </c>
      <c r="U19" s="1127"/>
      <c r="V19" s="139"/>
      <c r="W19" s="154"/>
      <c r="X19" s="170"/>
      <c r="Y19" s="72" t="str">
        <f t="shared" si="1"/>
        <v>Portsmouth</v>
      </c>
      <c r="Z19" s="235">
        <v>11</v>
      </c>
      <c r="AA19" s="236">
        <f>IF(D19&gt;0,Population!C18,"")</f>
        <v>42600</v>
      </c>
      <c r="AB19" s="236">
        <f>IF(E19&gt;0,Population!D18,"")</f>
        <v>43400</v>
      </c>
      <c r="AC19" s="236">
        <f>IF(F19&gt;0,Population!E18,"")</f>
        <v>43800</v>
      </c>
      <c r="AD19" s="236">
        <f>IF(G19&gt;0,Population!F18,"")</f>
        <v>44000</v>
      </c>
      <c r="AE19" s="236">
        <f>IF(H19&gt;0,Population!G18,"")</f>
        <v>44192</v>
      </c>
      <c r="AF19" s="217"/>
      <c r="AG19" s="112" t="s">
        <v>13</v>
      </c>
      <c r="AH19" s="262" t="str">
        <f t="shared" si="3"/>
        <v/>
      </c>
      <c r="AI19" s="237" t="e">
        <f t="shared" si="2"/>
        <v>#VALUE!</v>
      </c>
      <c r="AJ19" s="232"/>
      <c r="AK19" s="178"/>
    </row>
    <row r="20" spans="1:37" s="101" customFormat="1" ht="13.5" customHeight="1" x14ac:dyDescent="0.2">
      <c r="A20" s="533">
        <f>VLOOKUP(B20,Sheet1!$B$4:$C$25,2,FALSE)</f>
        <v>0</v>
      </c>
      <c r="B20" s="112" t="s">
        <v>3</v>
      </c>
      <c r="C20" s="97"/>
      <c r="D20" s="113">
        <f>IF(Year1_Reading Year1_Adoption_PFA="","",Year1_Reading Year1_Adoption_PFA)</f>
        <v>15</v>
      </c>
      <c r="E20" s="113">
        <f>IF(Year2_Reading Year2_Adoption_PFA="","",Year2_Reading Year2_Adoption_PFA)</f>
        <v>20</v>
      </c>
      <c r="F20" s="113">
        <f>IF(Year3_Reading Year3_Adoption_PFA="","",Year3_Reading Year3_Adoption_PFA)</f>
        <v>5</v>
      </c>
      <c r="G20" s="479" t="str">
        <f>IF(Year4_Reading Year4_Adoption_PFA="","",Year4_Reading Year4_Adoption_PFA)</f>
        <v>x</v>
      </c>
      <c r="H20" s="114">
        <f>IF(Year5_Reading Year5_Adoption_PFA="","",Year5_Reading Year5_Adoption_PFA)</f>
        <v>12</v>
      </c>
      <c r="I20" s="392">
        <f t="shared" si="4"/>
        <v>-0.4</v>
      </c>
      <c r="J20" s="115"/>
      <c r="K20" s="116">
        <f>IF(ISNUMBER(D20),D20/Population!C19*10000,NA())</f>
        <v>4.3227665706051877</v>
      </c>
      <c r="L20" s="116">
        <f>IF(ISNUMBER(E20),E20/Population!D19*10000,NA())</f>
        <v>5.5710306406685239</v>
      </c>
      <c r="M20" s="116">
        <f>IF(ISNUMBER(F20),F20/Population!E19*10000,NA())</f>
        <v>1.3736263736263736</v>
      </c>
      <c r="N20" s="718" t="e">
        <f>IF(ISNUMBER(G20),G20/Population!F19*10000,NA())</f>
        <v>#N/A</v>
      </c>
      <c r="O20" s="117">
        <f>IF(ISNUMBER(H20),H20/Population!G19*10000,NA())</f>
        <v>3.2351117461515648</v>
      </c>
      <c r="P20" s="397">
        <f t="shared" si="0"/>
        <v>9</v>
      </c>
      <c r="Q20" s="70"/>
      <c r="R20" s="854">
        <f>IDACI!C20</f>
        <v>19.8</v>
      </c>
      <c r="S20" s="64"/>
      <c r="T20" s="1127"/>
      <c r="U20" s="1127"/>
      <c r="V20" s="139"/>
      <c r="W20" s="154"/>
      <c r="X20" s="170"/>
      <c r="Y20" s="72" t="str">
        <f t="shared" si="1"/>
        <v>Reading</v>
      </c>
      <c r="Z20" s="235">
        <v>12</v>
      </c>
      <c r="AA20" s="236">
        <f>IF(D20&gt;0,Population!C19,"")</f>
        <v>34700</v>
      </c>
      <c r="AB20" s="236">
        <f>IF(E20&gt;0,Population!D19,"")</f>
        <v>35900</v>
      </c>
      <c r="AC20" s="236">
        <f>IF(F20&gt;0,Population!E19,"")</f>
        <v>36400</v>
      </c>
      <c r="AD20" s="236">
        <f>IF(G20&gt;0,Population!F19,"")</f>
        <v>36641</v>
      </c>
      <c r="AE20" s="236">
        <f>IF(H20&gt;0,Population!G19,"")</f>
        <v>37093</v>
      </c>
      <c r="AF20" s="217"/>
      <c r="AG20" s="112" t="s">
        <v>3</v>
      </c>
      <c r="AH20" s="262">
        <f t="shared" si="3"/>
        <v>3.2351117461515648</v>
      </c>
      <c r="AI20" s="237">
        <f t="shared" si="2"/>
        <v>9</v>
      </c>
      <c r="AJ20" s="232"/>
      <c r="AK20" s="178"/>
    </row>
    <row r="21" spans="1:37" s="101" customFormat="1" ht="13.5" customHeight="1" x14ac:dyDescent="0.2">
      <c r="A21" s="533">
        <f>VLOOKUP(B21,Sheet1!$B$4:$C$25,2,FALSE)</f>
        <v>0</v>
      </c>
      <c r="B21" s="112" t="s">
        <v>14</v>
      </c>
      <c r="C21" s="97"/>
      <c r="D21" s="329">
        <f>IF(Year1_Slough Year1_Adoption_PFA="","",Year1_Slough Year1_Adoption_PFA)</f>
        <v>15</v>
      </c>
      <c r="E21" s="479" t="str">
        <f>IF(Year2_Slough Year2_Adoption_PFA="","",Year2_Slough Year2_Adoption_PFA)</f>
        <v>x</v>
      </c>
      <c r="F21" s="329">
        <f>IF(Year3_Slough Year3_Adoption_PFA="","",Year3_Slough Year3_Adoption_PFA)</f>
        <v>5</v>
      </c>
      <c r="G21" s="118">
        <f>IF(Year4_Slough Year4_Adoption_PFA="","",Year4_Slough Year4_Adoption_PFA)</f>
        <v>8</v>
      </c>
      <c r="H21" s="114">
        <f>IF(Year5_Slough Year5_Adoption_PFA="","",Year5_Slough Year5_Adoption_PFA)</f>
        <v>8</v>
      </c>
      <c r="I21" s="392" t="e">
        <f t="shared" si="4"/>
        <v>#VALUE!</v>
      </c>
      <c r="J21" s="115"/>
      <c r="K21" s="116">
        <f>IF(ISNUMBER(D21),D21/Population!C20*10000,NA())</f>
        <v>3.8560411311053988</v>
      </c>
      <c r="L21" s="718" t="e">
        <f>IF(ISNUMBER(E21),E21/Population!D20*10000,NA())</f>
        <v>#N/A</v>
      </c>
      <c r="M21" s="116">
        <f>IF(ISNUMBER(F21),F21/Population!E20*10000,NA())</f>
        <v>1.2315270935960589</v>
      </c>
      <c r="N21" s="116">
        <f>IF(ISNUMBER(G21),G21/Population!F20*10000,NA())</f>
        <v>1.9320871371298844</v>
      </c>
      <c r="O21" s="117">
        <f>IF(ISNUMBER(H21),H21/Population!G20*10000,NA())</f>
        <v>1.8966334755808441</v>
      </c>
      <c r="P21" s="397">
        <f t="shared" si="0"/>
        <v>5</v>
      </c>
      <c r="Q21" s="70"/>
      <c r="R21" s="854">
        <f>IDACI!C21</f>
        <v>19.5</v>
      </c>
      <c r="S21" s="64"/>
      <c r="T21" s="64"/>
      <c r="U21" s="64"/>
      <c r="V21" s="139"/>
      <c r="W21" s="154"/>
      <c r="X21" s="170"/>
      <c r="Y21" s="72" t="str">
        <f t="shared" si="1"/>
        <v>Slough</v>
      </c>
      <c r="Z21" s="235">
        <v>13</v>
      </c>
      <c r="AA21" s="236">
        <f>IF(D21&gt;0,Population!C20,"")</f>
        <v>38900</v>
      </c>
      <c r="AB21" s="236">
        <f>IF(E21&gt;0,Population!D20,"")</f>
        <v>39900</v>
      </c>
      <c r="AC21" s="236">
        <f>IF(F21&gt;0,Population!E20,"")</f>
        <v>40600</v>
      </c>
      <c r="AD21" s="236">
        <f>IF(G21&gt;0,Population!F20,"")</f>
        <v>41406</v>
      </c>
      <c r="AE21" s="236">
        <f>IF(H21&gt;0,Population!G20,"")</f>
        <v>42180</v>
      </c>
      <c r="AF21" s="217"/>
      <c r="AG21" s="112" t="s">
        <v>14</v>
      </c>
      <c r="AH21" s="262">
        <f t="shared" si="3"/>
        <v>1.8966334755808441</v>
      </c>
      <c r="AI21" s="237">
        <f t="shared" si="2"/>
        <v>5</v>
      </c>
      <c r="AJ21" s="232"/>
      <c r="AK21" s="178"/>
    </row>
    <row r="22" spans="1:37" s="101" customFormat="1" ht="13.5" customHeight="1" x14ac:dyDescent="0.2">
      <c r="A22" s="533">
        <f>VLOOKUP(B22,Sheet1!$B$4:$C$25,2,FALSE)</f>
        <v>0</v>
      </c>
      <c r="B22" s="112" t="s">
        <v>93</v>
      </c>
      <c r="C22" s="97"/>
      <c r="D22" s="113">
        <f>IF(Year1_Somerset Year1_Adoption_PFA="","",Year1_Somerset Year1_Adoption_PFA)</f>
        <v>35</v>
      </c>
      <c r="E22" s="113">
        <f>IF(Year2_Somerset Year2_Adoption_PFA="","",Year2_Somerset Year2_Adoption_PFA)</f>
        <v>25</v>
      </c>
      <c r="F22" s="113">
        <f>IF(Year3_Somerset Year3_Adoption_PFA="","",Year3_Somerset Year3_Adoption_PFA)</f>
        <v>15</v>
      </c>
      <c r="G22" s="118">
        <f>IF(Year4_Somerset Year4_Adoption_PFA="","",Year4_Somerset Year4_Adoption_PFA)</f>
        <v>16</v>
      </c>
      <c r="H22" s="909" t="str">
        <f>IF(Year5_Somerset Year5_Adoption_PFA="","",Year5_Somerset Year5_Adoption_PFA)</f>
        <v>x</v>
      </c>
      <c r="I22" s="392" t="str">
        <f t="shared" si="4"/>
        <v/>
      </c>
      <c r="J22" s="115"/>
      <c r="K22" s="116">
        <f>IF(ISNUMBER(D22),D22/Population!C21*10000,NA())</f>
        <v>3.2169117647058822</v>
      </c>
      <c r="L22" s="116">
        <f>IF(ISNUMBER(E22),E22/Population!D21*10000,NA())</f>
        <v>2.2956841138659319</v>
      </c>
      <c r="M22" s="116">
        <f>IF(ISNUMBER(F22),F22/Population!E21*10000,NA())</f>
        <v>1.3736263736263736</v>
      </c>
      <c r="N22" s="116">
        <f>IF(ISNUMBER(G22),G22/Population!F21*10000,NA())</f>
        <v>1.4590951786023694</v>
      </c>
      <c r="O22" s="910" t="e">
        <f>IF(ISNUMBER(H22),H22/Population!G21*10000,NA())</f>
        <v>#N/A</v>
      </c>
      <c r="P22" s="422" t="str">
        <f t="shared" si="0"/>
        <v>--</v>
      </c>
      <c r="Q22" s="70"/>
      <c r="R22" s="854">
        <f>IDACI!C22</f>
        <v>14.8</v>
      </c>
      <c r="S22" s="64"/>
      <c r="T22" s="64"/>
      <c r="U22" s="64"/>
      <c r="V22" s="139"/>
      <c r="W22" s="154"/>
      <c r="X22" s="170"/>
      <c r="Y22" s="72" t="str">
        <f t="shared" si="1"/>
        <v>Somerset</v>
      </c>
      <c r="Z22" s="235">
        <v>14</v>
      </c>
      <c r="AA22" s="236">
        <f>IF(D22&gt;0,Population!C21,"")</f>
        <v>108800</v>
      </c>
      <c r="AB22" s="236">
        <f>IF(E22&gt;0,Population!D21,"")</f>
        <v>108900</v>
      </c>
      <c r="AC22" s="236">
        <f>IF(F22&gt;0,Population!E21,"")</f>
        <v>109200</v>
      </c>
      <c r="AD22" s="236">
        <f>IF(G22&gt;0,Population!F21,"")</f>
        <v>109657</v>
      </c>
      <c r="AE22" s="236">
        <f>IF(H22&gt;0,Population!G21,"")</f>
        <v>110084</v>
      </c>
      <c r="AF22" s="217"/>
      <c r="AG22" s="112" t="s">
        <v>15</v>
      </c>
      <c r="AH22" s="262">
        <f t="shared" si="3"/>
        <v>5.5660471126130604</v>
      </c>
      <c r="AI22" s="237">
        <f t="shared" si="2"/>
        <v>12</v>
      </c>
      <c r="AJ22" s="232"/>
      <c r="AK22" s="178"/>
    </row>
    <row r="23" spans="1:37" s="101" customFormat="1" ht="13.5" customHeight="1" x14ac:dyDescent="0.2">
      <c r="A23" s="533">
        <f>VLOOKUP(B23,Sheet1!$B$4:$C$25,2,FALSE)</f>
        <v>0</v>
      </c>
      <c r="B23" s="112" t="s">
        <v>15</v>
      </c>
      <c r="C23" s="97"/>
      <c r="D23" s="113">
        <f>IF(Year1_Southampton Year1_Adoption_PFA="","",Year1_Southampton Year1_Adoption_PFA)</f>
        <v>40</v>
      </c>
      <c r="E23" s="113">
        <f>IF(Year2_Southampton Year2_Adoption_PFA="","",Year2_Southampton Year2_Adoption_PFA)</f>
        <v>50</v>
      </c>
      <c r="F23" s="113">
        <f>IF(Year3_Southampton Year3_Adoption_PFA="","",Year3_Southampton Year3_Adoption_PFA)</f>
        <v>60</v>
      </c>
      <c r="G23" s="118">
        <f>IF(Year4_Southampton Year4_Adoption_PFA="","",Year4_Southampton Year4_Adoption_PFA)</f>
        <v>40</v>
      </c>
      <c r="H23" s="114">
        <f>IF(Year5_Southampton Year5_Adoption_PFA="","",Year5_Southampton Year5_Adoption_PFA)</f>
        <v>28</v>
      </c>
      <c r="I23" s="392">
        <f t="shared" si="4"/>
        <v>-0.44</v>
      </c>
      <c r="J23" s="115"/>
      <c r="K23" s="116">
        <f>IF(ISNUMBER(D23),D23/Population!C22*10000,NA())</f>
        <v>8.4388185654008439</v>
      </c>
      <c r="L23" s="116">
        <f>IF(ISNUMBER(E23),E23/Population!D22*10000,NA())</f>
        <v>10.2880658436214</v>
      </c>
      <c r="M23" s="116">
        <f>IF(ISNUMBER(F23),F23/Population!E22*10000,NA())</f>
        <v>12.195121951219512</v>
      </c>
      <c r="N23" s="116">
        <f>IF(ISNUMBER(G23),G23/Population!F22*10000,NA())</f>
        <v>8.0158714254223362</v>
      </c>
      <c r="O23" s="117">
        <f>IF(ISNUMBER(H23),H23/Population!G22*10000,NA())</f>
        <v>5.5660471126130604</v>
      </c>
      <c r="P23" s="397">
        <f t="shared" si="0"/>
        <v>12</v>
      </c>
      <c r="Q23" s="70"/>
      <c r="R23" s="854">
        <f>IDACI!C23</f>
        <v>25</v>
      </c>
      <c r="S23" s="64"/>
      <c r="T23" s="64"/>
      <c r="U23" s="64"/>
      <c r="V23" s="139"/>
      <c r="W23" s="154"/>
      <c r="X23" s="170"/>
      <c r="Y23" s="72" t="str">
        <f t="shared" si="1"/>
        <v>Southampton</v>
      </c>
      <c r="Z23" s="235">
        <v>15</v>
      </c>
      <c r="AA23" s="236">
        <f>IF(D23&gt;0,Population!C22,"")</f>
        <v>47400</v>
      </c>
      <c r="AB23" s="236">
        <f>IF(E23&gt;0,Population!D22,"")</f>
        <v>48600</v>
      </c>
      <c r="AC23" s="236">
        <f>IF(F23&gt;0,Population!E22,"")</f>
        <v>49200</v>
      </c>
      <c r="AD23" s="236">
        <f>IF(G23&gt;0,Population!F22,"")</f>
        <v>49901</v>
      </c>
      <c r="AE23" s="236">
        <f>IF(H23&gt;0,Population!G22,"")</f>
        <v>50305</v>
      </c>
      <c r="AF23" s="217"/>
      <c r="AG23" s="112" t="s">
        <v>7</v>
      </c>
      <c r="AH23" s="262">
        <f t="shared" si="3"/>
        <v>0.53783062177061525</v>
      </c>
      <c r="AI23" s="237">
        <f t="shared" si="2"/>
        <v>1</v>
      </c>
      <c r="AJ23" s="232"/>
      <c r="AK23" s="178"/>
    </row>
    <row r="24" spans="1:37" s="101" customFormat="1" ht="13.5" customHeight="1" x14ac:dyDescent="0.2">
      <c r="A24" s="533">
        <f>VLOOKUP(B24,Sheet1!$B$4:$C$25,2,FALSE)</f>
        <v>0</v>
      </c>
      <c r="B24" s="112" t="s">
        <v>7</v>
      </c>
      <c r="C24" s="97"/>
      <c r="D24" s="113">
        <f>IF(Year1_Surrey Year1_Adoption_PFA="","",Year1_Surrey Year1_Adoption_PFA)</f>
        <v>45</v>
      </c>
      <c r="E24" s="113">
        <f>IF(Year2_Surrey Year2_Adoption_PFA="","",Year2_Surrey Year2_Adoption_PFA)</f>
        <v>40</v>
      </c>
      <c r="F24" s="113">
        <f>IF(Year3_Surrey Year3_Adoption_PFA="","",Year3_Surrey Year3_Adoption_PFA)</f>
        <v>35</v>
      </c>
      <c r="G24" s="118">
        <f>IF(Year4_Surrey Year4_Adoption_PFA="","",Year4_Surrey Year4_Adoption_PFA)</f>
        <v>22</v>
      </c>
      <c r="H24" s="114">
        <f>IF(Year5_Surrey Year5_Adoption_PFA="","",Year5_Surrey Year5_Adoption_PFA)</f>
        <v>14</v>
      </c>
      <c r="I24" s="392">
        <f t="shared" si="4"/>
        <v>-0.65</v>
      </c>
      <c r="J24" s="115"/>
      <c r="K24" s="116">
        <f>IF(ISNUMBER(D24),D24/Population!C23*10000,NA())</f>
        <v>1.7857142857142858</v>
      </c>
      <c r="L24" s="116">
        <f>IF(ISNUMBER(E24),E24/Population!D23*10000,NA())</f>
        <v>1.5710919088766693</v>
      </c>
      <c r="M24" s="116">
        <f>IF(ISNUMBER(F24),F24/Population!E23*10000,NA())</f>
        <v>1.3650546021840875</v>
      </c>
      <c r="N24" s="116">
        <f>IF(ISNUMBER(G24),G24/Population!F23*10000,NA())</f>
        <v>0.84942412905069131</v>
      </c>
      <c r="O24" s="117">
        <f>IF(ISNUMBER(H24),H24/Population!G23*10000,NA())</f>
        <v>0.53783062177061525</v>
      </c>
      <c r="P24" s="397">
        <f t="shared" si="0"/>
        <v>1</v>
      </c>
      <c r="Q24" s="70"/>
      <c r="R24" s="854">
        <f>IDACI!C24</f>
        <v>9.7000000000000011</v>
      </c>
      <c r="S24" s="64"/>
      <c r="T24" s="64"/>
      <c r="U24" s="64"/>
      <c r="V24" s="139"/>
      <c r="W24" s="154"/>
      <c r="X24" s="170"/>
      <c r="Y24" s="72" t="str">
        <f t="shared" si="1"/>
        <v>Surrey</v>
      </c>
      <c r="Z24" s="235">
        <v>16</v>
      </c>
      <c r="AA24" s="236">
        <f>IF(D24&gt;0,Population!C23,"")</f>
        <v>252000</v>
      </c>
      <c r="AB24" s="236">
        <f>IF(E24&gt;0,Population!D23,"")</f>
        <v>254600</v>
      </c>
      <c r="AC24" s="236">
        <f>IF(F24&gt;0,Population!E23,"")</f>
        <v>256400</v>
      </c>
      <c r="AD24" s="236">
        <f>IF(G24&gt;0,Population!F23,"")</f>
        <v>258999</v>
      </c>
      <c r="AE24" s="236">
        <f>IF(H24&gt;0,Population!G23,"")</f>
        <v>260305</v>
      </c>
      <c r="AF24" s="217"/>
      <c r="AG24" s="112" t="s">
        <v>16</v>
      </c>
      <c r="AH24" s="262" t="str">
        <f t="shared" si="3"/>
        <v/>
      </c>
      <c r="AI24" s="237" t="e">
        <f t="shared" si="2"/>
        <v>#VALUE!</v>
      </c>
      <c r="AJ24" s="232"/>
      <c r="AK24" s="178"/>
    </row>
    <row r="25" spans="1:37" s="101" customFormat="1" ht="13.5" customHeight="1" x14ac:dyDescent="0.2">
      <c r="A25" s="533">
        <f>VLOOKUP(B25,Sheet1!$B$4:$C$25,2,FALSE)</f>
        <v>0</v>
      </c>
      <c r="B25" s="112" t="s">
        <v>116</v>
      </c>
      <c r="C25" s="97"/>
      <c r="D25" s="329">
        <f>IF(Year1_Swindon Year1_Adoption_PFA="","",Year1_Swindon Year1_Adoption_PFA)</f>
        <v>5</v>
      </c>
      <c r="E25" s="479" t="str">
        <f>IF(Year2_Swindon Year2_Adoption_PFA="","",Year2_Swindon Year2_Adoption_PFA)</f>
        <v>x</v>
      </c>
      <c r="F25" s="329">
        <f>IF(Year3_Swindon Year3_Adoption_PFA="","",Year3_Swindon Year3_Adoption_PFA)</f>
        <v>5</v>
      </c>
      <c r="G25" s="479" t="str">
        <f>IF(Year4_Swindon Year4_Adoption_PFA="","",Year4_Swindon Year4_Adoption_PFA)</f>
        <v>x</v>
      </c>
      <c r="H25" s="909" t="str">
        <f>IF(Year5_Swindon Year5_Adoption_PFA="","",Year5_Swindon Year5_Adoption_PFA)</f>
        <v>x</v>
      </c>
      <c r="I25" s="392" t="str">
        <f t="shared" si="4"/>
        <v/>
      </c>
      <c r="J25" s="115"/>
      <c r="K25" s="116">
        <f>IF(ISNUMBER(D25),D25/Population!C24*10000,NA())</f>
        <v>1.0438413361169103</v>
      </c>
      <c r="L25" s="718" t="e">
        <f>IF(ISNUMBER(E25),E25/Population!D24*10000,NA())</f>
        <v>#N/A</v>
      </c>
      <c r="M25" s="116">
        <f>IF(ISNUMBER(F25),F25/Population!E24*10000,NA())</f>
        <v>1.0204081632653061</v>
      </c>
      <c r="N25" s="718" t="e">
        <f>IF(ISNUMBER(G25),G25/Population!F24*10000,NA())</f>
        <v>#N/A</v>
      </c>
      <c r="O25" s="910" t="e">
        <f>IF(ISNUMBER(H25),H25/Population!G24*10000,NA())</f>
        <v>#N/A</v>
      </c>
      <c r="P25" s="422" t="str">
        <f t="shared" si="0"/>
        <v>--</v>
      </c>
      <c r="Q25" s="70"/>
      <c r="R25" s="854">
        <f>IDACI!C25</f>
        <v>17.2</v>
      </c>
      <c r="S25" s="64"/>
      <c r="T25" s="64"/>
      <c r="U25" s="64"/>
      <c r="V25" s="139"/>
      <c r="W25" s="154"/>
      <c r="X25" s="170"/>
      <c r="Y25" s="72" t="str">
        <f t="shared" si="1"/>
        <v>Swindon</v>
      </c>
      <c r="Z25" s="235">
        <v>17</v>
      </c>
      <c r="AA25" s="236">
        <f>IF(D25&gt;0,Population!C24,"")</f>
        <v>47900</v>
      </c>
      <c r="AB25" s="236">
        <f>IF(E25&gt;0,Population!D24,"")</f>
        <v>48600</v>
      </c>
      <c r="AC25" s="236">
        <f>IF(F25&gt;0,Population!E24,"")</f>
        <v>49000</v>
      </c>
      <c r="AD25" s="236">
        <f>IF(G25&gt;0,Population!F24,"")</f>
        <v>49462</v>
      </c>
      <c r="AE25" s="236">
        <f>IF(H25&gt;0,Population!G24,"")</f>
        <v>49924</v>
      </c>
      <c r="AF25" s="217"/>
      <c r="AG25" s="112" t="s">
        <v>5</v>
      </c>
      <c r="AH25" s="262">
        <f t="shared" si="3"/>
        <v>2.3660989952735729</v>
      </c>
      <c r="AI25" s="237">
        <f t="shared" si="2"/>
        <v>7</v>
      </c>
      <c r="AJ25" s="232"/>
      <c r="AK25" s="178"/>
    </row>
    <row r="26" spans="1:37" s="101" customFormat="1" ht="13.5" customHeight="1" x14ac:dyDescent="0.2">
      <c r="A26" s="533">
        <f>VLOOKUP(B26,Sheet1!$B$4:$C$25,2,FALSE)</f>
        <v>0</v>
      </c>
      <c r="B26" s="112" t="s">
        <v>117</v>
      </c>
      <c r="C26" s="97"/>
      <c r="D26" s="113">
        <f>IF(Year1_Torbay Year1_Adoption_PFA="","",Year1_Torbay Year1_Adoption_PFA)</f>
        <v>10</v>
      </c>
      <c r="E26" s="113">
        <f>IF(Year2_Torbay Year2_Adoption_PFA="","",Year2_Torbay Year2_Adoption_PFA)</f>
        <v>20</v>
      </c>
      <c r="F26" s="113">
        <f>IF(Year3_Torbay Year3_Adoption_PFA="","",Year3_Torbay Year3_Adoption_PFA)</f>
        <v>10</v>
      </c>
      <c r="G26" s="113">
        <f>IF(Year4_Torbay Year4_Adoption_PFA="","",Year4_Torbay Year4_Adoption_PFA)</f>
        <v>14</v>
      </c>
      <c r="H26" s="114">
        <f>IF(Year5_Torbay Year5_Adoption_PFA="","",Year5_Torbay Year5_Adoption_PFA)</f>
        <v>7</v>
      </c>
      <c r="I26" s="392">
        <f t="shared" si="4"/>
        <v>-0.65</v>
      </c>
      <c r="J26" s="115"/>
      <c r="K26" s="116">
        <f>IF(ISNUMBER(D26),D26/Population!C25*10000,NA())</f>
        <v>4.032258064516129</v>
      </c>
      <c r="L26" s="116">
        <f>IF(ISNUMBER(E26),E26/Population!D25*10000,NA())</f>
        <v>7.9681274900398407</v>
      </c>
      <c r="M26" s="116">
        <f>IF(ISNUMBER(F26),F26/Population!E25*10000,NA())</f>
        <v>3.9682539682539684</v>
      </c>
      <c r="N26" s="116">
        <f>IF(ISNUMBER(G26),G26/Population!F25*10000,NA())</f>
        <v>5.517676270050841</v>
      </c>
      <c r="O26" s="117">
        <f>IF(ISNUMBER(H26),H26/Population!G25*10000,NA())</f>
        <v>2.7540622418066651</v>
      </c>
      <c r="P26" s="422" t="str">
        <f t="shared" si="0"/>
        <v>--</v>
      </c>
      <c r="Q26" s="70"/>
      <c r="R26" s="854">
        <f>IDACI!C26</f>
        <v>24.1</v>
      </c>
      <c r="S26" s="64"/>
      <c r="T26" s="64"/>
      <c r="U26" s="64"/>
      <c r="V26" s="139"/>
      <c r="W26" s="154"/>
      <c r="X26" s="170"/>
      <c r="Y26" s="72" t="str">
        <f t="shared" si="1"/>
        <v>Torbay</v>
      </c>
      <c r="Z26" s="235">
        <v>18</v>
      </c>
      <c r="AA26" s="236">
        <f>IF(D26&gt;0,Population!C25,"")</f>
        <v>24800</v>
      </c>
      <c r="AB26" s="236">
        <f>IF(E26&gt;0,Population!D25,"")</f>
        <v>25100</v>
      </c>
      <c r="AC26" s="236">
        <f>IF(F26&gt;0,Population!E25,"")</f>
        <v>25200</v>
      </c>
      <c r="AD26" s="236">
        <f>IF(G26&gt;0,Population!F25,"")</f>
        <v>25373</v>
      </c>
      <c r="AE26" s="236">
        <f>IF(H26&gt;0,Population!G25,"")</f>
        <v>25417</v>
      </c>
      <c r="AF26" s="217"/>
      <c r="AG26" s="112" t="s">
        <v>31</v>
      </c>
      <c r="AH26" s="262" t="str">
        <f t="shared" si="3"/>
        <v/>
      </c>
      <c r="AI26" s="237" t="e">
        <f t="shared" si="2"/>
        <v>#VALUE!</v>
      </c>
      <c r="AJ26" s="232"/>
      <c r="AK26" s="178"/>
    </row>
    <row r="27" spans="1:37" s="101" customFormat="1" ht="13.5" customHeight="1" x14ac:dyDescent="0.2">
      <c r="A27" s="533">
        <f>VLOOKUP(B27,Sheet1!$B$4:$C$25,2,FALSE)</f>
        <v>0</v>
      </c>
      <c r="B27" s="112" t="s">
        <v>16</v>
      </c>
      <c r="C27" s="97"/>
      <c r="D27" s="479" t="str">
        <f>IF(Year1_West_Berkshire Year1_Adoption_PFA="","",Year1_West_Berkshire Year1_Adoption_PFA)</f>
        <v>x</v>
      </c>
      <c r="E27" s="479" t="str">
        <f>IF(Year2_West_Berkshire Year2_Adoption_PFA="","",Year2_West_Berkshire Year2_Adoption_PFA)</f>
        <v>x</v>
      </c>
      <c r="F27" s="329">
        <f>IF(Year3_West_Berkshire Year3_Adoption_PFA="","",Year3_West_Berkshire Year3_Adoption_PFA)</f>
        <v>10</v>
      </c>
      <c r="G27" s="479" t="str">
        <f>IF(Year4_West_Berkshire Year4_Adoption_PFA="","",Year4_West_Berkshire Year4_Adoption_PFA)</f>
        <v>x</v>
      </c>
      <c r="H27" s="909" t="str">
        <f>IF(Year5_West_Berkshire Year5_Adoption_PFA="","",Year5_West_Berkshire Year5_Adoption_PFA)</f>
        <v>x</v>
      </c>
      <c r="I27" s="392" t="str">
        <f>IF(ISNUMBER(H27),(H27-E27)/E27,"")</f>
        <v/>
      </c>
      <c r="J27" s="115"/>
      <c r="K27" s="718" t="e">
        <f>IF(ISNUMBER(D27),D27/Population!C26*10000,NA())</f>
        <v>#N/A</v>
      </c>
      <c r="L27" s="718" t="e">
        <f>IF(ISNUMBER(E27),E27/Population!D26*10000,NA())</f>
        <v>#N/A</v>
      </c>
      <c r="M27" s="116">
        <f>IF(ISNUMBER(F27),F27/Population!E26*10000,NA())</f>
        <v>2.8011204481792715</v>
      </c>
      <c r="N27" s="718" t="e">
        <f>IF(ISNUMBER(G27),G27/Population!F26*10000,NA())</f>
        <v>#N/A</v>
      </c>
      <c r="O27" s="910" t="e">
        <f>IF(ISNUMBER(H27),H27/Population!G26*10000,NA())</f>
        <v>#N/A</v>
      </c>
      <c r="P27" s="397" t="e">
        <f t="shared" si="0"/>
        <v>#N/A</v>
      </c>
      <c r="Q27" s="70"/>
      <c r="R27" s="854">
        <f>IDACI!C27</f>
        <v>10.4</v>
      </c>
      <c r="S27" s="64"/>
      <c r="T27" s="64"/>
      <c r="U27" s="64"/>
      <c r="V27" s="139"/>
      <c r="W27" s="154"/>
      <c r="X27" s="170"/>
      <c r="Y27" s="72" t="str">
        <f t="shared" si="1"/>
        <v>West Berkshire</v>
      </c>
      <c r="Z27" s="235">
        <v>19</v>
      </c>
      <c r="AA27" s="236">
        <f>IF(D27&gt;0,Population!C26,"")</f>
        <v>35700</v>
      </c>
      <c r="AB27" s="236">
        <f>IF(E27&gt;0,Population!D26,"")</f>
        <v>35600</v>
      </c>
      <c r="AC27" s="236">
        <f>IF(F27&gt;0,Population!E26,"")</f>
        <v>35700</v>
      </c>
      <c r="AD27" s="236">
        <f>IF(G27&gt;0,Population!F26,"")</f>
        <v>35931</v>
      </c>
      <c r="AE27" s="236">
        <f>IF(H27&gt;0,Population!G26,"")</f>
        <v>35790</v>
      </c>
      <c r="AF27" s="232"/>
      <c r="AG27" s="112" t="s">
        <v>17</v>
      </c>
      <c r="AH27" s="262" t="str">
        <f t="shared" si="3"/>
        <v/>
      </c>
      <c r="AI27" s="237" t="e">
        <f t="shared" si="2"/>
        <v>#VALUE!</v>
      </c>
      <c r="AJ27" s="232"/>
      <c r="AK27" s="178"/>
    </row>
    <row r="28" spans="1:37" s="101" customFormat="1" ht="13.5" customHeight="1" x14ac:dyDescent="0.2">
      <c r="A28" s="533">
        <f>VLOOKUP(B28,Sheet1!$B$4:$C$25,2,FALSE)</f>
        <v>0</v>
      </c>
      <c r="B28" s="112" t="s">
        <v>5</v>
      </c>
      <c r="C28" s="97"/>
      <c r="D28" s="113">
        <f>IF(Year1_West_Sussex Year1_Adoption_PFA="","",Year1_West_Sussex Year1_Adoption_PFA)</f>
        <v>25</v>
      </c>
      <c r="E28" s="118">
        <f>IF(Year2_West_Sussex Year2_Adoption_PFA="","",Year2_West_Sussex Year2_Adoption_PFA)</f>
        <v>30</v>
      </c>
      <c r="F28" s="113">
        <f>IF(Year3_West_Sussex Year3_Adoption_PFA="","",Year3_West_Sussex Year3_Adoption_PFA)</f>
        <v>45</v>
      </c>
      <c r="G28" s="113">
        <f>IF(Year4_West_Sussex Year4_Adoption_PFA="","",Year4_West_Sussex Year4_Adoption_PFA)</f>
        <v>30</v>
      </c>
      <c r="H28" s="114">
        <f>IF(Year5_West_Sussex Year5_Adoption_PFA="","",Year5_West_Sussex Year5_Adoption_PFA)</f>
        <v>41</v>
      </c>
      <c r="I28" s="392">
        <f t="shared" si="4"/>
        <v>0.36666666666666664</v>
      </c>
      <c r="J28" s="115"/>
      <c r="K28" s="116">
        <f>IF(ISNUMBER(D28),D28/Population!C27*10000,NA())</f>
        <v>1.4970059880239521</v>
      </c>
      <c r="L28" s="116">
        <f>IF(ISNUMBER(E28),E28/Population!D27*10000,NA())</f>
        <v>1.777251184834123</v>
      </c>
      <c r="M28" s="116">
        <f>IF(ISNUMBER(F28),F28/Population!E27*10000,NA())</f>
        <v>2.640845070422535</v>
      </c>
      <c r="N28" s="116">
        <f>IF(ISNUMBER(G28),G28/Population!F27*10000,NA())</f>
        <v>1.7466130262399497</v>
      </c>
      <c r="O28" s="117">
        <f>IF(ISNUMBER(H28),H28/Population!G27*10000,NA())</f>
        <v>2.3660989952735729</v>
      </c>
      <c r="P28" s="397">
        <f t="shared" si="0"/>
        <v>7</v>
      </c>
      <c r="Q28" s="70"/>
      <c r="R28" s="854">
        <f>IDACI!C28</f>
        <v>12.9</v>
      </c>
      <c r="S28" s="64"/>
      <c r="T28" s="64"/>
      <c r="U28" s="64"/>
      <c r="V28" s="139"/>
      <c r="W28" s="154"/>
      <c r="X28" s="170"/>
      <c r="Y28" s="72" t="str">
        <f t="shared" si="1"/>
        <v>West Sussex</v>
      </c>
      <c r="Z28" s="235">
        <v>20</v>
      </c>
      <c r="AA28" s="236">
        <f>IF(D28&gt;0,Population!C27,"")</f>
        <v>167000</v>
      </c>
      <c r="AB28" s="236">
        <f>IF(E28&gt;0,Population!D27,"")</f>
        <v>168800</v>
      </c>
      <c r="AC28" s="236">
        <f>IF(F28&gt;0,Population!E27,"")</f>
        <v>170400</v>
      </c>
      <c r="AD28" s="236">
        <f>IF(G28&gt;0,Population!F27,"")</f>
        <v>171761</v>
      </c>
      <c r="AE28" s="236">
        <f>IF(H28&gt;0,Population!G27,"")</f>
        <v>173281</v>
      </c>
      <c r="AF28" s="232"/>
      <c r="AG28" s="232"/>
      <c r="AH28" s="232"/>
      <c r="AI28" s="217"/>
      <c r="AJ28" s="232"/>
      <c r="AK28" s="178"/>
    </row>
    <row r="29" spans="1:37" s="101" customFormat="1" ht="13.5" customHeight="1" x14ac:dyDescent="0.2">
      <c r="A29" s="533">
        <f>VLOOKUP(B29,Sheet1!$B$4:$C$25,2,FALSE)</f>
        <v>0</v>
      </c>
      <c r="B29" s="112" t="s">
        <v>31</v>
      </c>
      <c r="C29" s="97"/>
      <c r="D29" s="118">
        <f>IF(Year1_Windsor_Maidenhead Year1_Adoption_PFA="","",Year1_Windsor_Maidenhead Year1_Adoption_PFA)</f>
        <v>10</v>
      </c>
      <c r="E29" s="118">
        <f>IF(Year2_Windsor_Maidenhead Year2_Adoption_PFA="","",Year2_Windsor_Maidenhead Year2_Adoption_PFA)</f>
        <v>10</v>
      </c>
      <c r="F29" s="479" t="str">
        <f>IF(Year3_Windsor_Maidenhead Year3_Adoption_PFA="","",Year3_Windsor_Maidenhead Year3_Adoption_PFA)</f>
        <v>x</v>
      </c>
      <c r="G29" s="479" t="str">
        <f>IF(Year4_Windsor_Maidenhead Year4_Adoption_PFA="","",Year4_Windsor_Maidenhead Year4_Adoption_PFA)</f>
        <v>x</v>
      </c>
      <c r="H29" s="909" t="str">
        <f>IF(Year5_Windsor_Maidenhead Year5_Adoption_PFA="","",Year5_Windsor_Maidenhead Year5_Adoption_PFA)</f>
        <v>x</v>
      </c>
      <c r="I29" s="392" t="str">
        <f t="shared" si="4"/>
        <v/>
      </c>
      <c r="J29" s="115"/>
      <c r="K29" s="116">
        <f>IF(ISNUMBER(D29),D29/Population!C28*10000,NA())</f>
        <v>3.0030030030030028</v>
      </c>
      <c r="L29" s="116">
        <f>IF(ISNUMBER(E29),E29/Population!D28*10000,NA())</f>
        <v>2.9940119760479043</v>
      </c>
      <c r="M29" s="718" t="e">
        <f>IF(ISNUMBER(F29),F29/Population!E28*10000,NA())</f>
        <v>#N/A</v>
      </c>
      <c r="N29" s="718" t="e">
        <f>IF(ISNUMBER(G29),G29/Population!F28*10000,NA())</f>
        <v>#N/A</v>
      </c>
      <c r="O29" s="910" t="e">
        <f>IF(ISNUMBER(H29),H29/Population!G28*10000,NA())</f>
        <v>#N/A</v>
      </c>
      <c r="P29" s="397" t="e">
        <f t="shared" si="0"/>
        <v>#N/A</v>
      </c>
      <c r="Q29" s="70"/>
      <c r="R29" s="854">
        <f>IDACI!C29</f>
        <v>8.4</v>
      </c>
      <c r="S29" s="64"/>
      <c r="T29" s="64"/>
      <c r="U29" s="64"/>
      <c r="V29" s="139"/>
      <c r="W29" s="154"/>
      <c r="X29" s="170"/>
      <c r="Y29" s="72" t="str">
        <f t="shared" si="1"/>
        <v>Windsor &amp; Maidenhead</v>
      </c>
      <c r="Z29" s="235">
        <v>21</v>
      </c>
      <c r="AA29" s="236">
        <f>IF(D29&gt;0,Population!C28,"")</f>
        <v>33300</v>
      </c>
      <c r="AB29" s="236">
        <f>IF(E29&gt;0,Population!D28,"")</f>
        <v>33400</v>
      </c>
      <c r="AC29" s="236">
        <f>IF(F29&gt;0,Population!E28,"")</f>
        <v>33700</v>
      </c>
      <c r="AD29" s="236">
        <f>IF(G29&gt;0,Population!F28,"")</f>
        <v>34176</v>
      </c>
      <c r="AE29" s="236">
        <f>IF(H29&gt;0,Population!G28,"")</f>
        <v>34352</v>
      </c>
      <c r="AF29" s="232"/>
      <c r="AG29" s="232"/>
      <c r="AH29" s="232"/>
      <c r="AI29" s="217"/>
      <c r="AJ29" s="232"/>
      <c r="AK29" s="178"/>
    </row>
    <row r="30" spans="1:37" s="101" customFormat="1" ht="13.5" customHeight="1" x14ac:dyDescent="0.2">
      <c r="A30" s="533">
        <f>VLOOKUP(B30,Sheet1!$B$4:$C$25,2,FALSE)</f>
        <v>0</v>
      </c>
      <c r="B30" s="112" t="s">
        <v>17</v>
      </c>
      <c r="C30" s="97"/>
      <c r="D30" s="479" t="str">
        <f>IF(Year1_Wokingham Year1_Adoption_PFA="","",Year1_Wokingham Year1_Adoption_PFA)</f>
        <v>x</v>
      </c>
      <c r="E30" s="479" t="str">
        <f>IF(Year2_Wokingham Year2_Adoption_PFA="","",Year2_Wokingham Year2_Adoption_PFA)</f>
        <v>x</v>
      </c>
      <c r="F30" s="479" t="str">
        <f>IF(Year3_Wokingham Year3_Adoption_PFA="","",Year3_Wokingham Year3_Adoption_PFA)</f>
        <v>x</v>
      </c>
      <c r="G30" s="479" t="str">
        <f>IF(Year4_Wokingham Year4_Adoption_PFA="","",Year4_Wokingham Year4_Adoption_PFA)</f>
        <v>x</v>
      </c>
      <c r="H30" s="909" t="str">
        <f>IF(Year5_Wokingham Year5_Adoption_PFA="","",Year5_Wokingham Year5_Adoption_PFA)</f>
        <v>x</v>
      </c>
      <c r="I30" s="392" t="str">
        <f t="shared" si="4"/>
        <v/>
      </c>
      <c r="J30" s="115"/>
      <c r="K30" s="718" t="e">
        <f>IF(ISNUMBER(D30),D30/Population!C29*10000,NA())</f>
        <v>#N/A</v>
      </c>
      <c r="L30" s="718" t="e">
        <f>IF(ISNUMBER(E30),E30/Population!D29*10000,NA())</f>
        <v>#N/A</v>
      </c>
      <c r="M30" s="718" t="e">
        <f>IF(ISNUMBER(F30),F30/Population!E29*10000,NA())</f>
        <v>#N/A</v>
      </c>
      <c r="N30" s="718" t="e">
        <f>IF(ISNUMBER(G30),G30/Population!F29*10000,NA())</f>
        <v>#N/A</v>
      </c>
      <c r="O30" s="910" t="e">
        <f>IF(ISNUMBER(H30),H30/Population!G29*10000,NA())</f>
        <v>#N/A</v>
      </c>
      <c r="P30" s="397" t="e">
        <f t="shared" si="0"/>
        <v>#N/A</v>
      </c>
      <c r="Q30" s="70"/>
      <c r="R30" s="854">
        <f>IDACI!C30</f>
        <v>6.8000000000000007</v>
      </c>
      <c r="S30" s="64"/>
      <c r="T30" s="64"/>
      <c r="U30" s="64"/>
      <c r="V30" s="139"/>
      <c r="W30" s="154"/>
      <c r="X30" s="170"/>
      <c r="Y30" s="72" t="str">
        <f t="shared" si="1"/>
        <v>Wokingham</v>
      </c>
      <c r="Z30" s="235">
        <v>22</v>
      </c>
      <c r="AA30" s="236">
        <f>IF(D30&gt;0,Population!C29,"")</f>
        <v>36200</v>
      </c>
      <c r="AB30" s="236">
        <f>IF(E30&gt;0,Population!D29,"")</f>
        <v>36900</v>
      </c>
      <c r="AC30" s="236">
        <f>IF(F30&gt;0,Population!E29,"")</f>
        <v>37300</v>
      </c>
      <c r="AD30" s="236">
        <f>IF(G30&gt;0,Population!F29,"")</f>
        <v>38019</v>
      </c>
      <c r="AE30" s="236">
        <f>IF(H30&gt;0,Population!G29,"")</f>
        <v>38702</v>
      </c>
      <c r="AF30" s="232"/>
      <c r="AG30" s="232"/>
      <c r="AH30" s="232"/>
      <c r="AI30" s="217"/>
      <c r="AJ30" s="232"/>
      <c r="AK30" s="178"/>
    </row>
    <row r="31" spans="1:37" s="101" customFormat="1" ht="13.5" customHeight="1" x14ac:dyDescent="0.2">
      <c r="A31" s="138"/>
      <c r="B31" s="146" t="s">
        <v>74</v>
      </c>
      <c r="C31" s="97"/>
      <c r="D31" s="147">
        <f>IF(Year1_SouthEast Year1_Adoption_PFA="","",Year1_SouthEast Year1_Adoption_PFA)</f>
        <v>500</v>
      </c>
      <c r="E31" s="147">
        <f>IF(Year2_SouthEast Year2_Adoption_PFA="","",Year2_SouthEast Year2_Adoption_PFA)</f>
        <v>500</v>
      </c>
      <c r="F31" s="147">
        <f>IF(Year3_SouthEast Year3_Adoption_PFA="","",Year3_SouthEast Year3_Adoption_PFA)</f>
        <v>410</v>
      </c>
      <c r="G31" s="147">
        <f>IF(Year4_SouthEast Year4_Adoption_PFA="","",Year4_SouthEast Year4_Adoption_PFA)</f>
        <v>380</v>
      </c>
      <c r="H31" s="148">
        <f>IF(Year5_SouthEast Year5_Adoption_PFA="","",Year5_SouthEast Year5_Adoption_PFA)</f>
        <v>340</v>
      </c>
      <c r="I31" s="407">
        <f t="shared" si="4"/>
        <v>-0.32</v>
      </c>
      <c r="J31" s="115"/>
      <c r="K31" s="149">
        <f>IF(ISNUMBER(D31),D31/AA31*10000,NA())</f>
        <v>2.6499894000423998</v>
      </c>
      <c r="L31" s="149">
        <f>IF(ISNUMBER(E31),E31/AB31*10000,NA())</f>
        <v>2.6257746035080349</v>
      </c>
      <c r="M31" s="149">
        <f>IF(ISNUMBER(F31),F31/AC31*10000,NA())</f>
        <v>2.1375319326416768</v>
      </c>
      <c r="N31" s="149">
        <f>IF(ISNUMBER(G31),G31/AD31*10000,NA())</f>
        <v>1.9656599211770371</v>
      </c>
      <c r="O31" s="150">
        <f>IF(ISNUMBER(H31),H31/AE31*10000,NA())</f>
        <v>1.7490926581835673</v>
      </c>
      <c r="P31" s="383" t="str">
        <f t="shared" si="0"/>
        <v>--</v>
      </c>
      <c r="Q31" s="70"/>
      <c r="R31" s="855">
        <f>IDACI!C31</f>
        <v>14.45223640702325</v>
      </c>
      <c r="S31" s="64"/>
      <c r="T31" s="64"/>
      <c r="U31" s="64"/>
      <c r="V31" s="139"/>
      <c r="W31" s="154"/>
      <c r="X31" s="170"/>
      <c r="Y31" s="72" t="str">
        <f t="shared" si="1"/>
        <v>South East</v>
      </c>
      <c r="Z31" s="235">
        <v>23</v>
      </c>
      <c r="AA31" s="236">
        <f>IF(D31&gt;0,Population!C30,"")</f>
        <v>1886800</v>
      </c>
      <c r="AB31" s="236">
        <f>IF(E31&gt;0,Population!D30,"")</f>
        <v>1904200</v>
      </c>
      <c r="AC31" s="236">
        <f>IF(F31&gt;0,Population!E30,"")</f>
        <v>1918100</v>
      </c>
      <c r="AD31" s="236">
        <f>IF(G31&gt;0,Population!F30,"")</f>
        <v>1933193</v>
      </c>
      <c r="AE31" s="236">
        <f>SUM(AE9:AE21,AE23:AE24,AE27:AE30)</f>
        <v>1943865</v>
      </c>
      <c r="AF31" s="232"/>
      <c r="AG31" s="232"/>
      <c r="AH31" s="232"/>
      <c r="AI31" s="217"/>
      <c r="AJ31" s="232"/>
      <c r="AK31" s="178"/>
    </row>
    <row r="32" spans="1:37" s="101" customFormat="1" ht="13.5" customHeight="1" x14ac:dyDescent="0.2">
      <c r="A32" s="324"/>
      <c r="B32" s="370" t="s">
        <v>130</v>
      </c>
      <c r="C32" s="97"/>
      <c r="D32" s="371">
        <f>IF(Year1_England Year1_Adoption_PFA="","",Year1_England Year1_Adoption_PFA)</f>
        <v>3580</v>
      </c>
      <c r="E32" s="371">
        <f>IF(Year2_England Year2_Adoption_PFA="","",Year2_England Year2_Adoption_PFA)</f>
        <v>3320</v>
      </c>
      <c r="F32" s="371">
        <f>IF(Year3_England Year3_Adoption_PFA="","",Year3_England Year3_Adoption_PFA)</f>
        <v>2940</v>
      </c>
      <c r="G32" s="371">
        <f>IF(Year4_England Year4_Adoption_PFA="","",Year4_England Year4_Adoption_PFA)</f>
        <v>2520</v>
      </c>
      <c r="H32" s="372">
        <f>IF(Year5_England Year5_Adoption_PFA="","",Year5_England Year5_Adoption_PFA)</f>
        <v>2230</v>
      </c>
      <c r="I32" s="408">
        <f t="shared" si="4"/>
        <v>-0.32831325301204817</v>
      </c>
      <c r="J32" s="115"/>
      <c r="K32" s="373">
        <f>IF(ISNUMBER(D32),D32/Population!C31*10000,NA())</f>
        <v>3.1187657353927638</v>
      </c>
      <c r="L32" s="373">
        <f>IF(ISNUMBER(E32),E32/Population!D31*10000,NA())</f>
        <v>2.8641182915361854</v>
      </c>
      <c r="M32" s="373">
        <f>IF(ISNUMBER(F32),F32/Population!E31*10000,NA())</f>
        <v>2.5175759340292343</v>
      </c>
      <c r="N32" s="373">
        <f>IF(ISNUMBER(G32),G32/Population!F31*10000,NA())</f>
        <v>2.1382611541502166</v>
      </c>
      <c r="O32" s="856">
        <f>IF(ISNUMBER(H32),H32/Population!G31*10000,NA())</f>
        <v>1.8791675068848737</v>
      </c>
      <c r="P32" s="384" t="str">
        <f t="shared" si="0"/>
        <v>--</v>
      </c>
      <c r="Q32" s="70"/>
      <c r="R32" s="856">
        <f>IDACI!C32</f>
        <v>19.902611588091716</v>
      </c>
      <c r="S32" s="64"/>
      <c r="T32" s="64"/>
      <c r="U32" s="64"/>
      <c r="V32" s="139"/>
      <c r="W32" s="154"/>
      <c r="X32" s="170"/>
      <c r="Y32" s="72" t="str">
        <f t="shared" si="1"/>
        <v>England</v>
      </c>
      <c r="Z32" s="235">
        <v>24</v>
      </c>
      <c r="AA32" s="236">
        <f>IF(D32&gt;0,Population!C31,"")</f>
        <v>11478900</v>
      </c>
      <c r="AB32" s="236">
        <f>IF(E32&gt;0,Population!D31,"")</f>
        <v>11591700</v>
      </c>
      <c r="AC32" s="236">
        <f>IF(F32&gt;0,Population!E31,"")</f>
        <v>11677900</v>
      </c>
      <c r="AD32" s="236">
        <f>IF(G32&gt;0,Population!F31,"")</f>
        <v>11785277</v>
      </c>
      <c r="AE32" s="236">
        <f>IF(H32&gt;0,Population!G31,"")</f>
        <v>11866957</v>
      </c>
      <c r="AF32" s="232"/>
      <c r="AG32" s="232"/>
      <c r="AH32" s="232"/>
      <c r="AI32" s="217"/>
      <c r="AJ32" s="232"/>
      <c r="AK32" s="178"/>
    </row>
    <row r="33" spans="1:69" s="88" customFormat="1" ht="13.5" customHeight="1" x14ac:dyDescent="0.2">
      <c r="A33" s="135"/>
      <c r="B33" s="140" t="s">
        <v>90</v>
      </c>
      <c r="C33" s="64"/>
      <c r="D33" s="64"/>
      <c r="E33" s="64"/>
      <c r="F33" s="64"/>
      <c r="G33" s="64"/>
      <c r="H33" s="64"/>
      <c r="I33" s="64"/>
      <c r="J33" s="64"/>
      <c r="K33" s="64"/>
      <c r="L33" s="64"/>
      <c r="M33" s="64"/>
      <c r="N33" s="64"/>
      <c r="O33" s="64"/>
      <c r="P33" s="151" t="s">
        <v>111</v>
      </c>
      <c r="R33" s="64"/>
      <c r="S33" s="64"/>
      <c r="T33" s="64"/>
      <c r="U33" s="64"/>
      <c r="V33" s="134"/>
      <c r="W33" s="152"/>
      <c r="X33" s="168"/>
      <c r="Y33" s="87"/>
      <c r="Z33" s="210"/>
      <c r="AA33" s="210"/>
      <c r="AB33" s="210"/>
      <c r="AC33" s="210"/>
      <c r="AD33" s="210"/>
      <c r="AE33" s="210"/>
      <c r="AF33" s="210"/>
      <c r="AG33" s="210"/>
      <c r="AH33" s="210"/>
      <c r="AJ33" s="210"/>
      <c r="AK33" s="179"/>
    </row>
    <row r="34" spans="1:69" s="88" customFormat="1" ht="10.5" customHeight="1" x14ac:dyDescent="0.2">
      <c r="A34" s="135"/>
      <c r="B34" s="1119"/>
      <c r="C34" s="1120"/>
      <c r="D34" s="1120"/>
      <c r="E34" s="1120"/>
      <c r="F34" s="1120"/>
      <c r="G34" s="1120"/>
      <c r="H34" s="1120"/>
      <c r="I34" s="1120"/>
      <c r="J34" s="1120"/>
      <c r="K34" s="1120"/>
      <c r="L34" s="1120"/>
      <c r="M34" s="1120"/>
      <c r="N34" s="1120"/>
      <c r="O34" s="1120"/>
      <c r="P34" s="1120"/>
      <c r="Q34" s="1120"/>
      <c r="R34" s="1120"/>
      <c r="S34" s="1120"/>
      <c r="T34" s="1120"/>
      <c r="U34" s="1121"/>
      <c r="V34" s="134"/>
      <c r="W34" s="152"/>
      <c r="X34" s="168"/>
      <c r="Y34" s="87"/>
      <c r="Z34" s="210"/>
      <c r="AA34" s="210"/>
      <c r="AB34" s="210"/>
      <c r="AC34" s="210"/>
      <c r="AD34" s="210"/>
      <c r="AE34" s="210"/>
      <c r="AF34" s="210"/>
      <c r="AG34" s="210"/>
      <c r="AH34" s="210"/>
      <c r="AJ34" s="210"/>
      <c r="AK34" s="175"/>
      <c r="AL34" s="80"/>
      <c r="AM34" s="80"/>
      <c r="AN34" s="80"/>
      <c r="AO34" s="80"/>
      <c r="AP34" s="80"/>
      <c r="AQ34" s="80"/>
      <c r="AR34" s="80"/>
    </row>
    <row r="35" spans="1:69" s="88" customFormat="1" ht="19.5" customHeight="1" x14ac:dyDescent="0.2">
      <c r="A35" s="309"/>
      <c r="B35" s="1122"/>
      <c r="C35" s="1123"/>
      <c r="D35" s="1123"/>
      <c r="E35" s="1123"/>
      <c r="F35" s="1123"/>
      <c r="G35" s="1123"/>
      <c r="H35" s="1123"/>
      <c r="I35" s="1123"/>
      <c r="J35" s="1123"/>
      <c r="K35" s="1123"/>
      <c r="L35" s="1123"/>
      <c r="M35" s="1123"/>
      <c r="N35" s="1123"/>
      <c r="O35" s="1123"/>
      <c r="P35" s="1123"/>
      <c r="Q35" s="1123"/>
      <c r="R35" s="1123"/>
      <c r="S35" s="1123"/>
      <c r="T35" s="1123"/>
      <c r="U35" s="1124"/>
      <c r="V35" s="134"/>
      <c r="W35" s="152"/>
      <c r="X35" s="168"/>
      <c r="Y35" s="87"/>
      <c r="Z35" s="210"/>
      <c r="AA35" s="210"/>
      <c r="AB35" s="210"/>
      <c r="AC35" s="210"/>
      <c r="AD35" s="210"/>
      <c r="AE35" s="210"/>
      <c r="AF35" s="210"/>
      <c r="AG35" s="210"/>
      <c r="AH35" s="210"/>
      <c r="AJ35" s="210"/>
      <c r="AK35" s="175"/>
      <c r="AL35" s="80"/>
      <c r="AM35" s="80"/>
      <c r="AN35" s="80"/>
      <c r="AO35" s="80"/>
      <c r="AP35" s="80"/>
      <c r="AQ35" s="80"/>
      <c r="AR35" s="80"/>
    </row>
    <row r="36" spans="1:69" s="88" customFormat="1" ht="7.5" customHeight="1" x14ac:dyDescent="0.2">
      <c r="A36" s="135"/>
      <c r="B36" s="18"/>
      <c r="C36" s="18"/>
      <c r="D36" s="17"/>
      <c r="E36" s="17"/>
      <c r="F36" s="17"/>
      <c r="G36" s="17"/>
      <c r="H36" s="17"/>
      <c r="I36" s="17"/>
      <c r="J36" s="13"/>
      <c r="K36" s="19"/>
      <c r="L36" s="19"/>
      <c r="M36" s="19"/>
      <c r="N36" s="19"/>
      <c r="O36" s="19"/>
      <c r="P36" s="19"/>
      <c r="Q36" s="19"/>
      <c r="R36" s="19"/>
      <c r="S36" s="19"/>
      <c r="T36" s="19"/>
      <c r="U36" s="20"/>
      <c r="V36" s="134"/>
      <c r="W36" s="152"/>
      <c r="X36" s="168"/>
      <c r="Z36" s="217"/>
      <c r="AJ36" s="210"/>
      <c r="AK36" s="175"/>
      <c r="AL36" s="80"/>
      <c r="AM36" s="80"/>
      <c r="AN36" s="80"/>
      <c r="AO36" s="80"/>
      <c r="AP36" s="80"/>
      <c r="AQ36" s="80"/>
      <c r="AR36" s="80"/>
    </row>
    <row r="37" spans="1:69" s="88" customFormat="1" ht="15" customHeight="1" x14ac:dyDescent="0.2">
      <c r="A37" s="1010"/>
      <c r="B37" s="1018"/>
      <c r="C37" s="1018"/>
      <c r="D37" s="1018"/>
      <c r="E37" s="1018"/>
      <c r="F37" s="1018"/>
      <c r="G37" s="1018"/>
      <c r="H37" s="1018"/>
      <c r="I37" s="1018"/>
      <c r="J37" s="1018"/>
      <c r="K37" s="1018"/>
      <c r="L37" s="1018"/>
      <c r="M37" s="1018"/>
      <c r="N37" s="1018"/>
      <c r="O37" s="1018"/>
      <c r="P37" s="1018"/>
      <c r="Q37" s="1018"/>
      <c r="R37" s="1018"/>
      <c r="S37" s="1018"/>
      <c r="T37" s="1018"/>
      <c r="U37" s="1018"/>
      <c r="V37" s="1019"/>
      <c r="W37" s="152"/>
      <c r="X37" s="168"/>
      <c r="Z37" s="217"/>
      <c r="AK37" s="179"/>
      <c r="AM37" s="88">
        <v>10</v>
      </c>
      <c r="AN37" s="88">
        <v>11</v>
      </c>
      <c r="AO37" s="88">
        <v>12</v>
      </c>
      <c r="AP37" s="88">
        <v>13</v>
      </c>
      <c r="AQ37" s="88">
        <v>14</v>
      </c>
      <c r="AS37" s="88">
        <v>3</v>
      </c>
      <c r="AT37" s="25">
        <v>4</v>
      </c>
      <c r="AU37" s="25">
        <v>5</v>
      </c>
      <c r="AV37" s="25">
        <v>6</v>
      </c>
      <c r="AW37" s="24">
        <v>7</v>
      </c>
      <c r="AX37" s="88">
        <v>3</v>
      </c>
      <c r="AY37" s="25">
        <v>4</v>
      </c>
      <c r="AZ37" s="25">
        <v>5</v>
      </c>
      <c r="BA37" s="25">
        <v>6</v>
      </c>
      <c r="BB37" s="24">
        <v>7</v>
      </c>
      <c r="BC37" s="88">
        <v>3</v>
      </c>
      <c r="BD37" s="25">
        <v>4</v>
      </c>
      <c r="BE37" s="25">
        <v>5</v>
      </c>
      <c r="BF37" s="25">
        <v>6</v>
      </c>
      <c r="BG37" s="24">
        <v>7</v>
      </c>
      <c r="BH37" s="88">
        <v>3</v>
      </c>
      <c r="BI37" s="88">
        <v>4</v>
      </c>
      <c r="BJ37" s="88">
        <v>5</v>
      </c>
      <c r="BK37" s="88">
        <v>6</v>
      </c>
      <c r="BL37" s="88">
        <v>7</v>
      </c>
    </row>
    <row r="38" spans="1:69" s="88" customFormat="1" ht="11.25" customHeight="1" x14ac:dyDescent="0.2">
      <c r="A38" s="1020" t="str">
        <f>Home!$A$35</f>
        <v>LA's provide quarterly data on the condition that it is used by the benchmarking group for internal reporting only. Please DO NOT share other LA's data with any external partners or the public</v>
      </c>
      <c r="B38" s="1021"/>
      <c r="C38" s="1021"/>
      <c r="D38" s="1021"/>
      <c r="E38" s="1021"/>
      <c r="F38" s="1021"/>
      <c r="G38" s="1021"/>
      <c r="H38" s="1021"/>
      <c r="I38" s="1022"/>
      <c r="J38" s="1021"/>
      <c r="K38" s="1021"/>
      <c r="L38" s="1021"/>
      <c r="M38" s="1021"/>
      <c r="N38" s="1021"/>
      <c r="O38" s="1021"/>
      <c r="P38" s="1021"/>
      <c r="Q38" s="1021"/>
      <c r="R38" s="1021"/>
      <c r="S38" s="1022"/>
      <c r="T38" s="1067"/>
      <c r="U38" s="1021"/>
      <c r="V38" s="1023"/>
      <c r="W38" s="152"/>
      <c r="X38" s="168"/>
      <c r="Z38" s="217"/>
      <c r="AJ38" s="210"/>
      <c r="AK38" s="178"/>
      <c r="AL38" s="101"/>
      <c r="AM38" s="454" t="s">
        <v>89</v>
      </c>
      <c r="AN38" s="455"/>
      <c r="AO38" s="455"/>
      <c r="AP38" s="455"/>
      <c r="AQ38" s="455"/>
      <c r="AR38" s="454" t="s">
        <v>95</v>
      </c>
      <c r="AS38" s="56" t="s">
        <v>190</v>
      </c>
      <c r="AT38" s="25"/>
      <c r="AU38" s="25"/>
      <c r="AV38" s="25"/>
      <c r="AW38" s="24"/>
      <c r="AX38" s="56" t="s">
        <v>191</v>
      </c>
      <c r="AY38" s="25"/>
      <c r="AZ38" s="25"/>
      <c r="BA38" s="25"/>
      <c r="BB38" s="24"/>
      <c r="BC38" s="56" t="s">
        <v>192</v>
      </c>
      <c r="BD38" s="25"/>
      <c r="BE38" s="25"/>
      <c r="BF38" s="25"/>
      <c r="BG38" s="24"/>
      <c r="BH38" s="56" t="s">
        <v>811</v>
      </c>
      <c r="BI38" s="25"/>
      <c r="BJ38" s="25"/>
      <c r="BK38" s="25"/>
      <c r="BL38" s="24"/>
      <c r="BM38" s="56" t="s">
        <v>812</v>
      </c>
      <c r="BN38" s="25"/>
      <c r="BO38" s="25"/>
      <c r="BP38" s="25"/>
      <c r="BQ38" s="24"/>
    </row>
    <row r="39" spans="1:69" s="88" customFormat="1" ht="11.25" customHeight="1" x14ac:dyDescent="0.2">
      <c r="A39" s="129"/>
      <c r="B39" s="130"/>
      <c r="C39" s="130"/>
      <c r="D39" s="130"/>
      <c r="E39" s="130"/>
      <c r="F39" s="130"/>
      <c r="G39" s="130"/>
      <c r="H39" s="130"/>
      <c r="I39" s="130"/>
      <c r="J39" s="131"/>
      <c r="K39" s="130"/>
      <c r="L39" s="130"/>
      <c r="M39" s="130"/>
      <c r="N39" s="130"/>
      <c r="O39" s="130"/>
      <c r="P39" s="130"/>
      <c r="Q39" s="130"/>
      <c r="R39" s="130"/>
      <c r="S39" s="130"/>
      <c r="T39" s="130"/>
      <c r="U39" s="130"/>
      <c r="V39" s="132"/>
      <c r="W39" s="152"/>
      <c r="X39" s="167" t="s">
        <v>102</v>
      </c>
      <c r="Y39" s="224"/>
      <c r="Z39" s="224"/>
      <c r="AA39" s="224"/>
      <c r="AB39" s="224"/>
      <c r="AC39" s="224"/>
      <c r="AJ39" s="210"/>
      <c r="AK39" s="178"/>
      <c r="AL39" s="101"/>
      <c r="AM39" s="454"/>
      <c r="AN39" s="454"/>
      <c r="AO39" s="454"/>
      <c r="AP39" s="454"/>
      <c r="AQ39" s="454"/>
      <c r="AR39" s="455"/>
      <c r="AS39" s="454"/>
      <c r="AT39" s="454"/>
      <c r="AU39" s="454"/>
      <c r="AV39" s="454"/>
      <c r="AW39" s="454"/>
      <c r="AX39" s="454"/>
      <c r="AY39" s="454"/>
      <c r="AZ39" s="454"/>
      <c r="BA39" s="454"/>
      <c r="BB39" s="454"/>
      <c r="BC39" s="454"/>
      <c r="BD39" s="454"/>
      <c r="BE39" s="454"/>
      <c r="BF39" s="454"/>
      <c r="BG39" s="454"/>
      <c r="BH39" s="454"/>
      <c r="BI39" s="454"/>
      <c r="BJ39" s="454"/>
      <c r="BK39" s="454"/>
      <c r="BL39" s="454"/>
      <c r="BM39" s="708"/>
      <c r="BN39" s="708"/>
      <c r="BO39" s="708"/>
      <c r="BP39" s="708"/>
      <c r="BQ39" s="708"/>
    </row>
    <row r="40" spans="1:69" s="88" customFormat="1" ht="7.5" customHeight="1" x14ac:dyDescent="0.25">
      <c r="A40" s="133"/>
      <c r="B40" s="9"/>
      <c r="C40" s="9"/>
      <c r="D40" s="9"/>
      <c r="E40" s="9"/>
      <c r="F40" s="9"/>
      <c r="G40" s="9"/>
      <c r="H40" s="9"/>
      <c r="I40" s="9"/>
      <c r="J40" s="13"/>
      <c r="K40" s="9"/>
      <c r="L40" s="9"/>
      <c r="M40" s="9"/>
      <c r="N40" s="9"/>
      <c r="O40" s="9"/>
      <c r="P40" s="9"/>
      <c r="Q40" s="9"/>
      <c r="R40" s="9"/>
      <c r="S40" s="9"/>
      <c r="T40" s="9"/>
      <c r="U40" s="9"/>
      <c r="V40" s="134"/>
      <c r="W40" s="152"/>
      <c r="X40" s="326"/>
      <c r="Y40" s="646" t="s">
        <v>30</v>
      </c>
      <c r="Z40" s="259" t="s">
        <v>8</v>
      </c>
      <c r="AA40" s="259" t="s">
        <v>103</v>
      </c>
      <c r="AB40" s="1033" t="s">
        <v>76</v>
      </c>
      <c r="AC40" s="1033" t="s">
        <v>77</v>
      </c>
      <c r="AK40" s="178"/>
      <c r="AL40" s="101"/>
      <c r="AM40" s="454">
        <f>D8</f>
        <v>2014</v>
      </c>
      <c r="AN40" s="454">
        <f>E8</f>
        <v>2015</v>
      </c>
      <c r="AO40" s="454">
        <f>F8</f>
        <v>2016</v>
      </c>
      <c r="AP40" s="454">
        <f>G8</f>
        <v>2017</v>
      </c>
      <c r="AQ40" s="454">
        <f>H8</f>
        <v>2018</v>
      </c>
      <c r="AR40" s="455"/>
      <c r="AS40" s="454">
        <f>K8</f>
        <v>2014</v>
      </c>
      <c r="AT40" s="454">
        <f>L8</f>
        <v>2015</v>
      </c>
      <c r="AU40" s="454">
        <f>M8</f>
        <v>2016</v>
      </c>
      <c r="AV40" s="454">
        <f>N8</f>
        <v>2017</v>
      </c>
      <c r="AW40" s="454">
        <f>O8</f>
        <v>2018</v>
      </c>
      <c r="AX40" s="454">
        <f t="shared" ref="AX40:BG40" si="5">AS40</f>
        <v>2014</v>
      </c>
      <c r="AY40" s="454">
        <f t="shared" si="5"/>
        <v>2015</v>
      </c>
      <c r="AZ40" s="454">
        <f t="shared" si="5"/>
        <v>2016</v>
      </c>
      <c r="BA40" s="454">
        <f t="shared" si="5"/>
        <v>2017</v>
      </c>
      <c r="BB40" s="454">
        <f t="shared" si="5"/>
        <v>2018</v>
      </c>
      <c r="BC40" s="454">
        <f t="shared" si="5"/>
        <v>2014</v>
      </c>
      <c r="BD40" s="454">
        <f t="shared" si="5"/>
        <v>2015</v>
      </c>
      <c r="BE40" s="454">
        <f t="shared" si="5"/>
        <v>2016</v>
      </c>
      <c r="BF40" s="454">
        <f t="shared" si="5"/>
        <v>2017</v>
      </c>
      <c r="BG40" s="454">
        <f t="shared" si="5"/>
        <v>2018</v>
      </c>
      <c r="BH40" s="454">
        <f>Adoption!BC40</f>
        <v>2014</v>
      </c>
      <c r="BI40" s="454">
        <f>Adoption!BD40</f>
        <v>2015</v>
      </c>
      <c r="BJ40" s="454">
        <f>Adoption!BE40</f>
        <v>2016</v>
      </c>
      <c r="BK40" s="454">
        <f>Adoption!BF40</f>
        <v>2017</v>
      </c>
      <c r="BL40" s="454">
        <f>Adoption!BG40</f>
        <v>2018</v>
      </c>
      <c r="BM40" s="708">
        <f>BH40</f>
        <v>2014</v>
      </c>
      <c r="BN40" s="902">
        <f t="shared" ref="BN40:BQ40" si="6">BI40</f>
        <v>2015</v>
      </c>
      <c r="BO40" s="902">
        <f t="shared" si="6"/>
        <v>2016</v>
      </c>
      <c r="BP40" s="902">
        <f t="shared" si="6"/>
        <v>2017</v>
      </c>
      <c r="BQ40" s="902">
        <f t="shared" si="6"/>
        <v>2018</v>
      </c>
    </row>
    <row r="41" spans="1:69" s="88" customFormat="1" ht="14.25" customHeight="1" x14ac:dyDescent="0.2">
      <c r="A41" s="135"/>
      <c r="B41" s="9"/>
      <c r="C41" s="9"/>
      <c r="D41" s="9"/>
      <c r="E41" s="9"/>
      <c r="F41" s="9"/>
      <c r="G41" s="9"/>
      <c r="H41" s="9"/>
      <c r="I41" s="9"/>
      <c r="J41" s="13"/>
      <c r="K41" s="9"/>
      <c r="L41" s="9"/>
      <c r="M41" s="9"/>
      <c r="N41" s="9"/>
      <c r="O41" s="9"/>
      <c r="P41" s="9"/>
      <c r="Q41" s="9"/>
      <c r="R41" s="9"/>
      <c r="S41" s="9"/>
      <c r="T41" s="9"/>
      <c r="U41" s="9"/>
      <c r="V41" s="134"/>
      <c r="W41" s="152"/>
      <c r="X41" s="326"/>
      <c r="Y41" s="647" t="e">
        <f ca="1">OFFSET(B8,$Y$4,0)</f>
        <v>#N/A</v>
      </c>
      <c r="Z41" s="238" t="e">
        <f ca="1">OFFSET(R7,(VLOOKUP(Y41,$Z$42:$AA$63,2,FALSE)),0)</f>
        <v>#N/A</v>
      </c>
      <c r="AA41" s="238" t="e">
        <f ca="1">(OFFSET(O7,(VLOOKUP(Y41,$Z$42:$AA$63,2,FALSE)),0))</f>
        <v>#N/A</v>
      </c>
      <c r="AB41" s="1034"/>
      <c r="AC41" s="1034"/>
      <c r="AJ41" s="642" t="b">
        <v>1</v>
      </c>
      <c r="AK41" s="178" t="s">
        <v>0</v>
      </c>
      <c r="AL41" s="101" t="str">
        <f t="shared" ref="AL41:AL64" si="7">IF(AJ41=TRUE,B9,"")</f>
        <v>Bracknell Forest</v>
      </c>
      <c r="AM41" s="164" t="e">
        <f t="shared" ref="AM41:AQ50" si="8">VLOOKUP($AL41,$B$9:$O$32,AM$37,FALSE)</f>
        <v>#N/A</v>
      </c>
      <c r="AN41" s="164">
        <f t="shared" si="8"/>
        <v>1.7985611510791368</v>
      </c>
      <c r="AO41" s="164">
        <f t="shared" si="8"/>
        <v>1.773049645390071</v>
      </c>
      <c r="AP41" s="164" t="e">
        <f t="shared" si="8"/>
        <v>#N/A</v>
      </c>
      <c r="AQ41" s="164" t="e">
        <f t="shared" si="8"/>
        <v>#N/A</v>
      </c>
      <c r="AR41" s="165">
        <f>VLOOKUP(AL41,$B$9:$U$32,17,FALSE)</f>
        <v>11</v>
      </c>
      <c r="AS41" s="398" t="e">
        <f>VLOOKUP($AL41,#REF!,AS$37,FALSE)</f>
        <v>#REF!</v>
      </c>
      <c r="AT41" s="398" t="e">
        <f>VLOOKUP($AL41,#REF!,AT$37,FALSE)</f>
        <v>#REF!</v>
      </c>
      <c r="AU41" s="398" t="e">
        <f>VLOOKUP($AL41,#REF!,AU$37,FALSE)</f>
        <v>#REF!</v>
      </c>
      <c r="AV41" s="398" t="e">
        <f>VLOOKUP($AL41,#REF!,AV$37,FALSE)</f>
        <v>#REF!</v>
      </c>
      <c r="AW41" s="398" t="e">
        <f>VLOOKUP($AL41,#REF!,AW$37,FALSE)</f>
        <v>#REF!</v>
      </c>
      <c r="AX41" s="398">
        <f t="shared" ref="AX41:BB50" si="9">VLOOKUP($AL41,$B$76:$H$99,AX$37,FALSE)</f>
        <v>0.20833333333333334</v>
      </c>
      <c r="AY41" s="398">
        <f t="shared" si="9"/>
        <v>0.10344827586206896</v>
      </c>
      <c r="AZ41" s="398">
        <f t="shared" si="9"/>
        <v>0.13235294117647059</v>
      </c>
      <c r="BA41" s="398" t="e">
        <f t="shared" si="9"/>
        <v>#N/A</v>
      </c>
      <c r="BB41" s="398" t="e">
        <f t="shared" si="9"/>
        <v>#N/A</v>
      </c>
      <c r="BC41" s="398" t="e">
        <f>VLOOKUP($AL41,#REF!,BC$37,FALSE)</f>
        <v>#REF!</v>
      </c>
      <c r="BD41" s="398" t="e">
        <f>VLOOKUP($AL41,#REF!,BD$37,FALSE)</f>
        <v>#REF!</v>
      </c>
      <c r="BE41" s="398" t="e">
        <f>VLOOKUP($AL41,#REF!,BE$37,FALSE)</f>
        <v>#REF!</v>
      </c>
      <c r="BF41" s="398" t="e">
        <f>VLOOKUP($AL41,#REF!,BF$37,FALSE)</f>
        <v>#REF!</v>
      </c>
      <c r="BG41" s="398" t="e">
        <f>VLOOKUP($AL41,#REF!,BG$37,FALSE)</f>
        <v>#REF!</v>
      </c>
      <c r="BH41" s="398" t="e">
        <f>VLOOKUP($AK41,Adoption!$B$111:$H$134,BH$37,FALSE)</f>
        <v>#N/A</v>
      </c>
      <c r="BI41" s="398" t="e">
        <f>VLOOKUP($AK41,Adoption!$B$111:$H$134,BI$37,FALSE)</f>
        <v>#N/A</v>
      </c>
      <c r="BJ41" s="398" t="e">
        <f>VLOOKUP($AK41,Adoption!$B$111:$H$134,BJ$37,FALSE)</f>
        <v>#N/A</v>
      </c>
      <c r="BK41" s="398" t="e">
        <f>VLOOKUP($AK41,Adoption!$B$111:$H$134,BK$37,FALSE)</f>
        <v>#N/A</v>
      </c>
      <c r="BL41" s="398" t="e">
        <f>VLOOKUP($AK41,Adoption!$B$111:$H$134,BL$37,FALSE)</f>
        <v>#N/A</v>
      </c>
      <c r="BM41" s="398" t="e">
        <f>VLOOKUP($AK41,Adoption!$B$146:$H$169,BH$37,FALSE)</f>
        <v>#N/A</v>
      </c>
      <c r="BN41" s="398">
        <f>VLOOKUP($AK41,Adoption!$B$146:$H$169,BI$37,FALSE)</f>
        <v>0.17241379310344829</v>
      </c>
      <c r="BO41" s="398">
        <f>VLOOKUP($AK41,Adoption!$B$146:$H$169,BJ$37,FALSE)</f>
        <v>0.14705882352941177</v>
      </c>
      <c r="BP41" s="398">
        <f>VLOOKUP($AK41,Adoption!$B$146:$H$169,BK$37,FALSE)</f>
        <v>0.20408163265306123</v>
      </c>
      <c r="BQ41" s="398" t="e">
        <f>VLOOKUP($AK41,Adoption!$B$146:$H$169,BL$37,FALSE)</f>
        <v>#N/A</v>
      </c>
    </row>
    <row r="42" spans="1:69" s="88" customFormat="1" ht="14.25" customHeight="1" x14ac:dyDescent="0.2">
      <c r="A42" s="135"/>
      <c r="B42" s="9"/>
      <c r="C42" s="9"/>
      <c r="D42" s="9"/>
      <c r="E42" s="9"/>
      <c r="F42" s="9"/>
      <c r="G42" s="9"/>
      <c r="H42" s="9"/>
      <c r="I42" s="9"/>
      <c r="J42" s="13"/>
      <c r="K42" s="9"/>
      <c r="L42" s="9"/>
      <c r="M42" s="9"/>
      <c r="N42" s="9"/>
      <c r="O42" s="9"/>
      <c r="P42" s="9"/>
      <c r="Q42" s="9"/>
      <c r="R42" s="9"/>
      <c r="S42" s="9"/>
      <c r="T42" s="9"/>
      <c r="U42" s="9"/>
      <c r="V42" s="134"/>
      <c r="W42" s="152"/>
      <c r="X42" s="326"/>
      <c r="Y42" s="647">
        <v>1</v>
      </c>
      <c r="Z42" s="50" t="str">
        <f t="shared" ref="Z42:Z65" si="10">B9</f>
        <v>Bracknell Forest</v>
      </c>
      <c r="AA42" s="45">
        <v>2</v>
      </c>
      <c r="AB42" s="46">
        <f>IF(H9&gt;0,IDACI!D9,0)</f>
        <v>23799</v>
      </c>
      <c r="AC42" s="46">
        <f>IF(H9&gt;0,IDACI!E9,0)</f>
        <v>2617.89</v>
      </c>
      <c r="AJ42" s="642" t="b">
        <v>1</v>
      </c>
      <c r="AK42" s="178" t="s">
        <v>32</v>
      </c>
      <c r="AL42" s="101" t="str">
        <f t="shared" si="7"/>
        <v>Brighton &amp; Hove</v>
      </c>
      <c r="AM42" s="164">
        <f t="shared" si="8"/>
        <v>4.9504950495049505</v>
      </c>
      <c r="AN42" s="164">
        <f t="shared" si="8"/>
        <v>4.9019607843137258</v>
      </c>
      <c r="AO42" s="164">
        <f t="shared" si="8"/>
        <v>2.9296875</v>
      </c>
      <c r="AP42" s="164">
        <f t="shared" si="8"/>
        <v>6.045123925040464</v>
      </c>
      <c r="AQ42" s="164">
        <f t="shared" si="8"/>
        <v>3.7268786410623562</v>
      </c>
      <c r="AR42" s="165">
        <f t="shared" ref="AR42:AR64" si="11">VLOOKUP(AL42,$B$9:$U$31,17,FALSE)</f>
        <v>18.3</v>
      </c>
      <c r="AS42" s="398" t="e">
        <f>VLOOKUP($AL42,#REF!,AS$37,FALSE)</f>
        <v>#REF!</v>
      </c>
      <c r="AT42" s="398" t="e">
        <f>VLOOKUP($AL42,#REF!,AT$37,FALSE)</f>
        <v>#REF!</v>
      </c>
      <c r="AU42" s="398" t="e">
        <f>VLOOKUP($AL42,#REF!,AU$37,FALSE)</f>
        <v>#REF!</v>
      </c>
      <c r="AV42" s="398" t="e">
        <f>VLOOKUP($AL42,#REF!,AV$37,FALSE)</f>
        <v>#REF!</v>
      </c>
      <c r="AW42" s="398" t="e">
        <f>VLOOKUP($AL42,#REF!,AW$37,FALSE)</f>
        <v>#REF!</v>
      </c>
      <c r="AX42" s="398">
        <f t="shared" si="9"/>
        <v>0.21111111111111111</v>
      </c>
      <c r="AY42" s="398">
        <f t="shared" si="9"/>
        <v>0.265625</v>
      </c>
      <c r="AZ42" s="398">
        <f t="shared" si="9"/>
        <v>0.15918367346938775</v>
      </c>
      <c r="BA42" s="398">
        <f t="shared" si="9"/>
        <v>0.12849162011173185</v>
      </c>
      <c r="BB42" s="398">
        <f t="shared" si="9"/>
        <v>0.18181818181818182</v>
      </c>
      <c r="BC42" s="398" t="e">
        <f>VLOOKUP($AL42,#REF!,BC$37,FALSE)</f>
        <v>#REF!</v>
      </c>
      <c r="BD42" s="398" t="e">
        <f>VLOOKUP($AL42,#REF!,BD$37,FALSE)</f>
        <v>#REF!</v>
      </c>
      <c r="BE42" s="398" t="e">
        <f>VLOOKUP($AL42,#REF!,BE$37,FALSE)</f>
        <v>#REF!</v>
      </c>
      <c r="BF42" s="398" t="e">
        <f>VLOOKUP($AL42,#REF!,BF$37,FALSE)</f>
        <v>#REF!</v>
      </c>
      <c r="BG42" s="398" t="e">
        <f>VLOOKUP($AL42,#REF!,BG$37,FALSE)</f>
        <v>#REF!</v>
      </c>
      <c r="BH42" s="398" t="e">
        <f>VLOOKUP($AK42,Adoption!$B$111:$H$134,BH$37,FALSE)</f>
        <v>#N/A</v>
      </c>
      <c r="BI42" s="398">
        <f>VLOOKUP($AK42,Adoption!$B$111:$H$134,BI$37,FALSE)</f>
        <v>2.6041666666666668E-2</v>
      </c>
      <c r="BJ42" s="398" t="e">
        <f>VLOOKUP($AK42,Adoption!$B$111:$H$134,BJ$37,FALSE)</f>
        <v>#N/A</v>
      </c>
      <c r="BK42" s="398" t="e">
        <f>VLOOKUP($AK42,Adoption!$B$111:$H$134,BK$37,FALSE)</f>
        <v>#N/A</v>
      </c>
      <c r="BL42" s="398">
        <f>VLOOKUP($AK42,Adoption!$B$111:$H$134,BL$37,FALSE)</f>
        <v>3.9772727272727272E-2</v>
      </c>
      <c r="BM42" s="398">
        <f>VLOOKUP($AK42,Adoption!$B$146:$H$169,BH$37,FALSE)</f>
        <v>8.3333333333333329E-2</v>
      </c>
      <c r="BN42" s="398">
        <f>VLOOKUP($AK42,Adoption!$B$146:$H$169,BI$37,FALSE)</f>
        <v>0.13020833333333334</v>
      </c>
      <c r="BO42" s="398">
        <f>VLOOKUP($AK42,Adoption!$B$146:$H$169,BJ$37,FALSE)</f>
        <v>0.16326530612244897</v>
      </c>
      <c r="BP42" s="398">
        <f>VLOOKUP($AK42,Adoption!$B$146:$H$169,BK$37,FALSE)</f>
        <v>9.4972067039106142E-2</v>
      </c>
      <c r="BQ42" s="398">
        <f>VLOOKUP($AK42,Adoption!$B$146:$H$169,BL$37,FALSE)</f>
        <v>0.14204545454545456</v>
      </c>
    </row>
    <row r="43" spans="1:69" ht="14.25" customHeight="1" x14ac:dyDescent="0.2">
      <c r="A43" s="135"/>
      <c r="B43" s="9"/>
      <c r="C43" s="9"/>
      <c r="D43" s="9"/>
      <c r="E43" s="9"/>
      <c r="F43" s="9"/>
      <c r="G43" s="9"/>
      <c r="H43" s="9"/>
      <c r="I43" s="9"/>
      <c r="J43" s="13"/>
      <c r="K43" s="9"/>
      <c r="L43" s="9"/>
      <c r="M43" s="9"/>
      <c r="N43" s="9"/>
      <c r="O43" s="9"/>
      <c r="P43" s="9"/>
      <c r="Q43" s="9"/>
      <c r="R43" s="9"/>
      <c r="S43" s="9"/>
      <c r="T43" s="9"/>
      <c r="U43" s="9"/>
      <c r="V43" s="134"/>
      <c r="W43" s="152"/>
      <c r="X43" s="326"/>
      <c r="Y43" s="647">
        <v>2</v>
      </c>
      <c r="Z43" s="50" t="str">
        <f t="shared" si="10"/>
        <v>Brighton &amp; Hove</v>
      </c>
      <c r="AA43" s="45">
        <v>3</v>
      </c>
      <c r="AB43" s="46">
        <f>IF(H10&gt;0,IDACI!D10,0)</f>
        <v>44814</v>
      </c>
      <c r="AC43" s="46">
        <f>IF(H10&gt;0,IDACI!E10,0)</f>
        <v>8200.9619999999995</v>
      </c>
      <c r="AJ43" s="642" t="b">
        <v>1</v>
      </c>
      <c r="AK43" s="178" t="s">
        <v>9</v>
      </c>
      <c r="AL43" s="101" t="str">
        <f t="shared" si="7"/>
        <v>Buckinghamshire</v>
      </c>
      <c r="AM43" s="164">
        <f t="shared" si="8"/>
        <v>1.2755102040816328</v>
      </c>
      <c r="AN43" s="164">
        <f t="shared" si="8"/>
        <v>2.1026072329688814</v>
      </c>
      <c r="AO43" s="164">
        <f t="shared" si="8"/>
        <v>2.0729684908789388</v>
      </c>
      <c r="AP43" s="164">
        <f t="shared" si="8"/>
        <v>1.1456159731598543</v>
      </c>
      <c r="AQ43" s="164">
        <f t="shared" si="8"/>
        <v>0.73126142595978061</v>
      </c>
      <c r="AR43" s="165">
        <f t="shared" si="11"/>
        <v>9.8000000000000007</v>
      </c>
      <c r="AS43" s="398" t="e">
        <f>VLOOKUP($AL43,#REF!,AS$37,FALSE)</f>
        <v>#REF!</v>
      </c>
      <c r="AT43" s="398" t="e">
        <f>VLOOKUP($AL43,#REF!,AT$37,FALSE)</f>
        <v>#REF!</v>
      </c>
      <c r="AU43" s="398" t="e">
        <f>VLOOKUP($AL43,#REF!,AU$37,FALSE)</f>
        <v>#REF!</v>
      </c>
      <c r="AV43" s="398" t="e">
        <f>VLOOKUP($AL43,#REF!,AV$37,FALSE)</f>
        <v>#REF!</v>
      </c>
      <c r="AW43" s="398" t="e">
        <f>VLOOKUP($AL43,#REF!,AW$37,FALSE)</f>
        <v>#REF!</v>
      </c>
      <c r="AX43" s="398">
        <f t="shared" si="9"/>
        <v>0.22727272727272727</v>
      </c>
      <c r="AY43" s="398">
        <f t="shared" si="9"/>
        <v>0.19753086419753085</v>
      </c>
      <c r="AZ43" s="398">
        <f t="shared" si="9"/>
        <v>0.16740088105726872</v>
      </c>
      <c r="BA43" s="398">
        <f t="shared" si="9"/>
        <v>0.17674418604651163</v>
      </c>
      <c r="BB43" s="398">
        <f t="shared" si="9"/>
        <v>0.13259668508287292</v>
      </c>
      <c r="BC43" s="398" t="e">
        <f>VLOOKUP($AL43,#REF!,BC$37,FALSE)</f>
        <v>#REF!</v>
      </c>
      <c r="BD43" s="398" t="e">
        <f>VLOOKUP($AL43,#REF!,BD$37,FALSE)</f>
        <v>#REF!</v>
      </c>
      <c r="BE43" s="398" t="e">
        <f>VLOOKUP($AL43,#REF!,BE$37,FALSE)</f>
        <v>#REF!</v>
      </c>
      <c r="BF43" s="398" t="e">
        <f>VLOOKUP($AL43,#REF!,BF$37,FALSE)</f>
        <v>#REF!</v>
      </c>
      <c r="BG43" s="398" t="e">
        <f>VLOOKUP($AL43,#REF!,BG$37,FALSE)</f>
        <v>#REF!</v>
      </c>
      <c r="BH43" s="398" t="e">
        <f>VLOOKUP($AK43,Adoption!$B$111:$H$134,BH$37,FALSE)</f>
        <v>#N/A</v>
      </c>
      <c r="BI43" s="398" t="e">
        <f>VLOOKUP($AK43,Adoption!$B$111:$H$134,BI$37,FALSE)</f>
        <v>#N/A</v>
      </c>
      <c r="BJ43" s="398">
        <f>VLOOKUP($AK43,Adoption!$B$111:$H$134,BJ$37,FALSE)</f>
        <v>2.2026431718061675E-2</v>
      </c>
      <c r="BK43" s="398">
        <f>VLOOKUP($AK43,Adoption!$B$111:$H$134,BK$37,FALSE)</f>
        <v>3.7209302325581395E-2</v>
      </c>
      <c r="BL43" s="398" t="e">
        <f>VLOOKUP($AK43,Adoption!$B$111:$H$134,BL$37,FALSE)</f>
        <v>#N/A</v>
      </c>
      <c r="BM43" s="398">
        <f>VLOOKUP($AK43,Adoption!$B$146:$H$169,BH$37,FALSE)</f>
        <v>0.11363636363636363</v>
      </c>
      <c r="BN43" s="398">
        <f>VLOOKUP($AK43,Adoption!$B$146:$H$169,BI$37,FALSE)</f>
        <v>0.12345679012345678</v>
      </c>
      <c r="BO43" s="398">
        <f>VLOOKUP($AK43,Adoption!$B$146:$H$169,BJ$37,FALSE)</f>
        <v>8.8105726872246701E-2</v>
      </c>
      <c r="BP43" s="398">
        <f>VLOOKUP($AK43,Adoption!$B$146:$H$169,BK$37,FALSE)</f>
        <v>8.3720930232558138E-2</v>
      </c>
      <c r="BQ43" s="398">
        <f>VLOOKUP($AK43,Adoption!$B$146:$H$169,BL$37,FALSE)</f>
        <v>0.17127071823204421</v>
      </c>
    </row>
    <row r="44" spans="1:69" ht="14.25" customHeight="1" x14ac:dyDescent="0.2">
      <c r="A44" s="135"/>
      <c r="B44" s="9"/>
      <c r="C44" s="9"/>
      <c r="D44" s="9"/>
      <c r="E44" s="9"/>
      <c r="F44" s="9"/>
      <c r="G44" s="9"/>
      <c r="H44" s="9"/>
      <c r="I44" s="9"/>
      <c r="J44" s="13"/>
      <c r="K44" s="14"/>
      <c r="L44" s="14"/>
      <c r="M44" s="14"/>
      <c r="N44" s="14"/>
      <c r="O44" s="15"/>
      <c r="P44" s="15"/>
      <c r="Q44" s="15"/>
      <c r="R44" s="15"/>
      <c r="S44" s="15"/>
      <c r="T44" s="15"/>
      <c r="U44" s="15"/>
      <c r="V44" s="134"/>
      <c r="W44" s="152"/>
      <c r="X44" s="326"/>
      <c r="Y44" s="647">
        <v>3</v>
      </c>
      <c r="Z44" s="50" t="str">
        <f t="shared" si="10"/>
        <v>Buckinghamshire</v>
      </c>
      <c r="AA44" s="45">
        <v>4</v>
      </c>
      <c r="AB44" s="46">
        <f>IF(H11&gt;0,IDACI!D11,0)</f>
        <v>103548</v>
      </c>
      <c r="AC44" s="46">
        <f>IF(H11&gt;0,IDACI!E11,0)</f>
        <v>10147.704</v>
      </c>
      <c r="AJ44" s="642" t="b">
        <v>1</v>
      </c>
      <c r="AK44" s="178" t="s">
        <v>4</v>
      </c>
      <c r="AL44" s="101" t="str">
        <f t="shared" si="7"/>
        <v>East Sussex</v>
      </c>
      <c r="AM44" s="164">
        <f t="shared" si="8"/>
        <v>2.8625954198473282</v>
      </c>
      <c r="AN44" s="164">
        <f t="shared" si="8"/>
        <v>3.795066413662239</v>
      </c>
      <c r="AO44" s="164">
        <f t="shared" si="8"/>
        <v>2.8328611898016995</v>
      </c>
      <c r="AP44" s="164">
        <f t="shared" si="8"/>
        <v>2.8322460655381736</v>
      </c>
      <c r="AQ44" s="164">
        <f t="shared" si="8"/>
        <v>2.4517893347163939</v>
      </c>
      <c r="AR44" s="165">
        <f t="shared" si="11"/>
        <v>17.399999999999999</v>
      </c>
      <c r="AS44" s="398" t="e">
        <f>VLOOKUP($AL44,#REF!,AS$37,FALSE)</f>
        <v>#REF!</v>
      </c>
      <c r="AT44" s="398" t="e">
        <f>VLOOKUP($AL44,#REF!,AT$37,FALSE)</f>
        <v>#REF!</v>
      </c>
      <c r="AU44" s="398" t="e">
        <f>VLOOKUP($AL44,#REF!,AU$37,FALSE)</f>
        <v>#REF!</v>
      </c>
      <c r="AV44" s="398" t="e">
        <f>VLOOKUP($AL44,#REF!,AV$37,FALSE)</f>
        <v>#REF!</v>
      </c>
      <c r="AW44" s="398" t="e">
        <f>VLOOKUP($AL44,#REF!,AW$37,FALSE)</f>
        <v>#REF!</v>
      </c>
      <c r="AX44" s="398">
        <f t="shared" si="9"/>
        <v>0.26851851851851855</v>
      </c>
      <c r="AY44" s="398">
        <f t="shared" si="9"/>
        <v>0.2275132275132275</v>
      </c>
      <c r="AZ44" s="398">
        <f t="shared" si="9"/>
        <v>0.24479166666666666</v>
      </c>
      <c r="BA44" s="398">
        <f t="shared" si="9"/>
        <v>0.2</v>
      </c>
      <c r="BB44" s="398">
        <f t="shared" si="9"/>
        <v>0.19875776397515527</v>
      </c>
      <c r="BC44" s="398" t="e">
        <f>VLOOKUP($AL44,#REF!,BC$37,FALSE)</f>
        <v>#REF!</v>
      </c>
      <c r="BD44" s="398" t="e">
        <f>VLOOKUP($AL44,#REF!,BD$37,FALSE)</f>
        <v>#REF!</v>
      </c>
      <c r="BE44" s="398" t="e">
        <f>VLOOKUP($AL44,#REF!,BE$37,FALSE)</f>
        <v>#REF!</v>
      </c>
      <c r="BF44" s="398" t="e">
        <f>VLOOKUP($AL44,#REF!,BF$37,FALSE)</f>
        <v>#REF!</v>
      </c>
      <c r="BG44" s="398" t="e">
        <f>VLOOKUP($AL44,#REF!,BG$37,FALSE)</f>
        <v>#REF!</v>
      </c>
      <c r="BH44" s="398" t="e">
        <f>VLOOKUP($AK44,Adoption!$B$111:$H$134,BH$37,FALSE)</f>
        <v>#N/A</v>
      </c>
      <c r="BI44" s="398">
        <f>VLOOKUP($AK44,Adoption!$B$111:$H$134,BI$37,FALSE)</f>
        <v>5.2910052910052907E-2</v>
      </c>
      <c r="BJ44" s="398" t="e">
        <f>VLOOKUP($AK44,Adoption!$B$111:$H$134,BJ$37,FALSE)</f>
        <v>#N/A</v>
      </c>
      <c r="BK44" s="398" t="e">
        <f>VLOOKUP($AK44,Adoption!$B$111:$H$134,BK$37,FALSE)</f>
        <v>#N/A</v>
      </c>
      <c r="BL44" s="398" t="e">
        <f>VLOOKUP($AK44,Adoption!$B$111:$H$134,BL$37,FALSE)</f>
        <v>#N/A</v>
      </c>
      <c r="BM44" s="398">
        <f>VLOOKUP($AK44,Adoption!$B$146:$H$169,BH$37,FALSE)</f>
        <v>0.16203703703703703</v>
      </c>
      <c r="BN44" s="398">
        <f>VLOOKUP($AK44,Adoption!$B$146:$H$169,BI$37,FALSE)</f>
        <v>7.9365079365079361E-2</v>
      </c>
      <c r="BO44" s="398">
        <f>VLOOKUP($AK44,Adoption!$B$146:$H$169,BJ$37,FALSE)</f>
        <v>0.10416666666666667</v>
      </c>
      <c r="BP44" s="398">
        <f>VLOOKUP($AK44,Adoption!$B$146:$H$169,BK$37,FALSE)</f>
        <v>0.16216216216216217</v>
      </c>
      <c r="BQ44" s="398">
        <f>VLOOKUP($AK44,Adoption!$B$146:$H$169,BL$37,FALSE)</f>
        <v>0.11180124223602485</v>
      </c>
    </row>
    <row r="45" spans="1:69" s="82" customFormat="1" ht="14.25" customHeight="1" x14ac:dyDescent="0.2">
      <c r="A45" s="136"/>
      <c r="B45" s="256"/>
      <c r="C45" s="256"/>
      <c r="D45" s="257"/>
      <c r="E45" s="257"/>
      <c r="F45" s="257"/>
      <c r="G45" s="257"/>
      <c r="H45" s="257"/>
      <c r="I45" s="257"/>
      <c r="J45" s="16"/>
      <c r="K45" s="9"/>
      <c r="L45" s="9"/>
      <c r="M45" s="9"/>
      <c r="N45" s="9"/>
      <c r="O45" s="9"/>
      <c r="P45" s="9"/>
      <c r="Q45" s="9"/>
      <c r="R45" s="9"/>
      <c r="S45" s="9"/>
      <c r="T45" s="9"/>
      <c r="U45" s="9"/>
      <c r="V45" s="137"/>
      <c r="W45" s="153"/>
      <c r="X45" s="327"/>
      <c r="Y45" s="647">
        <v>4</v>
      </c>
      <c r="Z45" s="50" t="str">
        <f t="shared" si="10"/>
        <v>East Sussex</v>
      </c>
      <c r="AA45" s="45">
        <v>5</v>
      </c>
      <c r="AB45" s="46">
        <f>IF(H12&gt;0,IDACI!D12,0)</f>
        <v>91918</v>
      </c>
      <c r="AC45" s="46">
        <f>IF(H12&gt;0,IDACI!E12,0)</f>
        <v>15993.731999999998</v>
      </c>
      <c r="AD45" s="88"/>
      <c r="AE45" s="88"/>
      <c r="AF45" s="88"/>
      <c r="AG45" s="88"/>
      <c r="AH45" s="88"/>
      <c r="AI45" s="88"/>
      <c r="AJ45" s="642" t="b">
        <v>1</v>
      </c>
      <c r="AK45" s="178" t="s">
        <v>6</v>
      </c>
      <c r="AL45" s="101" t="str">
        <f t="shared" si="7"/>
        <v>Hampshire</v>
      </c>
      <c r="AM45" s="164">
        <f t="shared" si="8"/>
        <v>2.1284143313231643</v>
      </c>
      <c r="AN45" s="164">
        <f t="shared" si="8"/>
        <v>2.4866785079928952</v>
      </c>
      <c r="AO45" s="164">
        <f t="shared" si="8"/>
        <v>2.1284143313231643</v>
      </c>
      <c r="AP45" s="164">
        <f t="shared" si="8"/>
        <v>1.4498339763288082</v>
      </c>
      <c r="AQ45" s="164">
        <f t="shared" si="8"/>
        <v>1.941308936374482</v>
      </c>
      <c r="AR45" s="165">
        <f t="shared" si="11"/>
        <v>11.799999999999999</v>
      </c>
      <c r="AS45" s="398" t="e">
        <f>VLOOKUP($AL45,#REF!,AS$37,FALSE)</f>
        <v>#REF!</v>
      </c>
      <c r="AT45" s="398" t="e">
        <f>VLOOKUP($AL45,#REF!,AT$37,FALSE)</f>
        <v>#REF!</v>
      </c>
      <c r="AU45" s="398" t="e">
        <f>VLOOKUP($AL45,#REF!,AU$37,FALSE)</f>
        <v>#REF!</v>
      </c>
      <c r="AV45" s="398" t="e">
        <f>VLOOKUP($AL45,#REF!,AV$37,FALSE)</f>
        <v>#REF!</v>
      </c>
      <c r="AW45" s="398" t="e">
        <f>VLOOKUP($AL45,#REF!,AW$37,FALSE)</f>
        <v>#REF!</v>
      </c>
      <c r="AX45" s="398">
        <f t="shared" si="9"/>
        <v>0.13084112149532709</v>
      </c>
      <c r="AY45" s="398">
        <f t="shared" si="9"/>
        <v>0.1575091575091575</v>
      </c>
      <c r="AZ45" s="398">
        <f t="shared" si="9"/>
        <v>0.15412844036697249</v>
      </c>
      <c r="BA45" s="398">
        <f t="shared" si="9"/>
        <v>0.13157894736842105</v>
      </c>
      <c r="BB45" s="398">
        <f t="shared" si="9"/>
        <v>0.1134020618556701</v>
      </c>
      <c r="BC45" s="398" t="e">
        <f>VLOOKUP($AL45,#REF!,BC$37,FALSE)</f>
        <v>#REF!</v>
      </c>
      <c r="BD45" s="398" t="e">
        <f>VLOOKUP($AL45,#REF!,BD$37,FALSE)</f>
        <v>#REF!</v>
      </c>
      <c r="BE45" s="398" t="e">
        <f>VLOOKUP($AL45,#REF!,BE$37,FALSE)</f>
        <v>#REF!</v>
      </c>
      <c r="BF45" s="398" t="e">
        <f>VLOOKUP($AL45,#REF!,BF$37,FALSE)</f>
        <v>#REF!</v>
      </c>
      <c r="BG45" s="398" t="e">
        <f>VLOOKUP($AL45,#REF!,BG$37,FALSE)</f>
        <v>#REF!</v>
      </c>
      <c r="BH45" s="398">
        <f>VLOOKUP($AK45,Adoption!$B$111:$H$134,BH$37,FALSE)</f>
        <v>5.8411214953271028E-2</v>
      </c>
      <c r="BI45" s="398">
        <f>VLOOKUP($AK45,Adoption!$B$111:$H$134,BI$37,FALSE)</f>
        <v>1.8315018315018316E-2</v>
      </c>
      <c r="BJ45" s="398">
        <f>VLOOKUP($AK45,Adoption!$B$111:$H$134,BJ$37,FALSE)</f>
        <v>9.1743119266055051E-3</v>
      </c>
      <c r="BK45" s="398">
        <f>VLOOKUP($AK45,Adoption!$B$111:$H$134,BK$37,FALSE)</f>
        <v>3.9473684210526314E-2</v>
      </c>
      <c r="BL45" s="398">
        <f>VLOOKUP($AK45,Adoption!$B$111:$H$134,BL$37,FALSE)</f>
        <v>4.1237113402061855E-2</v>
      </c>
      <c r="BM45" s="398">
        <f>VLOOKUP($AK45,Adoption!$B$146:$H$169,BH$37,FALSE)</f>
        <v>9.3457943925233641E-2</v>
      </c>
      <c r="BN45" s="398">
        <f>VLOOKUP($AK45,Adoption!$B$146:$H$169,BI$37,FALSE)</f>
        <v>7.3260073260073263E-2</v>
      </c>
      <c r="BO45" s="398">
        <f>VLOOKUP($AK45,Adoption!$B$146:$H$169,BJ$37,FALSE)</f>
        <v>8.2568807339449546E-2</v>
      </c>
      <c r="BP45" s="398">
        <f>VLOOKUP($AK45,Adoption!$B$146:$H$169,BK$37,FALSE)</f>
        <v>9.5864661654135333E-2</v>
      </c>
      <c r="BQ45" s="398">
        <f>VLOOKUP($AK45,Adoption!$B$146:$H$169,BL$37,FALSE)</f>
        <v>0.1154639175257732</v>
      </c>
    </row>
    <row r="46" spans="1:69" ht="14.25" customHeight="1" x14ac:dyDescent="0.2">
      <c r="A46" s="135"/>
      <c r="B46" s="257"/>
      <c r="C46" s="257"/>
      <c r="D46" s="257"/>
      <c r="E46" s="257"/>
      <c r="F46" s="257"/>
      <c r="G46" s="257"/>
      <c r="H46" s="257"/>
      <c r="I46" s="257"/>
      <c r="J46" s="13"/>
      <c r="K46" s="15"/>
      <c r="L46" s="15"/>
      <c r="M46" s="15"/>
      <c r="N46" s="15"/>
      <c r="O46" s="9"/>
      <c r="P46" s="9"/>
      <c r="Q46" s="9"/>
      <c r="R46" s="9"/>
      <c r="S46" s="9"/>
      <c r="T46" s="9"/>
      <c r="U46" s="9"/>
      <c r="V46" s="134"/>
      <c r="W46" s="152"/>
      <c r="X46" s="326"/>
      <c r="Y46" s="647">
        <v>5</v>
      </c>
      <c r="Z46" s="50" t="str">
        <f t="shared" si="10"/>
        <v>Hampshire</v>
      </c>
      <c r="AA46" s="45">
        <v>6</v>
      </c>
      <c r="AB46" s="46">
        <f>IF(H13&gt;0,IDACI!D13,0)</f>
        <v>247800</v>
      </c>
      <c r="AC46" s="46">
        <f>IF(H13&gt;0,IDACI!E13,0)</f>
        <v>29240.399999999998</v>
      </c>
      <c r="AJ46" s="642" t="b">
        <v>1</v>
      </c>
      <c r="AK46" s="178" t="s">
        <v>1</v>
      </c>
      <c r="AL46" s="101" t="str">
        <f t="shared" si="7"/>
        <v>Isle of Wight</v>
      </c>
      <c r="AM46" s="164" t="e">
        <f t="shared" si="8"/>
        <v>#N/A</v>
      </c>
      <c r="AN46" s="164">
        <f t="shared" si="8"/>
        <v>3.9215686274509802</v>
      </c>
      <c r="AO46" s="164" t="e">
        <f t="shared" si="8"/>
        <v>#N/A</v>
      </c>
      <c r="AP46" s="164">
        <f t="shared" si="8"/>
        <v>3.9682539682539684</v>
      </c>
      <c r="AQ46" s="164" t="e">
        <f t="shared" si="8"/>
        <v>#N/A</v>
      </c>
      <c r="AR46" s="165">
        <f t="shared" si="11"/>
        <v>20.399999999999999</v>
      </c>
      <c r="AS46" s="398" t="e">
        <f>VLOOKUP($AL46,#REF!,AS$37,FALSE)</f>
        <v>#REF!</v>
      </c>
      <c r="AT46" s="398" t="e">
        <f>VLOOKUP($AL46,#REF!,AT$37,FALSE)</f>
        <v>#REF!</v>
      </c>
      <c r="AU46" s="398" t="e">
        <f>VLOOKUP($AL46,#REF!,AU$37,FALSE)</f>
        <v>#REF!</v>
      </c>
      <c r="AV46" s="398" t="e">
        <f>VLOOKUP($AL46,#REF!,AV$37,FALSE)</f>
        <v>#REF!</v>
      </c>
      <c r="AW46" s="398" t="e">
        <f>VLOOKUP($AL46,#REF!,AW$37,FALSE)</f>
        <v>#REF!</v>
      </c>
      <c r="AX46" s="398">
        <f t="shared" si="9"/>
        <v>7.5268817204301078E-2</v>
      </c>
      <c r="AY46" s="398">
        <f t="shared" si="9"/>
        <v>8.8607594936708861E-2</v>
      </c>
      <c r="AZ46" s="398">
        <f t="shared" si="9"/>
        <v>0.12328767123287671</v>
      </c>
      <c r="BA46" s="398">
        <f t="shared" si="9"/>
        <v>0.21052631578947367</v>
      </c>
      <c r="BB46" s="398">
        <f t="shared" si="9"/>
        <v>0.16049382716049382</v>
      </c>
      <c r="BC46" s="398" t="e">
        <f>VLOOKUP($AL46,#REF!,BC$37,FALSE)</f>
        <v>#REF!</v>
      </c>
      <c r="BD46" s="398" t="e">
        <f>VLOOKUP($AL46,#REF!,BD$37,FALSE)</f>
        <v>#REF!</v>
      </c>
      <c r="BE46" s="398" t="e">
        <f>VLOOKUP($AL46,#REF!,BE$37,FALSE)</f>
        <v>#REF!</v>
      </c>
      <c r="BF46" s="398" t="e">
        <f>VLOOKUP($AL46,#REF!,BF$37,FALSE)</f>
        <v>#REF!</v>
      </c>
      <c r="BG46" s="398" t="e">
        <f>VLOOKUP($AL46,#REF!,BG$37,FALSE)</f>
        <v>#REF!</v>
      </c>
      <c r="BH46" s="398">
        <f>VLOOKUP($AK46,Adoption!$B$111:$H$134,BH$37,FALSE)</f>
        <v>0.10752688172043011</v>
      </c>
      <c r="BI46" s="398" t="e">
        <f>VLOOKUP($AK46,Adoption!$B$111:$H$134,BI$37,FALSE)</f>
        <v>#N/A</v>
      </c>
      <c r="BJ46" s="398" t="e">
        <f>VLOOKUP($AK46,Adoption!$B$111:$H$134,BJ$37,FALSE)</f>
        <v>#N/A</v>
      </c>
      <c r="BK46" s="398" t="e">
        <f>VLOOKUP($AK46,Adoption!$B$111:$H$134,BK$37,FALSE)</f>
        <v>#N/A</v>
      </c>
      <c r="BL46" s="398" t="e">
        <f>VLOOKUP($AK46,Adoption!$B$111:$H$134,BL$37,FALSE)</f>
        <v>#N/A</v>
      </c>
      <c r="BM46" s="398">
        <f>VLOOKUP($AK46,Adoption!$B$146:$H$169,BH$37,FALSE)</f>
        <v>0.16129032258064516</v>
      </c>
      <c r="BN46" s="398">
        <f>VLOOKUP($AK46,Adoption!$B$146:$H$169,BI$37,FALSE)</f>
        <v>6.3291139240506333E-2</v>
      </c>
      <c r="BO46" s="398">
        <f>VLOOKUP($AK46,Adoption!$B$146:$H$169,BJ$37,FALSE)</f>
        <v>0.13698630136986301</v>
      </c>
      <c r="BP46" s="398" t="e">
        <f>VLOOKUP($AK46,Adoption!$B$146:$H$169,BK$37,FALSE)</f>
        <v>#N/A</v>
      </c>
      <c r="BQ46" s="398" t="e">
        <f>VLOOKUP($AK46,Adoption!$B$146:$H$169,BL$37,FALSE)</f>
        <v>#N/A</v>
      </c>
    </row>
    <row r="47" spans="1:69" ht="14.25" customHeight="1" x14ac:dyDescent="0.2">
      <c r="A47" s="135"/>
      <c r="B47" s="257"/>
      <c r="C47" s="257"/>
      <c r="D47" s="257"/>
      <c r="E47" s="257"/>
      <c r="F47" s="257"/>
      <c r="G47" s="257"/>
      <c r="H47" s="257"/>
      <c r="I47" s="257"/>
      <c r="J47" s="13"/>
      <c r="K47" s="15"/>
      <c r="L47" s="15"/>
      <c r="M47" s="15"/>
      <c r="N47" s="15"/>
      <c r="O47" s="9"/>
      <c r="P47" s="9"/>
      <c r="Q47" s="9"/>
      <c r="R47" s="9"/>
      <c r="S47" s="9"/>
      <c r="T47" s="9"/>
      <c r="U47" s="9"/>
      <c r="V47" s="134"/>
      <c r="W47" s="152"/>
      <c r="X47" s="326"/>
      <c r="Y47" s="647">
        <v>6</v>
      </c>
      <c r="Z47" s="50" t="str">
        <f t="shared" si="10"/>
        <v>Isle of Wight</v>
      </c>
      <c r="AA47" s="45">
        <v>7</v>
      </c>
      <c r="AB47" s="46">
        <f>IF(H14&gt;0,IDACI!D14,0)</f>
        <v>22502</v>
      </c>
      <c r="AC47" s="46">
        <f>IF(H14&gt;0,IDACI!E14,0)</f>
        <v>4590.4079999999994</v>
      </c>
      <c r="AD47" s="239"/>
      <c r="AJ47" s="642" t="b">
        <v>1</v>
      </c>
      <c r="AK47" s="178" t="s">
        <v>10</v>
      </c>
      <c r="AL47" s="101" t="str">
        <f t="shared" si="7"/>
        <v>Kent</v>
      </c>
      <c r="AM47" s="164">
        <f t="shared" si="8"/>
        <v>3.5319410319410318</v>
      </c>
      <c r="AN47" s="164">
        <f t="shared" si="8"/>
        <v>2.1321961620469083</v>
      </c>
      <c r="AO47" s="164">
        <f t="shared" si="8"/>
        <v>1.513317191283293</v>
      </c>
      <c r="AP47" s="164">
        <f t="shared" si="8"/>
        <v>1.6514284856400787</v>
      </c>
      <c r="AQ47" s="164">
        <f t="shared" si="8"/>
        <v>1.6662203576422983</v>
      </c>
      <c r="AR47" s="165">
        <f t="shared" si="11"/>
        <v>17.8</v>
      </c>
      <c r="AS47" s="398" t="e">
        <f>VLOOKUP($AL47,#REF!,AS$37,FALSE)</f>
        <v>#REF!</v>
      </c>
      <c r="AT47" s="398" t="e">
        <f>VLOOKUP($AL47,#REF!,AT$37,FALSE)</f>
        <v>#REF!</v>
      </c>
      <c r="AU47" s="398" t="e">
        <f>VLOOKUP($AL47,#REF!,AU$37,FALSE)</f>
        <v>#REF!</v>
      </c>
      <c r="AV47" s="398" t="e">
        <f>VLOOKUP($AL47,#REF!,AV$37,FALSE)</f>
        <v>#REF!</v>
      </c>
      <c r="AW47" s="398" t="e">
        <f>VLOOKUP($AL47,#REF!,AW$37,FALSE)</f>
        <v>#REF!</v>
      </c>
      <c r="AX47" s="398">
        <f t="shared" si="9"/>
        <v>0.16590389016018306</v>
      </c>
      <c r="AY47" s="398">
        <f t="shared" si="9"/>
        <v>0.20638540478905359</v>
      </c>
      <c r="AZ47" s="398">
        <f t="shared" si="9"/>
        <v>0.10065237651444547</v>
      </c>
      <c r="BA47" s="398">
        <f t="shared" si="9"/>
        <v>6.0836501901140684E-2</v>
      </c>
      <c r="BB47" s="398">
        <f t="shared" si="9"/>
        <v>9.9426386233269604E-2</v>
      </c>
      <c r="BC47" s="398" t="e">
        <f>VLOOKUP($AL47,#REF!,BC$37,FALSE)</f>
        <v>#REF!</v>
      </c>
      <c r="BD47" s="398" t="e">
        <f>VLOOKUP($AL47,#REF!,BD$37,FALSE)</f>
        <v>#REF!</v>
      </c>
      <c r="BE47" s="398" t="e">
        <f>VLOOKUP($AL47,#REF!,BE$37,FALSE)</f>
        <v>#REF!</v>
      </c>
      <c r="BF47" s="398" t="e">
        <f>VLOOKUP($AL47,#REF!,BF$37,FALSE)</f>
        <v>#REF!</v>
      </c>
      <c r="BG47" s="398" t="e">
        <f>VLOOKUP($AL47,#REF!,BG$37,FALSE)</f>
        <v>#REF!</v>
      </c>
      <c r="BH47" s="398">
        <f>VLOOKUP($AK47,Adoption!$B$111:$H$134,BH$37,FALSE)</f>
        <v>5.7208237986270026E-2</v>
      </c>
      <c r="BI47" s="398">
        <f>VLOOKUP($AK47,Adoption!$B$111:$H$134,BI$37,FALSE)</f>
        <v>2.8506271379703536E-2</v>
      </c>
      <c r="BJ47" s="398">
        <f>VLOOKUP($AK47,Adoption!$B$111:$H$134,BJ$37,FALSE)</f>
        <v>9.3196644920782844E-3</v>
      </c>
      <c r="BK47" s="398">
        <f>VLOOKUP($AK47,Adoption!$B$111:$H$134,BK$37,FALSE)</f>
        <v>8.3650190114068438E-3</v>
      </c>
      <c r="BL47" s="398">
        <f>VLOOKUP($AK47,Adoption!$B$111:$H$134,BL$37,FALSE)</f>
        <v>1.5296367112810707E-2</v>
      </c>
      <c r="BM47" s="398">
        <f>VLOOKUP($AK47,Adoption!$B$146:$H$169,BH$37,FALSE)</f>
        <v>6.8649885583524028E-2</v>
      </c>
      <c r="BN47" s="398">
        <f>VLOOKUP($AK47,Adoption!$B$146:$H$169,BI$37,FALSE)</f>
        <v>6.2713797035347782E-2</v>
      </c>
      <c r="BO47" s="398">
        <f>VLOOKUP($AK47,Adoption!$B$146:$H$169,BJ$37,FALSE)</f>
        <v>4.1938490214352281E-2</v>
      </c>
      <c r="BP47" s="398">
        <f>VLOOKUP($AK47,Adoption!$B$146:$H$169,BK$37,FALSE)</f>
        <v>4.1064638783269963E-2</v>
      </c>
      <c r="BQ47" s="398">
        <f>VLOOKUP($AK47,Adoption!$B$146:$H$169,BL$37,FALSE)</f>
        <v>4.1108986615678779E-2</v>
      </c>
    </row>
    <row r="48" spans="1:69" ht="14.25" customHeight="1" x14ac:dyDescent="0.2">
      <c r="A48" s="135"/>
      <c r="B48" s="58"/>
      <c r="C48" s="58"/>
      <c r="D48" s="58"/>
      <c r="E48" s="58"/>
      <c r="F48" s="58"/>
      <c r="G48" s="58"/>
      <c r="H48" s="58"/>
      <c r="I48" s="58"/>
      <c r="J48" s="13"/>
      <c r="K48" s="15"/>
      <c r="L48" s="15"/>
      <c r="M48" s="15"/>
      <c r="N48" s="15"/>
      <c r="O48" s="9"/>
      <c r="P48" s="9"/>
      <c r="Q48" s="9"/>
      <c r="R48" s="9"/>
      <c r="S48" s="9"/>
      <c r="T48" s="9"/>
      <c r="U48" s="9"/>
      <c r="V48" s="134"/>
      <c r="W48" s="152"/>
      <c r="X48" s="326"/>
      <c r="Y48" s="647">
        <v>7</v>
      </c>
      <c r="Z48" s="50" t="str">
        <f t="shared" si="10"/>
        <v>Kent</v>
      </c>
      <c r="AA48" s="45">
        <v>8</v>
      </c>
      <c r="AB48" s="46">
        <f>IF(H15&gt;0,IDACI!D15,0)</f>
        <v>286168</v>
      </c>
      <c r="AC48" s="46">
        <f>IF(H15&gt;0,IDACI!E15,0)</f>
        <v>50937.904000000002</v>
      </c>
      <c r="AD48" s="210"/>
      <c r="AJ48" s="642" t="b">
        <v>1</v>
      </c>
      <c r="AK48" s="178" t="s">
        <v>2</v>
      </c>
      <c r="AL48" s="101" t="str">
        <f t="shared" si="7"/>
        <v>Medway</v>
      </c>
      <c r="AM48" s="164">
        <f t="shared" si="8"/>
        <v>6.4935064935064934</v>
      </c>
      <c r="AN48" s="164">
        <f t="shared" si="8"/>
        <v>3.2</v>
      </c>
      <c r="AO48" s="164">
        <f t="shared" si="8"/>
        <v>3.9556962025316453</v>
      </c>
      <c r="AP48" s="164">
        <f t="shared" si="8"/>
        <v>5.6517575396015509</v>
      </c>
      <c r="AQ48" s="164">
        <f t="shared" si="8"/>
        <v>3.596953536743662</v>
      </c>
      <c r="AR48" s="165">
        <f t="shared" si="11"/>
        <v>22</v>
      </c>
      <c r="AS48" s="398" t="e">
        <f>VLOOKUP($AL48,#REF!,AS$37,FALSE)</f>
        <v>#REF!</v>
      </c>
      <c r="AT48" s="398" t="e">
        <f>VLOOKUP($AL48,#REF!,AT$37,FALSE)</f>
        <v>#REF!</v>
      </c>
      <c r="AU48" s="398" t="e">
        <f>VLOOKUP($AL48,#REF!,AU$37,FALSE)</f>
        <v>#REF!</v>
      </c>
      <c r="AV48" s="398" t="e">
        <f>VLOOKUP($AL48,#REF!,AV$37,FALSE)</f>
        <v>#REF!</v>
      </c>
      <c r="AW48" s="398" t="e">
        <f>VLOOKUP($AL48,#REF!,AW$37,FALSE)</f>
        <v>#REF!</v>
      </c>
      <c r="AX48" s="398">
        <f t="shared" si="9"/>
        <v>0.2388888888888889</v>
      </c>
      <c r="AY48" s="398">
        <f t="shared" si="9"/>
        <v>0.24615384615384617</v>
      </c>
      <c r="AZ48" s="398">
        <f t="shared" si="9"/>
        <v>0.11428571428571428</v>
      </c>
      <c r="BA48" s="398">
        <f t="shared" si="9"/>
        <v>0.17647058823529413</v>
      </c>
      <c r="BB48" s="398">
        <f t="shared" si="9"/>
        <v>0.22012578616352202</v>
      </c>
      <c r="BC48" s="398" t="e">
        <f>VLOOKUP($AL48,#REF!,BC$37,FALSE)</f>
        <v>#REF!</v>
      </c>
      <c r="BD48" s="398" t="e">
        <f>VLOOKUP($AL48,#REF!,BD$37,FALSE)</f>
        <v>#REF!</v>
      </c>
      <c r="BE48" s="398" t="e">
        <f>VLOOKUP($AL48,#REF!,BE$37,FALSE)</f>
        <v>#REF!</v>
      </c>
      <c r="BF48" s="398" t="e">
        <f>VLOOKUP($AL48,#REF!,BF$37,FALSE)</f>
        <v>#REF!</v>
      </c>
      <c r="BG48" s="398" t="e">
        <f>VLOOKUP($AL48,#REF!,BG$37,FALSE)</f>
        <v>#REF!</v>
      </c>
      <c r="BH48" s="398" t="e">
        <f>VLOOKUP($AK48,Adoption!$B$111:$H$134,BH$37,FALSE)</f>
        <v>#N/A</v>
      </c>
      <c r="BI48" s="398">
        <f>VLOOKUP($AK48,Adoption!$B$111:$H$134,BI$37,FALSE)</f>
        <v>0</v>
      </c>
      <c r="BJ48" s="398">
        <f>VLOOKUP($AK48,Adoption!$B$111:$H$134,BJ$37,FALSE)</f>
        <v>9.5238095238095233E-2</v>
      </c>
      <c r="BK48" s="398">
        <f>VLOOKUP($AK48,Adoption!$B$111:$H$134,BK$37,FALSE)</f>
        <v>6.4171122994652413E-2</v>
      </c>
      <c r="BL48" s="398" t="e">
        <f>VLOOKUP($AK48,Adoption!$B$111:$H$134,BL$37,FALSE)</f>
        <v>#N/A</v>
      </c>
      <c r="BM48" s="398">
        <f>VLOOKUP($AK48,Adoption!$B$146:$H$169,BH$37,FALSE)</f>
        <v>8.3333333333333329E-2</v>
      </c>
      <c r="BN48" s="398">
        <f>VLOOKUP($AK48,Adoption!$B$146:$H$169,BI$37,FALSE)</f>
        <v>5.128205128205128E-2</v>
      </c>
      <c r="BO48" s="398">
        <f>VLOOKUP($AK48,Adoption!$B$146:$H$169,BJ$37,FALSE)</f>
        <v>0.11904761904761904</v>
      </c>
      <c r="BP48" s="398">
        <f>VLOOKUP($AK48,Adoption!$B$146:$H$169,BK$37,FALSE)</f>
        <v>0.1497326203208556</v>
      </c>
      <c r="BQ48" s="398">
        <f>VLOOKUP($AK48,Adoption!$B$146:$H$169,BL$37,FALSE)</f>
        <v>0.11949685534591195</v>
      </c>
    </row>
    <row r="49" spans="1:69" ht="14.25" customHeight="1" x14ac:dyDescent="0.2">
      <c r="A49" s="135"/>
      <c r="B49" s="58"/>
      <c r="C49" s="58"/>
      <c r="D49" s="69"/>
      <c r="E49" s="70"/>
      <c r="F49" s="69"/>
      <c r="G49" s="70"/>
      <c r="H49" s="70"/>
      <c r="I49" s="70"/>
      <c r="J49" s="13"/>
      <c r="K49" s="15"/>
      <c r="L49" s="15"/>
      <c r="M49" s="15"/>
      <c r="N49" s="15"/>
      <c r="O49" s="9"/>
      <c r="P49" s="9"/>
      <c r="Q49" s="9"/>
      <c r="R49" s="9"/>
      <c r="S49" s="9"/>
      <c r="T49" s="9"/>
      <c r="U49" s="9"/>
      <c r="V49" s="134"/>
      <c r="W49" s="152"/>
      <c r="X49" s="326"/>
      <c r="Y49" s="647">
        <v>8</v>
      </c>
      <c r="Z49" s="50" t="str">
        <f t="shared" si="10"/>
        <v>Medway</v>
      </c>
      <c r="AA49" s="45">
        <v>9</v>
      </c>
      <c r="AB49" s="46">
        <f>IF(H16&gt;0,IDACI!D16,0)</f>
        <v>54280</v>
      </c>
      <c r="AC49" s="46">
        <f>IF(H16&gt;0,IDACI!E16,0)</f>
        <v>11941.6</v>
      </c>
      <c r="AJ49" s="642" t="b">
        <v>1</v>
      </c>
      <c r="AK49" s="178" t="s">
        <v>11</v>
      </c>
      <c r="AL49" s="101" t="str">
        <f t="shared" si="7"/>
        <v>Milton Keynes</v>
      </c>
      <c r="AM49" s="164">
        <f t="shared" si="8"/>
        <v>1.5625</v>
      </c>
      <c r="AN49" s="164">
        <f t="shared" si="8"/>
        <v>1.5337423312883436</v>
      </c>
      <c r="AO49" s="164" t="e">
        <f t="shared" si="8"/>
        <v>#N/A</v>
      </c>
      <c r="AP49" s="164">
        <f t="shared" si="8"/>
        <v>0.8935751943526048</v>
      </c>
      <c r="AQ49" s="164" t="e">
        <f t="shared" si="8"/>
        <v>#N/A</v>
      </c>
      <c r="AR49" s="165">
        <f t="shared" si="11"/>
        <v>19.7</v>
      </c>
      <c r="AS49" s="398" t="e">
        <f>VLOOKUP($AL49,#REF!,AS$37,FALSE)</f>
        <v>#REF!</v>
      </c>
      <c r="AT49" s="398" t="e">
        <f>VLOOKUP($AL49,#REF!,AT$37,FALSE)</f>
        <v>#REF!</v>
      </c>
      <c r="AU49" s="398" t="e">
        <f>VLOOKUP($AL49,#REF!,AU$37,FALSE)</f>
        <v>#REF!</v>
      </c>
      <c r="AV49" s="398" t="e">
        <f>VLOOKUP($AL49,#REF!,AV$37,FALSE)</f>
        <v>#REF!</v>
      </c>
      <c r="AW49" s="398" t="e">
        <f>VLOOKUP($AL49,#REF!,AW$37,FALSE)</f>
        <v>#REF!</v>
      </c>
      <c r="AX49" s="398">
        <f t="shared" si="9"/>
        <v>0.17419354838709677</v>
      </c>
      <c r="AY49" s="398">
        <f t="shared" si="9"/>
        <v>8.7591240875912413E-2</v>
      </c>
      <c r="AZ49" s="398">
        <f t="shared" si="9"/>
        <v>0.10215053763440861</v>
      </c>
      <c r="BA49" s="398">
        <f t="shared" si="9"/>
        <v>6.5789473684210523E-2</v>
      </c>
      <c r="BB49" s="398">
        <f t="shared" si="9"/>
        <v>6.25E-2</v>
      </c>
      <c r="BC49" s="398" t="e">
        <f>VLOOKUP($AL49,#REF!,BC$37,FALSE)</f>
        <v>#REF!</v>
      </c>
      <c r="BD49" s="398" t="e">
        <f>VLOOKUP($AL49,#REF!,BD$37,FALSE)</f>
        <v>#REF!</v>
      </c>
      <c r="BE49" s="398" t="e">
        <f>VLOOKUP($AL49,#REF!,BE$37,FALSE)</f>
        <v>#REF!</v>
      </c>
      <c r="BF49" s="398" t="e">
        <f>VLOOKUP($AL49,#REF!,BF$37,FALSE)</f>
        <v>#REF!</v>
      </c>
      <c r="BG49" s="398" t="e">
        <f>VLOOKUP($AL49,#REF!,BG$37,FALSE)</f>
        <v>#REF!</v>
      </c>
      <c r="BH49" s="398">
        <f>VLOOKUP($AK49,Adoption!$B$111:$H$134,BH$37,FALSE)</f>
        <v>6.4516129032258063E-2</v>
      </c>
      <c r="BI49" s="398" t="e">
        <f>VLOOKUP($AK49,Adoption!$B$111:$H$134,BI$37,FALSE)</f>
        <v>#N/A</v>
      </c>
      <c r="BJ49" s="398">
        <f>VLOOKUP($AK49,Adoption!$B$111:$H$134,BJ$37,FALSE)</f>
        <v>2.6881720430107527E-2</v>
      </c>
      <c r="BK49" s="398" t="e">
        <f>VLOOKUP($AK49,Adoption!$B$111:$H$134,BK$37,FALSE)</f>
        <v>#N/A</v>
      </c>
      <c r="BL49" s="398" t="e">
        <f>VLOOKUP($AK49,Adoption!$B$111:$H$134,BL$37,FALSE)</f>
        <v>#N/A</v>
      </c>
      <c r="BM49" s="398">
        <f>VLOOKUP($AK49,Adoption!$B$146:$H$169,BH$37,FALSE)</f>
        <v>0.12903225806451613</v>
      </c>
      <c r="BN49" s="398">
        <f>VLOOKUP($AK49,Adoption!$B$146:$H$169,BI$37,FALSE)</f>
        <v>0.10948905109489052</v>
      </c>
      <c r="BO49" s="398">
        <f>VLOOKUP($AK49,Adoption!$B$146:$H$169,BJ$37,FALSE)</f>
        <v>0.10752688172043011</v>
      </c>
      <c r="BP49" s="398">
        <f>VLOOKUP($AK49,Adoption!$B$146:$H$169,BK$37,FALSE)</f>
        <v>0.17763157894736842</v>
      </c>
      <c r="BQ49" s="398">
        <f>VLOOKUP($AK49,Adoption!$B$146:$H$169,BL$37,FALSE)</f>
        <v>0.25</v>
      </c>
    </row>
    <row r="50" spans="1:69" ht="14.25" customHeight="1" x14ac:dyDescent="0.2">
      <c r="A50" s="135"/>
      <c r="B50" s="58"/>
      <c r="C50" s="58"/>
      <c r="D50" s="62"/>
      <c r="E50" s="62"/>
      <c r="F50" s="62"/>
      <c r="G50" s="62"/>
      <c r="H50" s="62"/>
      <c r="I50" s="62"/>
      <c r="J50" s="13"/>
      <c r="K50" s="15"/>
      <c r="L50" s="15"/>
      <c r="M50" s="15"/>
      <c r="N50" s="15"/>
      <c r="O50" s="9"/>
      <c r="P50" s="9"/>
      <c r="Q50" s="9"/>
      <c r="R50" s="9"/>
      <c r="S50" s="9"/>
      <c r="T50" s="9"/>
      <c r="U50" s="9"/>
      <c r="V50" s="134"/>
      <c r="W50" s="152"/>
      <c r="X50" s="326"/>
      <c r="Y50" s="647">
        <v>9</v>
      </c>
      <c r="Z50" s="50" t="str">
        <f t="shared" si="10"/>
        <v>Milton Keynes</v>
      </c>
      <c r="AA50" s="45">
        <v>10</v>
      </c>
      <c r="AB50" s="46">
        <f>IF(H17&gt;0,IDACI!D17,0)</f>
        <v>56637</v>
      </c>
      <c r="AC50" s="46">
        <f>IF(H17&gt;0,IDACI!E17,0)</f>
        <v>11157.489</v>
      </c>
      <c r="AJ50" s="642" t="b">
        <v>1</v>
      </c>
      <c r="AK50" s="178" t="s">
        <v>12</v>
      </c>
      <c r="AL50" s="101" t="str">
        <f t="shared" si="7"/>
        <v>Oxfordshire</v>
      </c>
      <c r="AM50" s="164">
        <f t="shared" si="8"/>
        <v>1.4255167498218104</v>
      </c>
      <c r="AN50" s="164">
        <f t="shared" si="8"/>
        <v>2.1246458923512748</v>
      </c>
      <c r="AO50" s="164">
        <f t="shared" si="8"/>
        <v>1.4104372355430184</v>
      </c>
      <c r="AP50" s="164">
        <f t="shared" si="8"/>
        <v>1.889472837078455</v>
      </c>
      <c r="AQ50" s="164">
        <f t="shared" si="8"/>
        <v>1.3245587128077856</v>
      </c>
      <c r="AR50" s="165">
        <f t="shared" si="11"/>
        <v>11.799999999999999</v>
      </c>
      <c r="AS50" s="398" t="e">
        <f>VLOOKUP($AL50,#REF!,AS$37,FALSE)</f>
        <v>#REF!</v>
      </c>
      <c r="AT50" s="398" t="e">
        <f>VLOOKUP($AL50,#REF!,AT$37,FALSE)</f>
        <v>#REF!</v>
      </c>
      <c r="AU50" s="398" t="e">
        <f>VLOOKUP($AL50,#REF!,AU$37,FALSE)</f>
        <v>#REF!</v>
      </c>
      <c r="AV50" s="398" t="e">
        <f>VLOOKUP($AL50,#REF!,AV$37,FALSE)</f>
        <v>#REF!</v>
      </c>
      <c r="AW50" s="398" t="e">
        <f>VLOOKUP($AL50,#REF!,AW$37,FALSE)</f>
        <v>#REF!</v>
      </c>
      <c r="AX50" s="398">
        <f t="shared" si="9"/>
        <v>0.16858237547892721</v>
      </c>
      <c r="AY50" s="398">
        <f t="shared" si="9"/>
        <v>0.14859437751004015</v>
      </c>
      <c r="AZ50" s="398">
        <f t="shared" si="9"/>
        <v>0.17857142857142858</v>
      </c>
      <c r="BA50" s="398">
        <f t="shared" si="9"/>
        <v>0.13286713286713286</v>
      </c>
      <c r="BB50" s="398">
        <f t="shared" si="9"/>
        <v>0.12121212121212122</v>
      </c>
      <c r="BC50" s="398" t="e">
        <f>VLOOKUP($AL50,#REF!,BC$37,FALSE)</f>
        <v>#REF!</v>
      </c>
      <c r="BD50" s="398" t="e">
        <f>VLOOKUP($AL50,#REF!,BD$37,FALSE)</f>
        <v>#REF!</v>
      </c>
      <c r="BE50" s="398" t="e">
        <f>VLOOKUP($AL50,#REF!,BE$37,FALSE)</f>
        <v>#REF!</v>
      </c>
      <c r="BF50" s="398" t="e">
        <f>VLOOKUP($AL50,#REF!,BF$37,FALSE)</f>
        <v>#REF!</v>
      </c>
      <c r="BG50" s="398" t="e">
        <f>VLOOKUP($AL50,#REF!,BG$37,FALSE)</f>
        <v>#REF!</v>
      </c>
      <c r="BH50" s="398">
        <f>VLOOKUP($AK50,Adoption!$B$111:$H$134,BH$37,FALSE)</f>
        <v>3.8314176245210725E-2</v>
      </c>
      <c r="BI50" s="398">
        <f>VLOOKUP($AK50,Adoption!$B$111:$H$134,BI$37,FALSE)</f>
        <v>4.0160642570281124E-2</v>
      </c>
      <c r="BJ50" s="398">
        <f>VLOOKUP($AK50,Adoption!$B$111:$H$134,BJ$37,FALSE)</f>
        <v>3.5714285714285712E-2</v>
      </c>
      <c r="BK50" s="398">
        <f>VLOOKUP($AK50,Adoption!$B$111:$H$134,BK$37,FALSE)</f>
        <v>6.9930069930069935E-2</v>
      </c>
      <c r="BL50" s="398">
        <f>VLOOKUP($AK50,Adoption!$B$111:$H$134,BL$37,FALSE)</f>
        <v>2.6936026936026935E-2</v>
      </c>
      <c r="BM50" s="398">
        <f>VLOOKUP($AK50,Adoption!$B$146:$H$169,BH$37,FALSE)</f>
        <v>0.13409961685823754</v>
      </c>
      <c r="BN50" s="398">
        <f>VLOOKUP($AK50,Adoption!$B$146:$H$169,BI$37,FALSE)</f>
        <v>0.1606425702811245</v>
      </c>
      <c r="BO50" s="398">
        <f>VLOOKUP($AK50,Adoption!$B$146:$H$169,BJ$37,FALSE)</f>
        <v>0.10714285714285714</v>
      </c>
      <c r="BP50" s="398">
        <f>VLOOKUP($AK50,Adoption!$B$146:$H$169,BK$37,FALSE)</f>
        <v>5.5944055944055944E-2</v>
      </c>
      <c r="BQ50" s="398">
        <f>VLOOKUP($AK50,Adoption!$B$146:$H$169,BL$37,FALSE)</f>
        <v>0.14814814814814814</v>
      </c>
    </row>
    <row r="51" spans="1:69" ht="14.25" customHeight="1" x14ac:dyDescent="0.2">
      <c r="A51" s="135"/>
      <c r="B51" s="449"/>
      <c r="C51" s="449"/>
      <c r="D51" s="58"/>
      <c r="E51" s="58"/>
      <c r="F51" s="58"/>
      <c r="G51" s="58"/>
      <c r="H51" s="58"/>
      <c r="I51" s="58"/>
      <c r="J51" s="13"/>
      <c r="K51" s="15"/>
      <c r="L51" s="15"/>
      <c r="M51" s="15"/>
      <c r="N51" s="15"/>
      <c r="O51" s="9"/>
      <c r="P51" s="9"/>
      <c r="Q51" s="9"/>
      <c r="R51" s="9"/>
      <c r="S51" s="9"/>
      <c r="T51" s="9"/>
      <c r="U51" s="9"/>
      <c r="V51" s="134"/>
      <c r="W51" s="152"/>
      <c r="X51" s="326"/>
      <c r="Y51" s="647">
        <v>10</v>
      </c>
      <c r="Z51" s="50" t="str">
        <f t="shared" si="10"/>
        <v>Oxfordshire</v>
      </c>
      <c r="AA51" s="45">
        <v>11</v>
      </c>
      <c r="AB51" s="46">
        <f>IF(H18&gt;0,IDACI!D18,0)</f>
        <v>123975</v>
      </c>
      <c r="AC51" s="46">
        <f>IF(H18&gt;0,IDACI!E18,0)</f>
        <v>14629.05</v>
      </c>
      <c r="AJ51" s="642" t="b">
        <v>1</v>
      </c>
      <c r="AK51" s="178" t="s">
        <v>13</v>
      </c>
      <c r="AL51" s="101" t="str">
        <f t="shared" si="7"/>
        <v>Portsmouth</v>
      </c>
      <c r="AM51" s="164">
        <f t="shared" ref="AM51:AQ64" si="12">VLOOKUP($AL51,$B$9:$O$32,AM$37,FALSE)</f>
        <v>4.694835680751174</v>
      </c>
      <c r="AN51" s="164">
        <f t="shared" si="12"/>
        <v>3.4562211981566819</v>
      </c>
      <c r="AO51" s="164">
        <f t="shared" si="12"/>
        <v>4.5662100456621006</v>
      </c>
      <c r="AP51" s="164" t="e">
        <f t="shared" si="12"/>
        <v>#N/A</v>
      </c>
      <c r="AQ51" s="164" t="e">
        <f t="shared" si="12"/>
        <v>#N/A</v>
      </c>
      <c r="AR51" s="165">
        <f t="shared" si="11"/>
        <v>23.799999999999997</v>
      </c>
      <c r="AS51" s="398" t="e">
        <f>VLOOKUP($AL51,#REF!,AS$37,FALSE)</f>
        <v>#REF!</v>
      </c>
      <c r="AT51" s="398" t="e">
        <f>VLOOKUP($AL51,#REF!,AT$37,FALSE)</f>
        <v>#REF!</v>
      </c>
      <c r="AU51" s="398" t="e">
        <f>VLOOKUP($AL51,#REF!,AU$37,FALSE)</f>
        <v>#REF!</v>
      </c>
      <c r="AV51" s="398" t="e">
        <f>VLOOKUP($AL51,#REF!,AV$37,FALSE)</f>
        <v>#REF!</v>
      </c>
      <c r="AW51" s="398" t="e">
        <f>VLOOKUP($AL51,#REF!,AW$37,FALSE)</f>
        <v>#REF!</v>
      </c>
      <c r="AX51" s="398">
        <f t="shared" ref="AX51:BB64" si="13">VLOOKUP($AL51,$B$76:$H$99,AX$37,FALSE)</f>
        <v>0.17567567567567569</v>
      </c>
      <c r="AY51" s="398">
        <f t="shared" si="13"/>
        <v>0.2073170731707317</v>
      </c>
      <c r="AZ51" s="398">
        <f t="shared" si="13"/>
        <v>0.21428571428571427</v>
      </c>
      <c r="BA51" s="398">
        <f t="shared" si="13"/>
        <v>0.28455284552845528</v>
      </c>
      <c r="BB51" s="398">
        <f t="shared" si="13"/>
        <v>0.16042780748663102</v>
      </c>
      <c r="BC51" s="398" t="e">
        <f>VLOOKUP($AL51,#REF!,BC$37,FALSE)</f>
        <v>#REF!</v>
      </c>
      <c r="BD51" s="398" t="e">
        <f>VLOOKUP($AL51,#REF!,BD$37,FALSE)</f>
        <v>#REF!</v>
      </c>
      <c r="BE51" s="398" t="e">
        <f>VLOOKUP($AL51,#REF!,BE$37,FALSE)</f>
        <v>#REF!</v>
      </c>
      <c r="BF51" s="398" t="e">
        <f>VLOOKUP($AL51,#REF!,BF$37,FALSE)</f>
        <v>#REF!</v>
      </c>
      <c r="BG51" s="398" t="e">
        <f>VLOOKUP($AL51,#REF!,BG$37,FALSE)</f>
        <v>#REF!</v>
      </c>
      <c r="BH51" s="398">
        <f>VLOOKUP($AK51,Adoption!$B$111:$H$134,BH$37,FALSE)</f>
        <v>3.3783783783783786E-2</v>
      </c>
      <c r="BI51" s="398">
        <f>VLOOKUP($AK51,Adoption!$B$111:$H$134,BI$37,FALSE)</f>
        <v>3.048780487804878E-2</v>
      </c>
      <c r="BJ51" s="398">
        <f>VLOOKUP($AK51,Adoption!$B$111:$H$134,BJ$37,FALSE)</f>
        <v>0.11904761904761904</v>
      </c>
      <c r="BK51" s="398" t="e">
        <f>VLOOKUP($AK51,Adoption!$B$111:$H$134,BK$37,FALSE)</f>
        <v>#N/A</v>
      </c>
      <c r="BL51" s="398">
        <f>VLOOKUP($AK51,Adoption!$B$111:$H$134,BL$37,FALSE)</f>
        <v>4.2780748663101602E-2</v>
      </c>
      <c r="BM51" s="398">
        <f>VLOOKUP($AK51,Adoption!$B$146:$H$169,BH$37,FALSE)</f>
        <v>0.16891891891891891</v>
      </c>
      <c r="BN51" s="398">
        <f>VLOOKUP($AK51,Adoption!$B$146:$H$169,BI$37,FALSE)</f>
        <v>9.1463414634146339E-2</v>
      </c>
      <c r="BO51" s="398">
        <f>VLOOKUP($AK51,Adoption!$B$146:$H$169,BJ$37,FALSE)</f>
        <v>0.11904761904761904</v>
      </c>
      <c r="BP51" s="398">
        <f>VLOOKUP($AK51,Adoption!$B$146:$H$169,BK$37,FALSE)</f>
        <v>9.7560975609756101E-2</v>
      </c>
      <c r="BQ51" s="398">
        <f>VLOOKUP($AK51,Adoption!$B$146:$H$169,BL$37,FALSE)</f>
        <v>0.11764705882352941</v>
      </c>
    </row>
    <row r="52" spans="1:69" ht="14.25" customHeight="1" x14ac:dyDescent="0.2">
      <c r="A52" s="135"/>
      <c r="B52" s="449"/>
      <c r="C52" s="449"/>
      <c r="D52" s="58"/>
      <c r="E52" s="58"/>
      <c r="F52" s="58"/>
      <c r="G52" s="58"/>
      <c r="H52" s="58"/>
      <c r="I52" s="58"/>
      <c r="J52" s="13"/>
      <c r="K52" s="15"/>
      <c r="L52" s="15"/>
      <c r="M52" s="15"/>
      <c r="N52" s="15"/>
      <c r="O52" s="9"/>
      <c r="P52" s="9"/>
      <c r="Q52" s="9"/>
      <c r="R52" s="9"/>
      <c r="S52" s="9"/>
      <c r="T52" s="9"/>
      <c r="U52" s="9"/>
      <c r="V52" s="134"/>
      <c r="W52" s="152"/>
      <c r="X52" s="326"/>
      <c r="Y52" s="647">
        <v>11</v>
      </c>
      <c r="Z52" s="50" t="str">
        <f t="shared" si="10"/>
        <v>Portsmouth</v>
      </c>
      <c r="AA52" s="45">
        <v>12</v>
      </c>
      <c r="AB52" s="46">
        <f>IF(H19&gt;0,IDACI!D19,0)</f>
        <v>37912</v>
      </c>
      <c r="AC52" s="46">
        <f>IF(H19&gt;0,IDACI!E19,0)</f>
        <v>9023.0559999999987</v>
      </c>
      <c r="AJ52" s="642" t="b">
        <v>1</v>
      </c>
      <c r="AK52" s="178" t="s">
        <v>3</v>
      </c>
      <c r="AL52" s="101" t="str">
        <f t="shared" si="7"/>
        <v>Reading</v>
      </c>
      <c r="AM52" s="164">
        <f t="shared" si="12"/>
        <v>4.3227665706051877</v>
      </c>
      <c r="AN52" s="164">
        <f t="shared" si="12"/>
        <v>5.5710306406685239</v>
      </c>
      <c r="AO52" s="164">
        <f t="shared" si="12"/>
        <v>1.3736263736263736</v>
      </c>
      <c r="AP52" s="164" t="e">
        <f t="shared" si="12"/>
        <v>#N/A</v>
      </c>
      <c r="AQ52" s="164">
        <f t="shared" si="12"/>
        <v>3.2351117461515648</v>
      </c>
      <c r="AR52" s="165">
        <f t="shared" si="11"/>
        <v>19.8</v>
      </c>
      <c r="AS52" s="398" t="e">
        <f>VLOOKUP($AL52,#REF!,AS$37,FALSE)</f>
        <v>#REF!</v>
      </c>
      <c r="AT52" s="398" t="e">
        <f>VLOOKUP($AL52,#REF!,AT$37,FALSE)</f>
        <v>#REF!</v>
      </c>
      <c r="AU52" s="398" t="e">
        <f>VLOOKUP($AL52,#REF!,AU$37,FALSE)</f>
        <v>#REF!</v>
      </c>
      <c r="AV52" s="398" t="e">
        <f>VLOOKUP($AL52,#REF!,AV$37,FALSE)</f>
        <v>#REF!</v>
      </c>
      <c r="AW52" s="398" t="e">
        <f>VLOOKUP($AL52,#REF!,AW$37,FALSE)</f>
        <v>#REF!</v>
      </c>
      <c r="AX52" s="398">
        <f t="shared" si="13"/>
        <v>0.27368421052631581</v>
      </c>
      <c r="AY52" s="398">
        <f t="shared" si="13"/>
        <v>0.22619047619047619</v>
      </c>
      <c r="AZ52" s="398">
        <f t="shared" si="13"/>
        <v>0.2032520325203252</v>
      </c>
      <c r="BA52" s="398">
        <f t="shared" si="13"/>
        <v>0.16</v>
      </c>
      <c r="BB52" s="398">
        <f t="shared" si="13"/>
        <v>0.13978494623655913</v>
      </c>
      <c r="BC52" s="398" t="e">
        <f>VLOOKUP($AL52,#REF!,BC$37,FALSE)</f>
        <v>#REF!</v>
      </c>
      <c r="BD52" s="398" t="e">
        <f>VLOOKUP($AL52,#REF!,BD$37,FALSE)</f>
        <v>#REF!</v>
      </c>
      <c r="BE52" s="398" t="e">
        <f>VLOOKUP($AL52,#REF!,BE$37,FALSE)</f>
        <v>#REF!</v>
      </c>
      <c r="BF52" s="398" t="e">
        <f>VLOOKUP($AL52,#REF!,BF$37,FALSE)</f>
        <v>#REF!</v>
      </c>
      <c r="BG52" s="398" t="e">
        <f>VLOOKUP($AL52,#REF!,BG$37,FALSE)</f>
        <v>#REF!</v>
      </c>
      <c r="BH52" s="398" t="e">
        <f>VLOOKUP($AK52,Adoption!$B$111:$H$134,BH$37,FALSE)</f>
        <v>#N/A</v>
      </c>
      <c r="BI52" s="398">
        <f>VLOOKUP($AK52,Adoption!$B$111:$H$134,BI$37,FALSE)</f>
        <v>0</v>
      </c>
      <c r="BJ52" s="398">
        <f>VLOOKUP($AK52,Adoption!$B$111:$H$134,BJ$37,FALSE)</f>
        <v>8.1300813008130079E-2</v>
      </c>
      <c r="BK52" s="398">
        <f>VLOOKUP($AK52,Adoption!$B$111:$H$134,BK$37,FALSE)</f>
        <v>0</v>
      </c>
      <c r="BL52" s="398" t="e">
        <f>VLOOKUP($AK52,Adoption!$B$111:$H$134,BL$37,FALSE)</f>
        <v>#N/A</v>
      </c>
      <c r="BM52" s="398">
        <f>VLOOKUP($AK52,Adoption!$B$146:$H$169,BH$37,FALSE)</f>
        <v>0.15789473684210525</v>
      </c>
      <c r="BN52" s="398">
        <f>VLOOKUP($AK52,Adoption!$B$146:$H$169,BI$37,FALSE)</f>
        <v>0.17857142857142858</v>
      </c>
      <c r="BO52" s="398">
        <f>VLOOKUP($AK52,Adoption!$B$146:$H$169,BJ$37,FALSE)</f>
        <v>0.16260162601626016</v>
      </c>
      <c r="BP52" s="398">
        <f>VLOOKUP($AK52,Adoption!$B$146:$H$169,BK$37,FALSE)</f>
        <v>0.08</v>
      </c>
      <c r="BQ52" s="398">
        <f>VLOOKUP($AK52,Adoption!$B$146:$H$169,BL$37,FALSE)</f>
        <v>0.15053763440860216</v>
      </c>
    </row>
    <row r="53" spans="1:69" ht="14.25" customHeight="1" x14ac:dyDescent="0.2">
      <c r="A53" s="135"/>
      <c r="B53" s="449"/>
      <c r="C53" s="449"/>
      <c r="D53" s="58"/>
      <c r="E53" s="58"/>
      <c r="F53" s="58"/>
      <c r="G53" s="58"/>
      <c r="H53" s="58"/>
      <c r="I53" s="58"/>
      <c r="J53" s="13"/>
      <c r="K53" s="15"/>
      <c r="L53" s="15"/>
      <c r="M53" s="15"/>
      <c r="N53" s="15"/>
      <c r="O53" s="9"/>
      <c r="P53" s="9"/>
      <c r="Q53" s="9"/>
      <c r="R53" s="9"/>
      <c r="S53" s="9"/>
      <c r="T53" s="9"/>
      <c r="U53" s="9"/>
      <c r="V53" s="134"/>
      <c r="W53" s="152"/>
      <c r="X53" s="326"/>
      <c r="Y53" s="647">
        <v>12</v>
      </c>
      <c r="Z53" s="50" t="str">
        <f t="shared" si="10"/>
        <v>Reading</v>
      </c>
      <c r="AA53" s="45">
        <v>13</v>
      </c>
      <c r="AB53" s="46">
        <f>IF(H20&gt;0,IDACI!D20,0)</f>
        <v>30916</v>
      </c>
      <c r="AC53" s="46">
        <f>IF(H20&gt;0,IDACI!E20,0)</f>
        <v>6121.3680000000004</v>
      </c>
      <c r="AJ53" s="642" t="b">
        <v>1</v>
      </c>
      <c r="AK53" s="178" t="s">
        <v>14</v>
      </c>
      <c r="AL53" s="101" t="str">
        <f t="shared" si="7"/>
        <v>Slough</v>
      </c>
      <c r="AM53" s="164">
        <f t="shared" si="12"/>
        <v>3.8560411311053988</v>
      </c>
      <c r="AN53" s="164" t="e">
        <f t="shared" si="12"/>
        <v>#N/A</v>
      </c>
      <c r="AO53" s="164">
        <f t="shared" si="12"/>
        <v>1.2315270935960589</v>
      </c>
      <c r="AP53" s="164">
        <f t="shared" si="12"/>
        <v>1.9320871371298844</v>
      </c>
      <c r="AQ53" s="164">
        <f t="shared" si="12"/>
        <v>1.8966334755808441</v>
      </c>
      <c r="AR53" s="165">
        <f t="shared" si="11"/>
        <v>19.5</v>
      </c>
      <c r="AS53" s="398" t="e">
        <f>VLOOKUP($AL53,#REF!,AS$37,FALSE)</f>
        <v>#REF!</v>
      </c>
      <c r="AT53" s="398" t="e">
        <f>VLOOKUP($AL53,#REF!,AT$37,FALSE)</f>
        <v>#REF!</v>
      </c>
      <c r="AU53" s="398" t="e">
        <f>VLOOKUP($AL53,#REF!,AU$37,FALSE)</f>
        <v>#REF!</v>
      </c>
      <c r="AV53" s="398" t="e">
        <f>VLOOKUP($AL53,#REF!,AV$37,FALSE)</f>
        <v>#REF!</v>
      </c>
      <c r="AW53" s="398" t="e">
        <f>VLOOKUP($AL53,#REF!,AW$37,FALSE)</f>
        <v>#REF!</v>
      </c>
      <c r="AX53" s="398">
        <f t="shared" si="13"/>
        <v>0.16190476190476191</v>
      </c>
      <c r="AY53" s="398">
        <f t="shared" si="13"/>
        <v>0.20353982300884957</v>
      </c>
      <c r="AZ53" s="398">
        <f t="shared" si="13"/>
        <v>0.1038961038961039</v>
      </c>
      <c r="BA53" s="398">
        <f t="shared" si="13"/>
        <v>9.8214285714285712E-2</v>
      </c>
      <c r="BB53" s="398">
        <f t="shared" si="13"/>
        <v>0.11607142857142858</v>
      </c>
      <c r="BC53" s="398" t="e">
        <f>VLOOKUP($AL53,#REF!,BC$37,FALSE)</f>
        <v>#REF!</v>
      </c>
      <c r="BD53" s="398" t="e">
        <f>VLOOKUP($AL53,#REF!,BD$37,FALSE)</f>
        <v>#REF!</v>
      </c>
      <c r="BE53" s="398" t="e">
        <f>VLOOKUP($AL53,#REF!,BE$37,FALSE)</f>
        <v>#REF!</v>
      </c>
      <c r="BF53" s="398" t="e">
        <f>VLOOKUP($AL53,#REF!,BF$37,FALSE)</f>
        <v>#REF!</v>
      </c>
      <c r="BG53" s="398" t="e">
        <f>VLOOKUP($AL53,#REF!,BG$37,FALSE)</f>
        <v>#REF!</v>
      </c>
      <c r="BH53" s="398">
        <f>VLOOKUP($AK53,Adoption!$B$111:$H$134,BH$37,FALSE)</f>
        <v>4.7619047619047616E-2</v>
      </c>
      <c r="BI53" s="398" t="e">
        <f>VLOOKUP($AK53,Adoption!$B$111:$H$134,BI$37,FALSE)</f>
        <v>#N/A</v>
      </c>
      <c r="BJ53" s="398">
        <f>VLOOKUP($AK53,Adoption!$B$111:$H$134,BJ$37,FALSE)</f>
        <v>6.4935064935064929E-2</v>
      </c>
      <c r="BK53" s="398">
        <f>VLOOKUP($AK53,Adoption!$B$111:$H$134,BK$37,FALSE)</f>
        <v>8.0357142857142863E-2</v>
      </c>
      <c r="BL53" s="398" t="e">
        <f>VLOOKUP($AK53,Adoption!$B$111:$H$134,BL$37,FALSE)</f>
        <v>#N/A</v>
      </c>
      <c r="BM53" s="398">
        <f>VLOOKUP($AK53,Adoption!$B$146:$H$169,BH$37,FALSE)</f>
        <v>0.14285714285714285</v>
      </c>
      <c r="BN53" s="398">
        <f>VLOOKUP($AK53,Adoption!$B$146:$H$169,BI$37,FALSE)</f>
        <v>4.4247787610619468E-2</v>
      </c>
      <c r="BO53" s="398">
        <f>VLOOKUP($AK53,Adoption!$B$146:$H$169,BJ$37,FALSE)</f>
        <v>0.16233766233766234</v>
      </c>
      <c r="BP53" s="398">
        <f>VLOOKUP($AK53,Adoption!$B$146:$H$169,BK$37,FALSE)</f>
        <v>8.9285714285714288E-2</v>
      </c>
      <c r="BQ53" s="398">
        <f>VLOOKUP($AK53,Adoption!$B$146:$H$169,BL$37,FALSE)</f>
        <v>0.125</v>
      </c>
    </row>
    <row r="54" spans="1:69" ht="14.25" customHeight="1" x14ac:dyDescent="0.2">
      <c r="A54" s="135"/>
      <c r="B54" s="449"/>
      <c r="C54" s="449"/>
      <c r="D54" s="58"/>
      <c r="E54" s="58"/>
      <c r="F54" s="58"/>
      <c r="G54" s="58"/>
      <c r="H54" s="58"/>
      <c r="I54" s="58"/>
      <c r="J54" s="13"/>
      <c r="K54" s="15"/>
      <c r="L54" s="15"/>
      <c r="M54" s="15"/>
      <c r="N54" s="15"/>
      <c r="O54" s="9"/>
      <c r="P54" s="9"/>
      <c r="Q54" s="9"/>
      <c r="R54" s="9"/>
      <c r="S54" s="9"/>
      <c r="T54" s="9"/>
      <c r="U54" s="9"/>
      <c r="V54" s="134"/>
      <c r="W54" s="152"/>
      <c r="X54" s="326"/>
      <c r="Y54" s="647">
        <v>13</v>
      </c>
      <c r="Z54" s="50" t="str">
        <f t="shared" si="10"/>
        <v>Slough</v>
      </c>
      <c r="AA54" s="45">
        <v>14</v>
      </c>
      <c r="AB54" s="46">
        <f>IF(H21&gt;0,IDACI!D21,0)</f>
        <v>34703</v>
      </c>
      <c r="AC54" s="46">
        <f>IF(H21&gt;0,IDACI!E21,0)</f>
        <v>6767.085</v>
      </c>
      <c r="AJ54" s="642" t="b">
        <v>1</v>
      </c>
      <c r="AK54" s="178" t="s">
        <v>93</v>
      </c>
      <c r="AL54" s="101" t="str">
        <f t="shared" si="7"/>
        <v>Somerset</v>
      </c>
      <c r="AM54" s="164">
        <f t="shared" si="12"/>
        <v>3.2169117647058822</v>
      </c>
      <c r="AN54" s="164">
        <f t="shared" si="12"/>
        <v>2.2956841138659319</v>
      </c>
      <c r="AO54" s="164">
        <f t="shared" si="12"/>
        <v>1.3736263736263736</v>
      </c>
      <c r="AP54" s="164">
        <f t="shared" si="12"/>
        <v>1.4590951786023694</v>
      </c>
      <c r="AQ54" s="164" t="e">
        <f t="shared" si="12"/>
        <v>#N/A</v>
      </c>
      <c r="AR54" s="165">
        <f t="shared" si="11"/>
        <v>14.8</v>
      </c>
      <c r="AS54" s="398" t="e">
        <f>VLOOKUP($AL54,#REF!,AS$37,FALSE)</f>
        <v>#REF!</v>
      </c>
      <c r="AT54" s="398" t="e">
        <f>VLOOKUP($AL54,#REF!,AT$37,FALSE)</f>
        <v>#REF!</v>
      </c>
      <c r="AU54" s="398" t="e">
        <f>VLOOKUP($AL54,#REF!,AU$37,FALSE)</f>
        <v>#REF!</v>
      </c>
      <c r="AV54" s="398" t="e">
        <f>VLOOKUP($AL54,#REF!,AV$37,FALSE)</f>
        <v>#REF!</v>
      </c>
      <c r="AW54" s="398" t="e">
        <f>VLOOKUP($AL54,#REF!,AW$37,FALSE)</f>
        <v>#REF!</v>
      </c>
      <c r="AX54" s="398">
        <f t="shared" si="13"/>
        <v>0.15946843853820597</v>
      </c>
      <c r="AY54" s="398">
        <f t="shared" si="13"/>
        <v>0.19063545150501673</v>
      </c>
      <c r="AZ54" s="398">
        <f t="shared" si="13"/>
        <v>0.22270742358078602</v>
      </c>
      <c r="BA54" s="398">
        <f t="shared" si="13"/>
        <v>0.13026819923371646</v>
      </c>
      <c r="BB54" s="398">
        <f t="shared" si="13"/>
        <v>0.14220183486238533</v>
      </c>
      <c r="BC54" s="398" t="e">
        <f>VLOOKUP($AL54,#REF!,BC$37,FALSE)</f>
        <v>#REF!</v>
      </c>
      <c r="BD54" s="398" t="e">
        <f>VLOOKUP($AL54,#REF!,BD$37,FALSE)</f>
        <v>#REF!</v>
      </c>
      <c r="BE54" s="398" t="e">
        <f>VLOOKUP($AL54,#REF!,BE$37,FALSE)</f>
        <v>#REF!</v>
      </c>
      <c r="BF54" s="398" t="e">
        <f>VLOOKUP($AL54,#REF!,BF$37,FALSE)</f>
        <v>#REF!</v>
      </c>
      <c r="BG54" s="398" t="e">
        <f>VLOOKUP($AL54,#REF!,BG$37,FALSE)</f>
        <v>#REF!</v>
      </c>
      <c r="BH54" s="398">
        <f>VLOOKUP($AK54,Adoption!$B$111:$H$134,BH$37,FALSE)</f>
        <v>4.9833887043189369E-2</v>
      </c>
      <c r="BI54" s="398">
        <f>VLOOKUP($AK54,Adoption!$B$111:$H$134,BI$37,FALSE)</f>
        <v>1.6722408026755852E-2</v>
      </c>
      <c r="BJ54" s="398" t="e">
        <f>VLOOKUP($AK54,Adoption!$B$111:$H$134,BJ$37,FALSE)</f>
        <v>#N/A</v>
      </c>
      <c r="BK54" s="398">
        <f>VLOOKUP($AK54,Adoption!$B$111:$H$134,BK$37,FALSE)</f>
        <v>4.5977011494252873E-2</v>
      </c>
      <c r="BL54" s="398">
        <f>VLOOKUP($AK54,Adoption!$B$111:$H$134,BL$37,FALSE)</f>
        <v>2.7522935779816515E-2</v>
      </c>
      <c r="BM54" s="398">
        <f>VLOOKUP($AK54,Adoption!$B$146:$H$169,BH$37,FALSE)</f>
        <v>3.3222591362126248E-2</v>
      </c>
      <c r="BN54" s="398">
        <f>VLOOKUP($AK54,Adoption!$B$146:$H$169,BI$37,FALSE)</f>
        <v>5.016722408026756E-2</v>
      </c>
      <c r="BO54" s="398">
        <f>VLOOKUP($AK54,Adoption!$B$146:$H$169,BJ$37,FALSE)</f>
        <v>6.5502183406113537E-2</v>
      </c>
      <c r="BP54" s="398">
        <f>VLOOKUP($AK54,Adoption!$B$146:$H$169,BK$37,FALSE)</f>
        <v>0.11494252873563218</v>
      </c>
      <c r="BQ54" s="398">
        <f>VLOOKUP($AK54,Adoption!$B$146:$H$169,BL$37,FALSE)</f>
        <v>0.12844036697247707</v>
      </c>
    </row>
    <row r="55" spans="1:69" ht="14.25" customHeight="1" x14ac:dyDescent="0.2">
      <c r="A55" s="135"/>
      <c r="B55" s="449"/>
      <c r="C55" s="449"/>
      <c r="D55" s="58"/>
      <c r="E55" s="58"/>
      <c r="F55" s="58"/>
      <c r="G55" s="58"/>
      <c r="H55" s="58"/>
      <c r="I55" s="58"/>
      <c r="J55" s="13"/>
      <c r="K55" s="15"/>
      <c r="L55" s="15"/>
      <c r="M55" s="15"/>
      <c r="N55" s="15"/>
      <c r="O55" s="9"/>
      <c r="P55" s="9"/>
      <c r="Q55" s="9"/>
      <c r="R55" s="9"/>
      <c r="S55" s="9"/>
      <c r="T55" s="9"/>
      <c r="U55" s="9"/>
      <c r="V55" s="134"/>
      <c r="W55" s="152"/>
      <c r="X55" s="326"/>
      <c r="Y55" s="647">
        <v>14</v>
      </c>
      <c r="Z55" s="50" t="str">
        <f t="shared" si="10"/>
        <v>Somerset</v>
      </c>
      <c r="AA55" s="45">
        <v>15</v>
      </c>
      <c r="AB55" s="46">
        <f>IF(H22&gt;0,IDACI!D22,0)</f>
        <v>94797</v>
      </c>
      <c r="AC55" s="46">
        <f>IF(H22&gt;0,IDACI!E22,0)</f>
        <v>14029.956000000002</v>
      </c>
      <c r="AJ55" s="642" t="b">
        <v>1</v>
      </c>
      <c r="AK55" s="178" t="s">
        <v>15</v>
      </c>
      <c r="AL55" s="101" t="str">
        <f t="shared" si="7"/>
        <v>Southampton</v>
      </c>
      <c r="AM55" s="164">
        <f t="shared" si="12"/>
        <v>8.4388185654008439</v>
      </c>
      <c r="AN55" s="164">
        <f t="shared" si="12"/>
        <v>10.2880658436214</v>
      </c>
      <c r="AO55" s="164">
        <f t="shared" si="12"/>
        <v>12.195121951219512</v>
      </c>
      <c r="AP55" s="164">
        <f t="shared" si="12"/>
        <v>8.0158714254223362</v>
      </c>
      <c r="AQ55" s="164">
        <f t="shared" si="12"/>
        <v>5.5660471126130604</v>
      </c>
      <c r="AR55" s="165">
        <f t="shared" si="11"/>
        <v>25</v>
      </c>
      <c r="AS55" s="398" t="e">
        <f>VLOOKUP($AL55,#REF!,AS$37,FALSE)</f>
        <v>#REF!</v>
      </c>
      <c r="AT55" s="398" t="e">
        <f>VLOOKUP($AL55,#REF!,AT$37,FALSE)</f>
        <v>#REF!</v>
      </c>
      <c r="AU55" s="398" t="e">
        <f>VLOOKUP($AL55,#REF!,AU$37,FALSE)</f>
        <v>#REF!</v>
      </c>
      <c r="AV55" s="398" t="e">
        <f>VLOOKUP($AL55,#REF!,AV$37,FALSE)</f>
        <v>#REF!</v>
      </c>
      <c r="AW55" s="398" t="e">
        <f>VLOOKUP($AL55,#REF!,AW$37,FALSE)</f>
        <v>#REF!</v>
      </c>
      <c r="AX55" s="398">
        <f t="shared" si="13"/>
        <v>0.16304347826086957</v>
      </c>
      <c r="AY55" s="398">
        <f t="shared" si="13"/>
        <v>0.265625</v>
      </c>
      <c r="AZ55" s="398">
        <f t="shared" si="13"/>
        <v>0.3073170731707317</v>
      </c>
      <c r="BA55" s="398">
        <f t="shared" si="13"/>
        <v>0.34841628959276016</v>
      </c>
      <c r="BB55" s="398">
        <f t="shared" si="13"/>
        <v>0.27411167512690354</v>
      </c>
      <c r="BC55" s="398" t="e">
        <f>VLOOKUP($AL55,#REF!,BC$37,FALSE)</f>
        <v>#REF!</v>
      </c>
      <c r="BD55" s="398" t="e">
        <f>VLOOKUP($AL55,#REF!,BD$37,FALSE)</f>
        <v>#REF!</v>
      </c>
      <c r="BE55" s="398" t="e">
        <f>VLOOKUP($AL55,#REF!,BE$37,FALSE)</f>
        <v>#REF!</v>
      </c>
      <c r="BF55" s="398" t="e">
        <f>VLOOKUP($AL55,#REF!,BF$37,FALSE)</f>
        <v>#REF!</v>
      </c>
      <c r="BG55" s="398" t="e">
        <f>VLOOKUP($AL55,#REF!,BG$37,FALSE)</f>
        <v>#REF!</v>
      </c>
      <c r="BH55" s="398">
        <f>VLOOKUP($AK55,Adoption!$B$111:$H$134,BH$37,FALSE)</f>
        <v>0.1358695652173913</v>
      </c>
      <c r="BI55" s="398">
        <f>VLOOKUP($AK55,Adoption!$B$111:$H$134,BI$37,FALSE)</f>
        <v>5.2083333333333336E-2</v>
      </c>
      <c r="BJ55" s="398" t="e">
        <f>VLOOKUP($AK55,Adoption!$B$111:$H$134,BJ$37,FALSE)</f>
        <v>#N/A</v>
      </c>
      <c r="BK55" s="398" t="e">
        <f>VLOOKUP($AK55,Adoption!$B$111:$H$134,BK$37,FALSE)</f>
        <v>#N/A</v>
      </c>
      <c r="BL55" s="398">
        <f>VLOOKUP($AK55,Adoption!$B$111:$H$134,BL$37,FALSE)</f>
        <v>6.5989847715736044E-2</v>
      </c>
      <c r="BM55" s="398">
        <f>VLOOKUP($AK55,Adoption!$B$146:$H$169,BH$37,FALSE)</f>
        <v>0.10869565217391304</v>
      </c>
      <c r="BN55" s="398">
        <f>VLOOKUP($AK55,Adoption!$B$146:$H$169,BI$37,FALSE)</f>
        <v>5.2083333333333336E-2</v>
      </c>
      <c r="BO55" s="398">
        <f>VLOOKUP($AK55,Adoption!$B$146:$H$169,BJ$37,FALSE)</f>
        <v>0.14634146341463414</v>
      </c>
      <c r="BP55" s="398">
        <f>VLOOKUP($AK55,Adoption!$B$146:$H$169,BK$37,FALSE)</f>
        <v>0.15837104072398189</v>
      </c>
      <c r="BQ55" s="398">
        <f>VLOOKUP($AK55,Adoption!$B$146:$H$169,BL$37,FALSE)</f>
        <v>0.19796954314720813</v>
      </c>
    </row>
    <row r="56" spans="1:69" ht="14.25" customHeight="1" x14ac:dyDescent="0.2">
      <c r="A56" s="135"/>
      <c r="B56" s="449"/>
      <c r="C56" s="449"/>
      <c r="D56" s="58"/>
      <c r="E56" s="58"/>
      <c r="F56" s="58"/>
      <c r="G56" s="58"/>
      <c r="H56" s="58"/>
      <c r="I56" s="58"/>
      <c r="J56" s="13"/>
      <c r="K56" s="15"/>
      <c r="L56" s="15"/>
      <c r="M56" s="15"/>
      <c r="N56" s="15"/>
      <c r="O56" s="9"/>
      <c r="P56" s="9"/>
      <c r="Q56" s="9"/>
      <c r="R56" s="9"/>
      <c r="S56" s="9"/>
      <c r="T56" s="9"/>
      <c r="U56" s="9"/>
      <c r="V56" s="134"/>
      <c r="W56" s="152"/>
      <c r="X56" s="326"/>
      <c r="Y56" s="647">
        <v>15</v>
      </c>
      <c r="Z56" s="50" t="str">
        <f t="shared" si="10"/>
        <v>Southampton</v>
      </c>
      <c r="AA56" s="45">
        <v>16</v>
      </c>
      <c r="AB56" s="46">
        <f>IF(H23&gt;0,IDACI!D23,0)</f>
        <v>42079</v>
      </c>
      <c r="AC56" s="46">
        <f>IF(H23&gt;0,IDACI!E23,0)</f>
        <v>10519.75</v>
      </c>
      <c r="AJ56" s="642" t="b">
        <v>1</v>
      </c>
      <c r="AK56" s="178" t="s">
        <v>7</v>
      </c>
      <c r="AL56" s="101" t="str">
        <f t="shared" si="7"/>
        <v>Surrey</v>
      </c>
      <c r="AM56" s="164">
        <f t="shared" si="12"/>
        <v>1.7857142857142858</v>
      </c>
      <c r="AN56" s="164">
        <f t="shared" si="12"/>
        <v>1.5710919088766693</v>
      </c>
      <c r="AO56" s="164">
        <f t="shared" si="12"/>
        <v>1.3650546021840875</v>
      </c>
      <c r="AP56" s="164">
        <f t="shared" si="12"/>
        <v>0.84942412905069131</v>
      </c>
      <c r="AQ56" s="164">
        <f t="shared" si="12"/>
        <v>0.53783062177061525</v>
      </c>
      <c r="AR56" s="165">
        <f t="shared" si="11"/>
        <v>9.7000000000000011</v>
      </c>
      <c r="AS56" s="398" t="e">
        <f>VLOOKUP($AL56,#REF!,AS$37,FALSE)</f>
        <v>#REF!</v>
      </c>
      <c r="AT56" s="398" t="e">
        <f>VLOOKUP($AL56,#REF!,AT$37,FALSE)</f>
        <v>#REF!</v>
      </c>
      <c r="AU56" s="398" t="e">
        <f>VLOOKUP($AL56,#REF!,AU$37,FALSE)</f>
        <v>#REF!</v>
      </c>
      <c r="AV56" s="398" t="e">
        <f>VLOOKUP($AL56,#REF!,AV$37,FALSE)</f>
        <v>#REF!</v>
      </c>
      <c r="AW56" s="398" t="e">
        <f>VLOOKUP($AL56,#REF!,AW$37,FALSE)</f>
        <v>#REF!</v>
      </c>
      <c r="AX56" s="398">
        <f t="shared" si="13"/>
        <v>0.14114832535885166</v>
      </c>
      <c r="AY56" s="398">
        <f t="shared" si="13"/>
        <v>0.13368983957219252</v>
      </c>
      <c r="AZ56" s="398">
        <f t="shared" si="13"/>
        <v>0.12592592592592591</v>
      </c>
      <c r="BA56" s="398">
        <f t="shared" si="13"/>
        <v>0.12171837708830549</v>
      </c>
      <c r="BB56" s="398">
        <f t="shared" si="13"/>
        <v>8.0882352941176475E-2</v>
      </c>
      <c r="BC56" s="398" t="e">
        <f>VLOOKUP($AL56,#REF!,BC$37,FALSE)</f>
        <v>#REF!</v>
      </c>
      <c r="BD56" s="398" t="e">
        <f>VLOOKUP($AL56,#REF!,BD$37,FALSE)</f>
        <v>#REF!</v>
      </c>
      <c r="BE56" s="398" t="e">
        <f>VLOOKUP($AL56,#REF!,BE$37,FALSE)</f>
        <v>#REF!</v>
      </c>
      <c r="BF56" s="398" t="e">
        <f>VLOOKUP($AL56,#REF!,BF$37,FALSE)</f>
        <v>#REF!</v>
      </c>
      <c r="BG56" s="398" t="e">
        <f>VLOOKUP($AL56,#REF!,BG$37,FALSE)</f>
        <v>#REF!</v>
      </c>
      <c r="BH56" s="398">
        <f>VLOOKUP($AK56,Adoption!$B$111:$H$134,BH$37,FALSE)</f>
        <v>7.1770334928229665E-2</v>
      </c>
      <c r="BI56" s="398">
        <f>VLOOKUP($AK56,Adoption!$B$111:$H$134,BI$37,FALSE)</f>
        <v>1.3368983957219251E-2</v>
      </c>
      <c r="BJ56" s="398">
        <f>VLOOKUP($AK56,Adoption!$B$111:$H$134,BJ$37,FALSE)</f>
        <v>3.7037037037037035E-2</v>
      </c>
      <c r="BK56" s="398">
        <f>VLOOKUP($AK56,Adoption!$B$111:$H$134,BK$37,FALSE)</f>
        <v>1.6706443914081145E-2</v>
      </c>
      <c r="BL56" s="398">
        <f>VLOOKUP($AK56,Adoption!$B$111:$H$134,BL$37,FALSE)</f>
        <v>3.1862745098039214E-2</v>
      </c>
      <c r="BM56" s="398">
        <f>VLOOKUP($AK56,Adoption!$B$146:$H$169,BH$37,FALSE)</f>
        <v>0.15550239234449761</v>
      </c>
      <c r="BN56" s="398">
        <f>VLOOKUP($AK56,Adoption!$B$146:$H$169,BI$37,FALSE)</f>
        <v>0.13368983957219252</v>
      </c>
      <c r="BO56" s="398">
        <f>VLOOKUP($AK56,Adoption!$B$146:$H$169,BJ$37,FALSE)</f>
        <v>9.8765432098765427E-2</v>
      </c>
      <c r="BP56" s="398">
        <f>VLOOKUP($AK56,Adoption!$B$146:$H$169,BK$37,FALSE)</f>
        <v>0.13365155131264916</v>
      </c>
      <c r="BQ56" s="398">
        <f>VLOOKUP($AK56,Adoption!$B$146:$H$169,BL$37,FALSE)</f>
        <v>0.125</v>
      </c>
    </row>
    <row r="57" spans="1:69" ht="14.25" customHeight="1" x14ac:dyDescent="0.2">
      <c r="A57" s="309"/>
      <c r="B57" s="449"/>
      <c r="C57" s="449"/>
      <c r="D57" s="58"/>
      <c r="E57" s="58"/>
      <c r="F57" s="58"/>
      <c r="G57" s="58"/>
      <c r="H57" s="58"/>
      <c r="I57" s="58"/>
      <c r="J57" s="13"/>
      <c r="K57" s="15"/>
      <c r="L57" s="15"/>
      <c r="M57" s="15"/>
      <c r="N57" s="15"/>
      <c r="O57" s="9"/>
      <c r="P57" s="9"/>
      <c r="Q57" s="9"/>
      <c r="R57" s="9"/>
      <c r="S57" s="9"/>
      <c r="T57" s="9"/>
      <c r="U57" s="9"/>
      <c r="V57" s="134"/>
      <c r="W57" s="152"/>
      <c r="X57" s="326"/>
      <c r="Y57" s="647">
        <v>16</v>
      </c>
      <c r="Z57" s="50" t="str">
        <f t="shared" si="10"/>
        <v>Surrey</v>
      </c>
      <c r="AA57" s="45">
        <v>17</v>
      </c>
      <c r="AB57" s="46">
        <f>IF(H24&gt;0,IDACI!D24,0)</f>
        <v>221989</v>
      </c>
      <c r="AC57" s="46">
        <f>IF(H24&gt;0,IDACI!E24,0)</f>
        <v>21532.933000000005</v>
      </c>
      <c r="AJ57" s="642" t="b">
        <v>1</v>
      </c>
      <c r="AK57" s="178" t="s">
        <v>116</v>
      </c>
      <c r="AL57" s="101" t="str">
        <f t="shared" si="7"/>
        <v>Swindon</v>
      </c>
      <c r="AM57" s="164">
        <f t="shared" si="12"/>
        <v>1.0438413361169103</v>
      </c>
      <c r="AN57" s="164" t="e">
        <f t="shared" si="12"/>
        <v>#N/A</v>
      </c>
      <c r="AO57" s="164">
        <f t="shared" si="12"/>
        <v>1.0204081632653061</v>
      </c>
      <c r="AP57" s="164" t="e">
        <f t="shared" si="12"/>
        <v>#N/A</v>
      </c>
      <c r="AQ57" s="164" t="e">
        <f t="shared" si="12"/>
        <v>#N/A</v>
      </c>
      <c r="AR57" s="165">
        <f t="shared" si="11"/>
        <v>17.2</v>
      </c>
      <c r="AS57" s="398" t="e">
        <f>VLOOKUP($AL57,#REF!,AS$37,FALSE)</f>
        <v>#REF!</v>
      </c>
      <c r="AT57" s="398" t="e">
        <f>VLOOKUP($AL57,#REF!,AT$37,FALSE)</f>
        <v>#REF!</v>
      </c>
      <c r="AU57" s="398" t="e">
        <f>VLOOKUP($AL57,#REF!,AU$37,FALSE)</f>
        <v>#REF!</v>
      </c>
      <c r="AV57" s="398" t="e">
        <f>VLOOKUP($AL57,#REF!,AV$37,FALSE)</f>
        <v>#REF!</v>
      </c>
      <c r="AW57" s="398" t="e">
        <f>VLOOKUP($AL57,#REF!,AW$37,FALSE)</f>
        <v>#REF!</v>
      </c>
      <c r="AX57" s="398">
        <f t="shared" si="13"/>
        <v>0.11940298507462686</v>
      </c>
      <c r="AY57" s="398">
        <f t="shared" si="13"/>
        <v>9.6296296296296297E-2</v>
      </c>
      <c r="AZ57" s="398">
        <f t="shared" si="13"/>
        <v>5.0359712230215826E-2</v>
      </c>
      <c r="BA57" s="398">
        <f t="shared" si="13"/>
        <v>0.12666666666666668</v>
      </c>
      <c r="BB57" s="398">
        <f t="shared" si="13"/>
        <v>0.1032258064516129</v>
      </c>
      <c r="BC57" s="398" t="e">
        <f>VLOOKUP($AL57,#REF!,BC$37,FALSE)</f>
        <v>#REF!</v>
      </c>
      <c r="BD57" s="398" t="e">
        <f>VLOOKUP($AL57,#REF!,BD$37,FALSE)</f>
        <v>#REF!</v>
      </c>
      <c r="BE57" s="398" t="e">
        <f>VLOOKUP($AL57,#REF!,BE$37,FALSE)</f>
        <v>#REF!</v>
      </c>
      <c r="BF57" s="398" t="e">
        <f>VLOOKUP($AL57,#REF!,BF$37,FALSE)</f>
        <v>#REF!</v>
      </c>
      <c r="BG57" s="398" t="e">
        <f>VLOOKUP($AL57,#REF!,BG$37,FALSE)</f>
        <v>#REF!</v>
      </c>
      <c r="BH57" s="398">
        <f>VLOOKUP($AK57,Adoption!$B$111:$H$134,BH$37,FALSE)</f>
        <v>3.7313432835820892E-2</v>
      </c>
      <c r="BI57" s="398" t="e">
        <f>VLOOKUP($AK57,Adoption!$B$111:$H$134,BI$37,FALSE)</f>
        <v>#N/A</v>
      </c>
      <c r="BJ57" s="398" t="e">
        <f>VLOOKUP($AK57,Adoption!$B$111:$H$134,BJ$37,FALSE)</f>
        <v>#N/A</v>
      </c>
      <c r="BK57" s="398">
        <f>VLOOKUP($AK57,Adoption!$B$111:$H$134,BK$37,FALSE)</f>
        <v>6.6666666666666666E-2</v>
      </c>
      <c r="BL57" s="398">
        <f>VLOOKUP($AK57,Adoption!$B$111:$H$134,BL$37,FALSE)</f>
        <v>5.1612903225806452E-2</v>
      </c>
      <c r="BM57" s="398">
        <f>VLOOKUP($AK57,Adoption!$B$146:$H$169,BH$37,FALSE)</f>
        <v>3.7313432835820892E-2</v>
      </c>
      <c r="BN57" s="398">
        <f>VLOOKUP($AK57,Adoption!$B$146:$H$169,BI$37,FALSE)</f>
        <v>7.407407407407407E-2</v>
      </c>
      <c r="BO57" s="398">
        <f>VLOOKUP($AK57,Adoption!$B$146:$H$169,BJ$37,FALSE)</f>
        <v>7.1942446043165464E-2</v>
      </c>
      <c r="BP57" s="398">
        <f>VLOOKUP($AK57,Adoption!$B$146:$H$169,BK$37,FALSE)</f>
        <v>0.12666666666666668</v>
      </c>
      <c r="BQ57" s="398">
        <f>VLOOKUP($AK57,Adoption!$B$146:$H$169,BL$37,FALSE)</f>
        <v>0.18064516129032257</v>
      </c>
    </row>
    <row r="58" spans="1:69" ht="14.25" customHeight="1" x14ac:dyDescent="0.2">
      <c r="A58" s="309"/>
      <c r="B58" s="449"/>
      <c r="C58" s="449"/>
      <c r="D58" s="58"/>
      <c r="E58" s="58"/>
      <c r="F58" s="58"/>
      <c r="G58" s="58"/>
      <c r="H58" s="58"/>
      <c r="I58" s="58"/>
      <c r="J58" s="13"/>
      <c r="K58" s="15"/>
      <c r="L58" s="15"/>
      <c r="M58" s="15"/>
      <c r="N58" s="15"/>
      <c r="O58" s="9"/>
      <c r="P58" s="9"/>
      <c r="Q58" s="9"/>
      <c r="R58" s="9"/>
      <c r="S58" s="9"/>
      <c r="T58" s="9"/>
      <c r="U58" s="9"/>
      <c r="V58" s="134"/>
      <c r="W58" s="152"/>
      <c r="X58" s="326"/>
      <c r="Y58" s="647">
        <v>17</v>
      </c>
      <c r="Z58" s="50" t="str">
        <f t="shared" si="10"/>
        <v>Swindon</v>
      </c>
      <c r="AA58" s="45">
        <v>18</v>
      </c>
      <c r="AB58" s="46">
        <f>IF(H25&gt;0,IDACI!D25,0)</f>
        <v>42184</v>
      </c>
      <c r="AC58" s="46">
        <f>IF(H25&gt;0,IDACI!E25,0)</f>
        <v>7255.6479999999992</v>
      </c>
      <c r="AJ58" s="642" t="b">
        <v>1</v>
      </c>
      <c r="AK58" s="178" t="s">
        <v>117</v>
      </c>
      <c r="AL58" s="101" t="str">
        <f t="shared" si="7"/>
        <v>Torbay</v>
      </c>
      <c r="AM58" s="164">
        <f t="shared" si="12"/>
        <v>4.032258064516129</v>
      </c>
      <c r="AN58" s="164">
        <f t="shared" si="12"/>
        <v>7.9681274900398407</v>
      </c>
      <c r="AO58" s="164">
        <f t="shared" si="12"/>
        <v>3.9682539682539684</v>
      </c>
      <c r="AP58" s="164">
        <f t="shared" si="12"/>
        <v>5.517676270050841</v>
      </c>
      <c r="AQ58" s="164">
        <f t="shared" si="12"/>
        <v>2.7540622418066651</v>
      </c>
      <c r="AR58" s="165">
        <f t="shared" si="11"/>
        <v>24.1</v>
      </c>
      <c r="AS58" s="398" t="e">
        <f>VLOOKUP($AL58,#REF!,AS$37,FALSE)</f>
        <v>#REF!</v>
      </c>
      <c r="AT58" s="398" t="e">
        <f>VLOOKUP($AL58,#REF!,AT$37,FALSE)</f>
        <v>#REF!</v>
      </c>
      <c r="AU58" s="398" t="e">
        <f>VLOOKUP($AL58,#REF!,AU$37,FALSE)</f>
        <v>#REF!</v>
      </c>
      <c r="AV58" s="398" t="e">
        <f>VLOOKUP($AL58,#REF!,AV$37,FALSE)</f>
        <v>#REF!</v>
      </c>
      <c r="AW58" s="398" t="e">
        <f>VLOOKUP($AL58,#REF!,AW$37,FALSE)</f>
        <v>#REF!</v>
      </c>
      <c r="AX58" s="398">
        <f t="shared" si="13"/>
        <v>0.16666666666666666</v>
      </c>
      <c r="AY58" s="398">
        <f t="shared" si="13"/>
        <v>0.15322580645161291</v>
      </c>
      <c r="AZ58" s="398">
        <f t="shared" si="13"/>
        <v>0.224</v>
      </c>
      <c r="BA58" s="398">
        <f t="shared" si="13"/>
        <v>0.12844036697247707</v>
      </c>
      <c r="BB58" s="398">
        <f t="shared" si="13"/>
        <v>0.19607843137254902</v>
      </c>
      <c r="BC58" s="398" t="e">
        <f>VLOOKUP($AL58,#REF!,BC$37,FALSE)</f>
        <v>#REF!</v>
      </c>
      <c r="BD58" s="398" t="e">
        <f>VLOOKUP($AL58,#REF!,BD$37,FALSE)</f>
        <v>#REF!</v>
      </c>
      <c r="BE58" s="398" t="e">
        <f>VLOOKUP($AL58,#REF!,BE$37,FALSE)</f>
        <v>#REF!</v>
      </c>
      <c r="BF58" s="398" t="e">
        <f>VLOOKUP($AL58,#REF!,BF$37,FALSE)</f>
        <v>#REF!</v>
      </c>
      <c r="BG58" s="398" t="e">
        <f>VLOOKUP($AL58,#REF!,BG$37,FALSE)</f>
        <v>#REF!</v>
      </c>
      <c r="BH58" s="398">
        <f>VLOOKUP($AK58,Adoption!$B$111:$H$134,BH$37,FALSE)</f>
        <v>6.4102564102564097E-2</v>
      </c>
      <c r="BI58" s="398">
        <f>VLOOKUP($AK58,Adoption!$B$111:$H$134,BI$37,FALSE)</f>
        <v>4.0322580645161289E-2</v>
      </c>
      <c r="BJ58" s="398">
        <f>VLOOKUP($AK58,Adoption!$B$111:$H$134,BJ$37,FALSE)</f>
        <v>0.04</v>
      </c>
      <c r="BK58" s="398">
        <f>VLOOKUP($AK58,Adoption!$B$111:$H$134,BK$37,FALSE)</f>
        <v>0.11009174311926606</v>
      </c>
      <c r="BL58" s="398">
        <f>VLOOKUP($AK58,Adoption!$B$111:$H$134,BL$37,FALSE)</f>
        <v>5.8823529411764705E-2</v>
      </c>
      <c r="BM58" s="398">
        <f>VLOOKUP($AK58,Adoption!$B$146:$H$169,BH$37,FALSE)</f>
        <v>9.6153846153846159E-2</v>
      </c>
      <c r="BN58" s="398">
        <f>VLOOKUP($AK58,Adoption!$B$146:$H$169,BI$37,FALSE)</f>
        <v>8.0645161290322578E-2</v>
      </c>
      <c r="BO58" s="398">
        <f>VLOOKUP($AK58,Adoption!$B$146:$H$169,BJ$37,FALSE)</f>
        <v>0.08</v>
      </c>
      <c r="BP58" s="398">
        <f>VLOOKUP($AK58,Adoption!$B$146:$H$169,BK$37,FALSE)</f>
        <v>0.14678899082568808</v>
      </c>
      <c r="BQ58" s="398">
        <f>VLOOKUP($AK58,Adoption!$B$146:$H$169,BL$37,FALSE)</f>
        <v>9.8039215686274508E-2</v>
      </c>
    </row>
    <row r="59" spans="1:69" ht="14.25" customHeight="1" x14ac:dyDescent="0.2">
      <c r="A59" s="135"/>
      <c r="B59" s="449"/>
      <c r="C59" s="449"/>
      <c r="D59" s="58"/>
      <c r="E59" s="58"/>
      <c r="F59" s="58"/>
      <c r="G59" s="58"/>
      <c r="H59" s="58"/>
      <c r="I59" s="58"/>
      <c r="J59" s="13"/>
      <c r="K59" s="15"/>
      <c r="L59" s="15"/>
      <c r="M59" s="15"/>
      <c r="N59" s="15"/>
      <c r="O59" s="9"/>
      <c r="P59" s="9"/>
      <c r="Q59" s="9"/>
      <c r="R59" s="9"/>
      <c r="S59" s="9"/>
      <c r="T59" s="9"/>
      <c r="U59" s="9"/>
      <c r="V59" s="134"/>
      <c r="W59" s="152"/>
      <c r="X59" s="326"/>
      <c r="Y59" s="647">
        <v>18</v>
      </c>
      <c r="Z59" s="50" t="str">
        <f t="shared" si="10"/>
        <v>Torbay</v>
      </c>
      <c r="AA59" s="45">
        <v>19</v>
      </c>
      <c r="AB59" s="46">
        <f>IF(H26&gt;0,IDACI!D26,0)</f>
        <v>21714</v>
      </c>
      <c r="AC59" s="46">
        <f>IF(H26&gt;0,IDACI!E26,0)</f>
        <v>5233.0740000000005</v>
      </c>
      <c r="AJ59" s="642" t="b">
        <v>1</v>
      </c>
      <c r="AK59" s="178" t="s">
        <v>16</v>
      </c>
      <c r="AL59" s="101" t="str">
        <f t="shared" si="7"/>
        <v>West Berkshire</v>
      </c>
      <c r="AM59" s="164" t="e">
        <f t="shared" si="12"/>
        <v>#N/A</v>
      </c>
      <c r="AN59" s="164" t="e">
        <f t="shared" si="12"/>
        <v>#N/A</v>
      </c>
      <c r="AO59" s="164">
        <f t="shared" si="12"/>
        <v>2.8011204481792715</v>
      </c>
      <c r="AP59" s="164" t="e">
        <f t="shared" si="12"/>
        <v>#N/A</v>
      </c>
      <c r="AQ59" s="164" t="e">
        <f t="shared" si="12"/>
        <v>#N/A</v>
      </c>
      <c r="AR59" s="165">
        <f t="shared" si="11"/>
        <v>10.4</v>
      </c>
      <c r="AS59" s="398" t="e">
        <f>VLOOKUP($AL59,#REF!,AS$37,FALSE)</f>
        <v>#REF!</v>
      </c>
      <c r="AT59" s="398" t="e">
        <f>VLOOKUP($AL59,#REF!,AT$37,FALSE)</f>
        <v>#REF!</v>
      </c>
      <c r="AU59" s="398" t="e">
        <f>VLOOKUP($AL59,#REF!,AU$37,FALSE)</f>
        <v>#REF!</v>
      </c>
      <c r="AV59" s="398" t="e">
        <f>VLOOKUP($AL59,#REF!,AV$37,FALSE)</f>
        <v>#REF!</v>
      </c>
      <c r="AW59" s="398" t="e">
        <f>VLOOKUP($AL59,#REF!,AW$37,FALSE)</f>
        <v>#REF!</v>
      </c>
      <c r="AX59" s="398">
        <f t="shared" si="13"/>
        <v>8.8235294117647065E-2</v>
      </c>
      <c r="AY59" s="398" t="e">
        <f t="shared" si="13"/>
        <v>#N/A</v>
      </c>
      <c r="AZ59" s="398">
        <f t="shared" si="13"/>
        <v>0.10144927536231885</v>
      </c>
      <c r="BA59" s="398">
        <f t="shared" si="13"/>
        <v>0.16216216216216217</v>
      </c>
      <c r="BB59" s="398" t="e">
        <f t="shared" si="13"/>
        <v>#N/A</v>
      </c>
      <c r="BC59" s="398" t="e">
        <f>VLOOKUP($AL59,#REF!,BC$37,FALSE)</f>
        <v>#REF!</v>
      </c>
      <c r="BD59" s="398" t="e">
        <f>VLOOKUP($AL59,#REF!,BD$37,FALSE)</f>
        <v>#REF!</v>
      </c>
      <c r="BE59" s="398" t="e">
        <f>VLOOKUP($AL59,#REF!,BE$37,FALSE)</f>
        <v>#REF!</v>
      </c>
      <c r="BF59" s="398" t="e">
        <f>VLOOKUP($AL59,#REF!,BF$37,FALSE)</f>
        <v>#REF!</v>
      </c>
      <c r="BG59" s="398" t="e">
        <f>VLOOKUP($AL59,#REF!,BG$37,FALSE)</f>
        <v>#REF!</v>
      </c>
      <c r="BH59" s="398">
        <f>VLOOKUP($AK59,Adoption!$B$111:$H$134,BH$37,FALSE)</f>
        <v>0</v>
      </c>
      <c r="BI59" s="398">
        <f>VLOOKUP($AK59,Adoption!$B$111:$H$134,BI$37,FALSE)</f>
        <v>7.6923076923076927E-2</v>
      </c>
      <c r="BJ59" s="398">
        <f>VLOOKUP($AK59,Adoption!$B$111:$H$134,BJ$37,FALSE)</f>
        <v>0.14492753623188406</v>
      </c>
      <c r="BK59" s="398">
        <f>VLOOKUP($AK59,Adoption!$B$111:$H$134,BK$37,FALSE)</f>
        <v>9.45945945945946E-2</v>
      </c>
      <c r="BL59" s="398">
        <f>VLOOKUP($AK59,Adoption!$B$111:$H$134,BL$37,FALSE)</f>
        <v>0.10465116279069768</v>
      </c>
      <c r="BM59" s="398">
        <f>VLOOKUP($AK59,Adoption!$B$146:$H$169,BH$37,FALSE)</f>
        <v>0.14705882352941177</v>
      </c>
      <c r="BN59" s="398">
        <f>VLOOKUP($AK59,Adoption!$B$146:$H$169,BI$37,FALSE)</f>
        <v>0.15384615384615385</v>
      </c>
      <c r="BO59" s="398">
        <f>VLOOKUP($AK59,Adoption!$B$146:$H$169,BJ$37,FALSE)</f>
        <v>0.14492753623188406</v>
      </c>
      <c r="BP59" s="398" t="e">
        <f>VLOOKUP($AK59,Adoption!$B$146:$H$169,BK$37,FALSE)</f>
        <v>#N/A</v>
      </c>
      <c r="BQ59" s="398">
        <f>VLOOKUP($AK59,Adoption!$B$146:$H$169,BL$37,FALSE)</f>
        <v>0.23255813953488372</v>
      </c>
    </row>
    <row r="60" spans="1:69" ht="14.25" customHeight="1" x14ac:dyDescent="0.2">
      <c r="A60" s="135"/>
      <c r="B60" s="449"/>
      <c r="C60" s="449"/>
      <c r="D60" s="58"/>
      <c r="E60" s="58"/>
      <c r="F60" s="58"/>
      <c r="G60" s="58"/>
      <c r="H60" s="58"/>
      <c r="I60" s="58"/>
      <c r="J60" s="13"/>
      <c r="K60" s="15"/>
      <c r="L60" s="15"/>
      <c r="M60" s="15"/>
      <c r="N60" s="15"/>
      <c r="O60" s="9"/>
      <c r="P60" s="9"/>
      <c r="Q60" s="9"/>
      <c r="R60" s="9"/>
      <c r="S60" s="9"/>
      <c r="T60" s="9"/>
      <c r="U60" s="9"/>
      <c r="V60" s="134"/>
      <c r="W60" s="152"/>
      <c r="X60" s="326"/>
      <c r="Y60" s="647">
        <v>19</v>
      </c>
      <c r="Z60" s="50" t="str">
        <f t="shared" si="10"/>
        <v>West Berkshire</v>
      </c>
      <c r="AA60" s="45">
        <v>20</v>
      </c>
      <c r="AB60" s="46">
        <f>IF(H27&gt;0,IDACI!D27,0)</f>
        <v>31302</v>
      </c>
      <c r="AC60" s="46">
        <f>IF(H27&gt;0,IDACI!E27,0)</f>
        <v>3255.4080000000004</v>
      </c>
      <c r="AJ60" s="642" t="b">
        <v>1</v>
      </c>
      <c r="AK60" s="178" t="s">
        <v>5</v>
      </c>
      <c r="AL60" s="101" t="str">
        <f t="shared" si="7"/>
        <v>West Sussex</v>
      </c>
      <c r="AM60" s="164">
        <f t="shared" si="12"/>
        <v>1.4970059880239521</v>
      </c>
      <c r="AN60" s="164">
        <f t="shared" si="12"/>
        <v>1.777251184834123</v>
      </c>
      <c r="AO60" s="164">
        <f t="shared" si="12"/>
        <v>2.640845070422535</v>
      </c>
      <c r="AP60" s="164">
        <f t="shared" si="12"/>
        <v>1.7466130262399497</v>
      </c>
      <c r="AQ60" s="164">
        <f t="shared" si="12"/>
        <v>2.3660989952735729</v>
      </c>
      <c r="AR60" s="165">
        <f t="shared" si="11"/>
        <v>12.9</v>
      </c>
      <c r="AS60" s="398" t="e">
        <f>VLOOKUP($AL60,#REF!,AS$37,FALSE)</f>
        <v>#REF!</v>
      </c>
      <c r="AT60" s="398" t="e">
        <f>VLOOKUP($AL60,#REF!,AT$37,FALSE)</f>
        <v>#REF!</v>
      </c>
      <c r="AU60" s="398" t="e">
        <f>VLOOKUP($AL60,#REF!,AU$37,FALSE)</f>
        <v>#REF!</v>
      </c>
      <c r="AV60" s="398" t="e">
        <f>VLOOKUP($AL60,#REF!,AV$37,FALSE)</f>
        <v>#REF!</v>
      </c>
      <c r="AW60" s="398" t="e">
        <f>VLOOKUP($AL60,#REF!,AW$37,FALSE)</f>
        <v>#REF!</v>
      </c>
      <c r="AX60" s="398">
        <f t="shared" si="13"/>
        <v>0.13421052631578947</v>
      </c>
      <c r="AY60" s="398">
        <f t="shared" si="13"/>
        <v>0.125</v>
      </c>
      <c r="AZ60" s="398">
        <f t="shared" si="13"/>
        <v>8.549222797927461E-2</v>
      </c>
      <c r="BA60" s="398">
        <f t="shared" si="13"/>
        <v>0.12885154061624648</v>
      </c>
      <c r="BB60" s="398">
        <f t="shared" si="13"/>
        <v>0.10355029585798817</v>
      </c>
      <c r="BC60" s="398" t="e">
        <f>VLOOKUP($AL60,#REF!,BC$37,FALSE)</f>
        <v>#REF!</v>
      </c>
      <c r="BD60" s="398" t="e">
        <f>VLOOKUP($AL60,#REF!,BD$37,FALSE)</f>
        <v>#REF!</v>
      </c>
      <c r="BE60" s="398" t="e">
        <f>VLOOKUP($AL60,#REF!,BE$37,FALSE)</f>
        <v>#REF!</v>
      </c>
      <c r="BF60" s="398" t="e">
        <f>VLOOKUP($AL60,#REF!,BF$37,FALSE)</f>
        <v>#REF!</v>
      </c>
      <c r="BG60" s="398" t="e">
        <f>VLOOKUP($AL60,#REF!,BG$37,FALSE)</f>
        <v>#REF!</v>
      </c>
      <c r="BH60" s="398">
        <f>VLOOKUP($AK60,Adoption!$B$111:$H$134,BH$37,FALSE)</f>
        <v>3.9473684210526314E-2</v>
      </c>
      <c r="BI60" s="398">
        <f>VLOOKUP($AK60,Adoption!$B$111:$H$134,BI$37,FALSE)</f>
        <v>0</v>
      </c>
      <c r="BJ60" s="398" t="e">
        <f>VLOOKUP($AK60,Adoption!$B$111:$H$134,BJ$37,FALSE)</f>
        <v>#N/A</v>
      </c>
      <c r="BK60" s="398">
        <f>VLOOKUP($AK60,Adoption!$B$111:$H$134,BK$37,FALSE)</f>
        <v>0</v>
      </c>
      <c r="BL60" s="398">
        <f>VLOOKUP($AK60,Adoption!$B$111:$H$134,BL$37,FALSE)</f>
        <v>0</v>
      </c>
      <c r="BM60" s="398">
        <f>VLOOKUP($AK60,Adoption!$B$146:$H$169,BH$37,FALSE)</f>
        <v>9.2105263157894732E-2</v>
      </c>
      <c r="BN60" s="398">
        <f>VLOOKUP($AK60,Adoption!$B$146:$H$169,BI$37,FALSE)</f>
        <v>6.097560975609756E-2</v>
      </c>
      <c r="BO60" s="398">
        <f>VLOOKUP($AK60,Adoption!$B$146:$H$169,BJ$37,FALSE)</f>
        <v>0.11658031088082901</v>
      </c>
      <c r="BP60" s="398">
        <f>VLOOKUP($AK60,Adoption!$B$146:$H$169,BK$37,FALSE)</f>
        <v>8.4033613445378158E-2</v>
      </c>
      <c r="BQ60" s="398">
        <f>VLOOKUP($AK60,Adoption!$B$146:$H$169,BL$37,FALSE)</f>
        <v>0.10946745562130178</v>
      </c>
    </row>
    <row r="61" spans="1:69" s="88" customFormat="1" ht="14.25" customHeight="1" x14ac:dyDescent="0.2">
      <c r="A61" s="135"/>
      <c r="B61" s="449"/>
      <c r="C61" s="449"/>
      <c r="D61" s="58"/>
      <c r="E61" s="58"/>
      <c r="F61" s="58"/>
      <c r="G61" s="58"/>
      <c r="H61" s="58"/>
      <c r="I61" s="58"/>
      <c r="J61" s="13"/>
      <c r="K61" s="15"/>
      <c r="L61" s="15"/>
      <c r="M61" s="15"/>
      <c r="N61" s="15"/>
      <c r="O61" s="9"/>
      <c r="P61" s="9"/>
      <c r="Q61" s="9"/>
      <c r="R61" s="9"/>
      <c r="S61" s="9"/>
      <c r="T61" s="9"/>
      <c r="U61" s="9"/>
      <c r="V61" s="134"/>
      <c r="W61" s="152"/>
      <c r="X61" s="326"/>
      <c r="Y61" s="647">
        <v>20</v>
      </c>
      <c r="Z61" s="50" t="str">
        <f t="shared" si="10"/>
        <v>West Sussex</v>
      </c>
      <c r="AA61" s="45">
        <v>21</v>
      </c>
      <c r="AB61" s="46">
        <f>IF(H28&gt;0,IDACI!D28,0)</f>
        <v>146958</v>
      </c>
      <c r="AC61" s="46">
        <f>IF(H28&gt;0,IDACI!E28,0)</f>
        <v>18957.582000000002</v>
      </c>
      <c r="AJ61" s="642" t="b">
        <v>1</v>
      </c>
      <c r="AK61" s="178" t="s">
        <v>31</v>
      </c>
      <c r="AL61" s="101" t="str">
        <f t="shared" si="7"/>
        <v>Windsor &amp; Maidenhead</v>
      </c>
      <c r="AM61" s="164">
        <f t="shared" si="12"/>
        <v>3.0030030030030028</v>
      </c>
      <c r="AN61" s="164">
        <f t="shared" si="12"/>
        <v>2.9940119760479043</v>
      </c>
      <c r="AO61" s="164" t="e">
        <f t="shared" si="12"/>
        <v>#N/A</v>
      </c>
      <c r="AP61" s="164" t="e">
        <f t="shared" si="12"/>
        <v>#N/A</v>
      </c>
      <c r="AQ61" s="164" t="e">
        <f t="shared" si="12"/>
        <v>#N/A</v>
      </c>
      <c r="AR61" s="165">
        <f t="shared" si="11"/>
        <v>8.4</v>
      </c>
      <c r="AS61" s="398" t="e">
        <f>VLOOKUP($AL61,#REF!,AS$37,FALSE)</f>
        <v>#REF!</v>
      </c>
      <c r="AT61" s="398" t="e">
        <f>VLOOKUP($AL61,#REF!,AT$37,FALSE)</f>
        <v>#REF!</v>
      </c>
      <c r="AU61" s="398" t="e">
        <f>VLOOKUP($AL61,#REF!,AU$37,FALSE)</f>
        <v>#REF!</v>
      </c>
      <c r="AV61" s="398" t="e">
        <f>VLOOKUP($AL61,#REF!,AV$37,FALSE)</f>
        <v>#REF!</v>
      </c>
      <c r="AW61" s="398" t="e">
        <f>VLOOKUP($AL61,#REF!,AW$37,FALSE)</f>
        <v>#REF!</v>
      </c>
      <c r="AX61" s="398">
        <f t="shared" si="13"/>
        <v>0.25531914893617019</v>
      </c>
      <c r="AY61" s="398">
        <f t="shared" si="13"/>
        <v>0.14893617021276595</v>
      </c>
      <c r="AZ61" s="398">
        <f t="shared" si="13"/>
        <v>0.16279069767441862</v>
      </c>
      <c r="BA61" s="398">
        <f t="shared" si="13"/>
        <v>0.17142857142857143</v>
      </c>
      <c r="BB61" s="398" t="e">
        <f t="shared" si="13"/>
        <v>#N/A</v>
      </c>
      <c r="BC61" s="398" t="e">
        <f>VLOOKUP($AL61,#REF!,BC$37,FALSE)</f>
        <v>#REF!</v>
      </c>
      <c r="BD61" s="398" t="e">
        <f>VLOOKUP($AL61,#REF!,BD$37,FALSE)</f>
        <v>#REF!</v>
      </c>
      <c r="BE61" s="398" t="e">
        <f>VLOOKUP($AL61,#REF!,BE$37,FALSE)</f>
        <v>#REF!</v>
      </c>
      <c r="BF61" s="398" t="e">
        <f>VLOOKUP($AL61,#REF!,BF$37,FALSE)</f>
        <v>#REF!</v>
      </c>
      <c r="BG61" s="398" t="e">
        <f>VLOOKUP($AL61,#REF!,BG$37,FALSE)</f>
        <v>#REF!</v>
      </c>
      <c r="BH61" s="398">
        <f>VLOOKUP($AK61,Adoption!$B$111:$H$134,BH$37,FALSE)</f>
        <v>0.21276595744680851</v>
      </c>
      <c r="BI61" s="398">
        <f>VLOOKUP($AK61,Adoption!$B$111:$H$134,BI$37,FALSE)</f>
        <v>0</v>
      </c>
      <c r="BJ61" s="398" t="e">
        <f>VLOOKUP($AK61,Adoption!$B$111:$H$134,BJ$37,FALSE)</f>
        <v>#N/A</v>
      </c>
      <c r="BK61" s="398" t="e">
        <f>VLOOKUP($AK61,Adoption!$B$111:$H$134,BK$37,FALSE)</f>
        <v>#N/A</v>
      </c>
      <c r="BL61" s="398" t="e">
        <f>VLOOKUP($AK61,Adoption!$B$111:$H$134,BL$37,FALSE)</f>
        <v>#N/A</v>
      </c>
      <c r="BM61" s="398" t="e">
        <f>VLOOKUP($AK61,Adoption!$B$146:$H$169,BH$37,FALSE)</f>
        <v>#N/A</v>
      </c>
      <c r="BN61" s="398">
        <f>VLOOKUP($AK61,Adoption!$B$146:$H$169,BI$37,FALSE)</f>
        <v>0.21276595744680851</v>
      </c>
      <c r="BO61" s="398" t="e">
        <f>VLOOKUP($AK61,Adoption!$B$146:$H$169,BJ$37,FALSE)</f>
        <v>#N/A</v>
      </c>
      <c r="BP61" s="398" t="e">
        <f>VLOOKUP($AK61,Adoption!$B$146:$H$169,BK$37,FALSE)</f>
        <v>#N/A</v>
      </c>
      <c r="BQ61" s="398" t="e">
        <f>VLOOKUP($AK61,Adoption!$B$146:$H$169,BL$37,FALSE)</f>
        <v>#N/A</v>
      </c>
    </row>
    <row r="62" spans="1:69" s="88" customFormat="1" ht="14.25" customHeight="1" x14ac:dyDescent="0.2">
      <c r="A62" s="135"/>
      <c r="B62" s="449"/>
      <c r="C62" s="449"/>
      <c r="D62" s="58"/>
      <c r="E62" s="58"/>
      <c r="F62" s="58"/>
      <c r="G62" s="58"/>
      <c r="H62" s="58"/>
      <c r="I62" s="58"/>
      <c r="J62" s="13"/>
      <c r="K62" s="15"/>
      <c r="L62" s="15"/>
      <c r="M62" s="15"/>
      <c r="N62" s="15"/>
      <c r="O62" s="9"/>
      <c r="P62" s="9"/>
      <c r="Q62" s="9"/>
      <c r="R62" s="9"/>
      <c r="S62" s="9"/>
      <c r="T62" s="9"/>
      <c r="U62" s="9"/>
      <c r="V62" s="134"/>
      <c r="W62" s="152"/>
      <c r="X62" s="326"/>
      <c r="Y62" s="647">
        <v>21</v>
      </c>
      <c r="Z62" s="50" t="str">
        <f t="shared" si="10"/>
        <v>Windsor &amp; Maidenhead</v>
      </c>
      <c r="AA62" s="45">
        <v>22</v>
      </c>
      <c r="AB62" s="46">
        <f>IF(H29&gt;0,IDACI!D29,0)</f>
        <v>29154</v>
      </c>
      <c r="AC62" s="46">
        <f>IF(H29&gt;0,IDACI!E29,0)</f>
        <v>2448.9360000000001</v>
      </c>
      <c r="AJ62" s="642" t="b">
        <v>1</v>
      </c>
      <c r="AK62" s="178" t="s">
        <v>17</v>
      </c>
      <c r="AL62" s="101" t="str">
        <f t="shared" si="7"/>
        <v>Wokingham</v>
      </c>
      <c r="AM62" s="164" t="e">
        <f t="shared" si="12"/>
        <v>#N/A</v>
      </c>
      <c r="AN62" s="164" t="e">
        <f t="shared" si="12"/>
        <v>#N/A</v>
      </c>
      <c r="AO62" s="164" t="e">
        <f t="shared" si="12"/>
        <v>#N/A</v>
      </c>
      <c r="AP62" s="164" t="e">
        <f t="shared" si="12"/>
        <v>#N/A</v>
      </c>
      <c r="AQ62" s="164" t="e">
        <f t="shared" si="12"/>
        <v>#N/A</v>
      </c>
      <c r="AR62" s="165">
        <f t="shared" si="11"/>
        <v>6.8000000000000007</v>
      </c>
      <c r="AS62" s="398" t="e">
        <f>VLOOKUP($AL62,#REF!,AS$37,FALSE)</f>
        <v>#REF!</v>
      </c>
      <c r="AT62" s="398" t="e">
        <f>VLOOKUP($AL62,#REF!,AT$37,FALSE)</f>
        <v>#REF!</v>
      </c>
      <c r="AU62" s="398" t="e">
        <f>VLOOKUP($AL62,#REF!,AU$37,FALSE)</f>
        <v>#REF!</v>
      </c>
      <c r="AV62" s="398" t="e">
        <f>VLOOKUP($AL62,#REF!,AV$37,FALSE)</f>
        <v>#REF!</v>
      </c>
      <c r="AW62" s="398" t="e">
        <f>VLOOKUP($AL62,#REF!,AW$37,FALSE)</f>
        <v>#REF!</v>
      </c>
      <c r="AX62" s="398" t="e">
        <f t="shared" si="13"/>
        <v>#N/A</v>
      </c>
      <c r="AY62" s="398" t="e">
        <f t="shared" si="13"/>
        <v>#N/A</v>
      </c>
      <c r="AZ62" s="398" t="e">
        <f t="shared" si="13"/>
        <v>#N/A</v>
      </c>
      <c r="BA62" s="398" t="e">
        <f t="shared" si="13"/>
        <v>#N/A</v>
      </c>
      <c r="BB62" s="398" t="e">
        <f t="shared" si="13"/>
        <v>#N/A</v>
      </c>
      <c r="BC62" s="398" t="e">
        <f>VLOOKUP($AL62,#REF!,BC$37,FALSE)</f>
        <v>#REF!</v>
      </c>
      <c r="BD62" s="398" t="e">
        <f>VLOOKUP($AL62,#REF!,BD$37,FALSE)</f>
        <v>#REF!</v>
      </c>
      <c r="BE62" s="398" t="e">
        <f>VLOOKUP($AL62,#REF!,BE$37,FALSE)</f>
        <v>#REF!</v>
      </c>
      <c r="BF62" s="398" t="e">
        <f>VLOOKUP($AL62,#REF!,BF$37,FALSE)</f>
        <v>#REF!</v>
      </c>
      <c r="BG62" s="398" t="e">
        <f>VLOOKUP($AL62,#REF!,BG$37,FALSE)</f>
        <v>#REF!</v>
      </c>
      <c r="BH62" s="398" t="e">
        <f>VLOOKUP($AK62,Adoption!$B$111:$H$134,BH$37,FALSE)</f>
        <v>#N/A</v>
      </c>
      <c r="BI62" s="398" t="e">
        <f>VLOOKUP($AK62,Adoption!$B$111:$H$134,BI$37,FALSE)</f>
        <v>#N/A</v>
      </c>
      <c r="BJ62" s="398">
        <f>VLOOKUP($AK62,Adoption!$B$111:$H$134,BJ$37,FALSE)</f>
        <v>0</v>
      </c>
      <c r="BK62" s="398" t="e">
        <f>VLOOKUP($AK62,Adoption!$B$111:$H$134,BK$37,FALSE)</f>
        <v>#N/A</v>
      </c>
      <c r="BL62" s="398">
        <f>VLOOKUP($AK62,Adoption!$B$111:$H$134,BL$37,FALSE)</f>
        <v>0</v>
      </c>
      <c r="BM62" s="398">
        <f>VLOOKUP($AK62,Adoption!$B$146:$H$169,BH$37,FALSE)</f>
        <v>0.27027027027027029</v>
      </c>
      <c r="BN62" s="398" t="e">
        <f>VLOOKUP($AK62,Adoption!$B$146:$H$169,BI$37,FALSE)</f>
        <v>#N/A</v>
      </c>
      <c r="BO62" s="398" t="e">
        <f>VLOOKUP($AK62,Adoption!$B$146:$H$169,BJ$37,FALSE)</f>
        <v>#N/A</v>
      </c>
      <c r="BP62" s="398" t="e">
        <f>VLOOKUP($AK62,Adoption!$B$146:$H$169,BK$37,FALSE)</f>
        <v>#N/A</v>
      </c>
      <c r="BQ62" s="398" t="e">
        <f>VLOOKUP($AK62,Adoption!$B$146:$H$169,BL$37,FALSE)</f>
        <v>#N/A</v>
      </c>
    </row>
    <row r="63" spans="1:69" s="88" customFormat="1" ht="14.25" customHeight="1" x14ac:dyDescent="0.2">
      <c r="A63" s="135"/>
      <c r="B63" s="449"/>
      <c r="C63" s="449"/>
      <c r="D63" s="58"/>
      <c r="E63" s="58"/>
      <c r="F63" s="58"/>
      <c r="G63" s="58"/>
      <c r="H63" s="58"/>
      <c r="I63" s="58"/>
      <c r="J63" s="13"/>
      <c r="K63" s="15"/>
      <c r="L63" s="15"/>
      <c r="M63" s="15"/>
      <c r="N63" s="15"/>
      <c r="O63" s="9"/>
      <c r="P63" s="9"/>
      <c r="Q63" s="9"/>
      <c r="R63" s="9"/>
      <c r="S63" s="9"/>
      <c r="T63" s="9"/>
      <c r="U63" s="9"/>
      <c r="V63" s="134"/>
      <c r="W63" s="152"/>
      <c r="X63" s="326"/>
      <c r="Y63" s="647">
        <v>22</v>
      </c>
      <c r="Z63" s="50" t="str">
        <f t="shared" si="10"/>
        <v>Wokingham</v>
      </c>
      <c r="AA63" s="45">
        <v>23</v>
      </c>
      <c r="AB63" s="46">
        <f>IF(H30&gt;0,IDACI!D30,0)</f>
        <v>31967</v>
      </c>
      <c r="AC63" s="46">
        <f>IF(H30&gt;0,IDACI!E30,0)</f>
        <v>2173.7560000000003</v>
      </c>
      <c r="AJ63" s="642" t="b">
        <v>1</v>
      </c>
      <c r="AK63" s="178" t="s">
        <v>74</v>
      </c>
      <c r="AL63" s="101" t="str">
        <f t="shared" si="7"/>
        <v>South East</v>
      </c>
      <c r="AM63" s="164">
        <f t="shared" si="12"/>
        <v>2.6499894000423998</v>
      </c>
      <c r="AN63" s="164">
        <f t="shared" si="12"/>
        <v>2.6257746035080349</v>
      </c>
      <c r="AO63" s="164">
        <f t="shared" si="12"/>
        <v>2.1375319326416768</v>
      </c>
      <c r="AP63" s="164">
        <f t="shared" si="12"/>
        <v>1.9656599211770371</v>
      </c>
      <c r="AQ63" s="164">
        <f t="shared" si="12"/>
        <v>1.7490926581835673</v>
      </c>
      <c r="AR63" s="165">
        <f t="shared" si="11"/>
        <v>14.45223640702325</v>
      </c>
      <c r="AS63" s="398" t="e">
        <f>VLOOKUP($AL63,#REF!,AS$37,FALSE)</f>
        <v>#REF!</v>
      </c>
      <c r="AT63" s="398" t="e">
        <f>VLOOKUP($AL63,#REF!,AT$37,FALSE)</f>
        <v>#REF!</v>
      </c>
      <c r="AU63" s="398" t="e">
        <f>VLOOKUP($AL63,#REF!,AU$37,FALSE)</f>
        <v>#REF!</v>
      </c>
      <c r="AV63" s="398" t="e">
        <f>VLOOKUP($AL63,#REF!,AV$37,FALSE)</f>
        <v>#REF!</v>
      </c>
      <c r="AW63" s="398" t="e">
        <f>VLOOKUP($AL63,#REF!,AW$37,FALSE)</f>
        <v>#REF!</v>
      </c>
      <c r="AX63" s="398">
        <f t="shared" si="13"/>
        <v>0.17041244751790566</v>
      </c>
      <c r="AY63" s="398">
        <f t="shared" si="13"/>
        <v>0.18092909535452323</v>
      </c>
      <c r="AZ63" s="398">
        <f t="shared" si="13"/>
        <v>0.14224137931034483</v>
      </c>
      <c r="BA63" s="398">
        <f t="shared" si="13"/>
        <v>0.13118279569892474</v>
      </c>
      <c r="BB63" s="398">
        <f t="shared" si="13"/>
        <v>0.12325581395348838</v>
      </c>
      <c r="BC63" s="398" t="e">
        <f>VLOOKUP($AL63,#REF!,BC$37,FALSE)</f>
        <v>#REF!</v>
      </c>
      <c r="BD63" s="398" t="e">
        <f>VLOOKUP($AL63,#REF!,BD$37,FALSE)</f>
        <v>#REF!</v>
      </c>
      <c r="BE63" s="398" t="e">
        <f>VLOOKUP($AL63,#REF!,BE$37,FALSE)</f>
        <v>#REF!</v>
      </c>
      <c r="BF63" s="398" t="e">
        <f>VLOOKUP($AL63,#REF!,BF$37,FALSE)</f>
        <v>#REF!</v>
      </c>
      <c r="BG63" s="398" t="e">
        <f>VLOOKUP($AL63,#REF!,BG$37,FALSE)</f>
        <v>#REF!</v>
      </c>
      <c r="BH63" s="398">
        <f>VLOOKUP($AK63,Adoption!$B$111:$H$134,BH$37,FALSE)</f>
        <v>5.6804149172635217E-2</v>
      </c>
      <c r="BI63" s="398">
        <f>VLOOKUP($AK63,Adoption!$B$111:$H$134,BI$37,FALSE)</f>
        <v>2.4449877750611249E-2</v>
      </c>
      <c r="BJ63" s="398">
        <f>VLOOKUP($AK63,Adoption!$B$111:$H$134,BJ$37,FALSE)</f>
        <v>2.8017241379310345E-2</v>
      </c>
      <c r="BK63" s="398">
        <f>VLOOKUP($AK63,Adoption!$B$111:$H$134,BK$37,FALSE)</f>
        <v>2.7956989247311829E-2</v>
      </c>
      <c r="BL63" s="398">
        <f>VLOOKUP($AK63,Adoption!$B$111:$H$134,BL$37,FALSE)</f>
        <v>2.7906976744186046E-2</v>
      </c>
      <c r="BM63" s="398">
        <f>VLOOKUP($AK63,Adoption!$B$146:$H$169,BH$37,FALSE)</f>
        <v>0.10990367992096814</v>
      </c>
      <c r="BN63" s="398">
        <f>VLOOKUP($AK63,Adoption!$B$146:$H$169,BI$37,FALSE)</f>
        <v>9.2909535452322736E-2</v>
      </c>
      <c r="BO63" s="398">
        <f>VLOOKUP($AK63,Adoption!$B$146:$H$169,BJ$37,FALSE)</f>
        <v>9.6982758620689655E-2</v>
      </c>
      <c r="BP63" s="398">
        <f>VLOOKUP($AK63,Adoption!$B$146:$H$169,BK$37,FALSE)</f>
        <v>9.8924731182795697E-2</v>
      </c>
      <c r="BQ63" s="398">
        <f>VLOOKUP($AK63,Adoption!$B$146:$H$169,BL$37,FALSE)</f>
        <v>0.11627906976744186</v>
      </c>
    </row>
    <row r="64" spans="1:69" s="88" customFormat="1" ht="14.25" customHeight="1" x14ac:dyDescent="0.2">
      <c r="A64" s="135"/>
      <c r="B64" s="449"/>
      <c r="C64" s="449"/>
      <c r="D64" s="58"/>
      <c r="E64" s="58"/>
      <c r="F64" s="58"/>
      <c r="G64" s="58"/>
      <c r="H64" s="58"/>
      <c r="I64" s="58"/>
      <c r="J64" s="13"/>
      <c r="K64" s="9"/>
      <c r="L64" s="127"/>
      <c r="M64" s="1027" t="s">
        <v>72</v>
      </c>
      <c r="N64" s="1028"/>
      <c r="O64" s="1029"/>
      <c r="P64" s="450"/>
      <c r="Q64" s="1030" t="s">
        <v>101</v>
      </c>
      <c r="R64" s="1031"/>
      <c r="S64" s="1031"/>
      <c r="T64" s="1031"/>
      <c r="U64" s="1032"/>
      <c r="V64" s="134"/>
      <c r="W64" s="152"/>
      <c r="X64" s="326"/>
      <c r="Y64" s="647">
        <v>23</v>
      </c>
      <c r="Z64" s="50" t="str">
        <f t="shared" si="10"/>
        <v>South East</v>
      </c>
      <c r="AA64" s="45">
        <v>24</v>
      </c>
      <c r="AB64" s="46">
        <f>SUM(AB56:AB57,AB42:AB54,AB60:AB63)</f>
        <v>1662421</v>
      </c>
      <c r="AC64" s="46">
        <f>SUM(AC56:AC57,AC42:AC54,AC60:AC63)</f>
        <v>240257.01299999995</v>
      </c>
      <c r="AJ64" s="642" t="b">
        <v>1</v>
      </c>
      <c r="AK64" s="178" t="s">
        <v>130</v>
      </c>
      <c r="AL64" s="101" t="str">
        <f t="shared" si="7"/>
        <v>England</v>
      </c>
      <c r="AM64" s="164">
        <f t="shared" si="12"/>
        <v>3.1187657353927638</v>
      </c>
      <c r="AN64" s="164">
        <f t="shared" si="12"/>
        <v>2.8641182915361854</v>
      </c>
      <c r="AO64" s="164">
        <f t="shared" si="12"/>
        <v>2.5175759340292343</v>
      </c>
      <c r="AP64" s="164">
        <f t="shared" si="12"/>
        <v>2.1382611541502166</v>
      </c>
      <c r="AQ64" s="164">
        <f t="shared" si="12"/>
        <v>1.8791675068848737</v>
      </c>
      <c r="AR64" s="165" t="e">
        <f t="shared" si="11"/>
        <v>#N/A</v>
      </c>
      <c r="AS64" s="398" t="e">
        <f>VLOOKUP($AL64,#REF!,AS$37,FALSE)</f>
        <v>#REF!</v>
      </c>
      <c r="AT64" s="398" t="e">
        <f>VLOOKUP($AL64,#REF!,AT$37,FALSE)</f>
        <v>#REF!</v>
      </c>
      <c r="AU64" s="398" t="e">
        <f>VLOOKUP($AL64,#REF!,AU$37,FALSE)</f>
        <v>#REF!</v>
      </c>
      <c r="AV64" s="398" t="e">
        <f>VLOOKUP($AL64,#REF!,AV$37,FALSE)</f>
        <v>#REF!</v>
      </c>
      <c r="AW64" s="398" t="e">
        <f>VLOOKUP($AL64,#REF!,AW$37,FALSE)</f>
        <v>#REF!</v>
      </c>
      <c r="AX64" s="398">
        <f t="shared" si="13"/>
        <v>0.16503267973856209</v>
      </c>
      <c r="AY64" s="398">
        <f t="shared" si="13"/>
        <v>0.17097288676236044</v>
      </c>
      <c r="AZ64" s="398">
        <f t="shared" si="13"/>
        <v>0.14788069073783361</v>
      </c>
      <c r="BA64" s="398">
        <f t="shared" si="13"/>
        <v>0.13912766634829671</v>
      </c>
      <c r="BB64" s="398">
        <f t="shared" si="13"/>
        <v>0.12793034159410582</v>
      </c>
      <c r="BC64" s="398" t="e">
        <f>VLOOKUP($AL64,#REF!,BC$37,FALSE)</f>
        <v>#REF!</v>
      </c>
      <c r="BD64" s="398" t="e">
        <f>VLOOKUP($AL64,#REF!,BD$37,FALSE)</f>
        <v>#REF!</v>
      </c>
      <c r="BE64" s="398" t="e">
        <f>VLOOKUP($AL64,#REF!,BE$37,FALSE)</f>
        <v>#REF!</v>
      </c>
      <c r="BF64" s="398" t="e">
        <f>VLOOKUP($AL64,#REF!,BF$37,FALSE)</f>
        <v>#REF!</v>
      </c>
      <c r="BG64" s="398" t="e">
        <f>VLOOKUP($AL64,#REF!,BG$37,FALSE)</f>
        <v>#REF!</v>
      </c>
      <c r="BH64" s="398">
        <f>VLOOKUP($AK64,Adoption!$B$111:$H$134,BH$37,FALSE)</f>
        <v>5.5228758169934639E-2</v>
      </c>
      <c r="BI64" s="398">
        <f>VLOOKUP($AK64,Adoption!$B$111:$H$134,BI$37,FALSE)</f>
        <v>3.2535885167464113E-2</v>
      </c>
      <c r="BJ64" s="398">
        <f>VLOOKUP($AK64,Adoption!$B$111:$H$134,BJ$37,FALSE)</f>
        <v>3.5164835164835165E-2</v>
      </c>
      <c r="BK64" s="398">
        <f>VLOOKUP($AK64,Adoption!$B$111:$H$134,BK$37,FALSE)</f>
        <v>3.8204393505253106E-2</v>
      </c>
      <c r="BL64" s="398">
        <f>VLOOKUP($AK64,Adoption!$B$111:$H$134,BL$37,FALSE)</f>
        <v>3.9182853315472201E-2</v>
      </c>
      <c r="BM64" s="398">
        <f>VLOOKUP($AK64,Adoption!$B$146:$H$169,BH$37,FALSE)</f>
        <v>0.10980392156862745</v>
      </c>
      <c r="BN64" s="398">
        <f>VLOOKUP($AK64,Adoption!$B$146:$H$169,BI$37,FALSE)</f>
        <v>0.11323763955342903</v>
      </c>
      <c r="BO64" s="398">
        <f>VLOOKUP($AK64,Adoption!$B$146:$H$169,BJ$37,FALSE)</f>
        <v>0.12119309262166406</v>
      </c>
      <c r="BP64" s="398">
        <f>VLOOKUP($AK64,Adoption!$B$146:$H$169,BK$37,FALSE)</f>
        <v>0.1174785100286533</v>
      </c>
      <c r="BQ64" s="398">
        <f>VLOOKUP($AK64,Adoption!$B$146:$H$169,BL$37,FALSE)</f>
        <v>0.11486939048894843</v>
      </c>
    </row>
    <row r="65" spans="1:69" s="88" customFormat="1" ht="11.25" customHeight="1" x14ac:dyDescent="0.2">
      <c r="A65" s="135"/>
      <c r="B65" s="449"/>
      <c r="C65" s="449"/>
      <c r="D65" s="58"/>
      <c r="E65" s="58"/>
      <c r="F65" s="58"/>
      <c r="G65" s="58"/>
      <c r="H65" s="58"/>
      <c r="I65" s="58"/>
      <c r="J65" s="13"/>
      <c r="K65" s="9"/>
      <c r="L65" s="128"/>
      <c r="M65" s="1117" t="str">
        <f>AA4</f>
        <v>Selected LA- (none)</v>
      </c>
      <c r="N65" s="1118"/>
      <c r="O65" s="1118"/>
      <c r="P65" s="1118"/>
      <c r="Q65" s="1118"/>
      <c r="R65" s="1118"/>
      <c r="S65" s="1118"/>
      <c r="T65" s="1118"/>
      <c r="U65" s="1118"/>
      <c r="V65" s="134"/>
      <c r="W65" s="152"/>
      <c r="X65" s="168"/>
      <c r="Y65" s="647">
        <v>24</v>
      </c>
      <c r="Z65" s="50" t="str">
        <f t="shared" si="10"/>
        <v>England</v>
      </c>
      <c r="AA65" s="45">
        <v>25</v>
      </c>
      <c r="AB65" s="46">
        <f>IF(H32&gt;0,IDACI!D32,0)</f>
        <v>10130158</v>
      </c>
      <c r="AC65" s="46">
        <f>IF(H32&gt;0,IDACI!E32,0)</f>
        <v>2016166</v>
      </c>
      <c r="AK65" s="179"/>
      <c r="AL65" s="80" t="str">
        <f>AA4</f>
        <v>Selected LA- (none)</v>
      </c>
      <c r="AM65" s="166" t="e">
        <f>VLOOKUP($Z4,$B$9:$O$31,AM$37,FALSE)</f>
        <v>#N/A</v>
      </c>
      <c r="AN65" s="166" t="e">
        <f>VLOOKUP($Z4,$B$9:$O$31,AN$37,FALSE)</f>
        <v>#N/A</v>
      </c>
      <c r="AO65" s="166" t="e">
        <f>VLOOKUP($Z4,$B$9:$O$31,AO$37,FALSE)</f>
        <v>#N/A</v>
      </c>
      <c r="AP65" s="166" t="e">
        <f>VLOOKUP($Z4,$B$9:$O$31,AP$37,FALSE)</f>
        <v>#N/A</v>
      </c>
      <c r="AQ65" s="166" t="e">
        <f>VLOOKUP($Z4,$B$9:$O$31,AQ$37,FALSE)</f>
        <v>#N/A</v>
      </c>
      <c r="AR65" s="165" t="e">
        <f>VLOOKUP(Z4,$B$9:$U$31,17,FALSE)</f>
        <v>#N/A</v>
      </c>
      <c r="AS65" s="191" t="e">
        <f>VLOOKUP($Z$4,#REF!,AS$37,FALSE)</f>
        <v>#REF!</v>
      </c>
      <c r="AT65" s="191" t="e">
        <f>VLOOKUP($Z$4,#REF!,AT$37,FALSE)</f>
        <v>#REF!</v>
      </c>
      <c r="AU65" s="191" t="e">
        <f>VLOOKUP($Z$4,#REF!,AU$37,FALSE)</f>
        <v>#REF!</v>
      </c>
      <c r="AV65" s="191" t="e">
        <f>VLOOKUP($Z$4,#REF!,AV$37,FALSE)</f>
        <v>#REF!</v>
      </c>
      <c r="AW65" s="191" t="e">
        <f>VLOOKUP($Z$4,#REF!,AW$37,FALSE)</f>
        <v>#REF!</v>
      </c>
      <c r="AX65" s="191" t="e">
        <f>VLOOKUP($Z$4,$B$76:$H$99,AX$37,FALSE)</f>
        <v>#N/A</v>
      </c>
      <c r="AY65" s="191" t="e">
        <f>VLOOKUP($Z$4,$B$76:$H$99,AY$37,FALSE)</f>
        <v>#N/A</v>
      </c>
      <c r="AZ65" s="191" t="e">
        <f>VLOOKUP($Z$4,$B$76:$H$99,AZ$37,FALSE)</f>
        <v>#N/A</v>
      </c>
      <c r="BA65" s="191" t="e">
        <f>VLOOKUP($Z$4,$B$76:$H$99,BA$37,FALSE)</f>
        <v>#N/A</v>
      </c>
      <c r="BB65" s="191" t="e">
        <f>VLOOKUP($Z$4,$B$76:$H$99,BB$37,FALSE)</f>
        <v>#N/A</v>
      </c>
      <c r="BC65" s="398" t="e">
        <f>VLOOKUP($Z$4,#REF!,BC$37,FALSE)</f>
        <v>#REF!</v>
      </c>
      <c r="BD65" s="398" t="e">
        <f>VLOOKUP($Z$4,#REF!,BD$37,FALSE)</f>
        <v>#REF!</v>
      </c>
      <c r="BE65" s="398" t="e">
        <f>VLOOKUP($Z$4,#REF!,BE$37,FALSE)</f>
        <v>#REF!</v>
      </c>
      <c r="BF65" s="398" t="e">
        <f>VLOOKUP($Z$4,#REF!,BF$37,FALSE)</f>
        <v>#REF!</v>
      </c>
      <c r="BG65" s="398" t="e">
        <f>VLOOKUP($Z$4,#REF!,BG$37,FALSE)</f>
        <v>#REF!</v>
      </c>
      <c r="BH65" s="398" t="e">
        <f>VLOOKUP($Z$4,Adoption!$B$111:$H$134,BH$37,FALSE)</f>
        <v>#N/A</v>
      </c>
      <c r="BI65" s="398" t="e">
        <f>VLOOKUP($Z$4,Adoption!$B$111:$H$134,BI$37,FALSE)</f>
        <v>#N/A</v>
      </c>
      <c r="BJ65" s="398" t="e">
        <f>VLOOKUP($Z$4,Adoption!$B$111:$H$134,BJ$37,FALSE)</f>
        <v>#N/A</v>
      </c>
      <c r="BK65" s="398" t="e">
        <f>VLOOKUP($Z$4,Adoption!$B$111:$H$134,BK$37,FALSE)</f>
        <v>#N/A</v>
      </c>
      <c r="BL65" s="398" t="e">
        <f>VLOOKUP($Z$4,Adoption!$B$111:$H$134,BL$37,FALSE)</f>
        <v>#N/A</v>
      </c>
      <c r="BM65" s="398" t="e">
        <f>VLOOKUP($Z$4,Adoption!$B$146:$H$169,BH$37,FALSE)</f>
        <v>#N/A</v>
      </c>
      <c r="BN65" s="398" t="e">
        <f>VLOOKUP($Z$4,Adoption!$B$146:$H$169,BI$37,FALSE)</f>
        <v>#N/A</v>
      </c>
      <c r="BO65" s="398" t="e">
        <f>VLOOKUP($Z$4,Adoption!$B$146:$H$169,BJ$37,FALSE)</f>
        <v>#N/A</v>
      </c>
      <c r="BP65" s="398" t="e">
        <f>VLOOKUP($Z$4,Adoption!$B$146:$H$169,BK$37,FALSE)</f>
        <v>#N/A</v>
      </c>
      <c r="BQ65" s="398" t="e">
        <f>VLOOKUP($Z$4,Adoption!$B$146:$H$169,BL$37,FALSE)</f>
        <v>#N/A</v>
      </c>
    </row>
    <row r="66" spans="1:69" s="88" customFormat="1" ht="42" customHeight="1" x14ac:dyDescent="0.2">
      <c r="A66" s="135"/>
      <c r="B66" s="449"/>
      <c r="C66" s="449"/>
      <c r="D66" s="58"/>
      <c r="E66" s="58"/>
      <c r="F66" s="58"/>
      <c r="G66" s="58"/>
      <c r="H66" s="58"/>
      <c r="I66" s="58"/>
      <c r="J66" s="13"/>
      <c r="K66" s="9"/>
      <c r="L66" s="9"/>
      <c r="M66" s="9"/>
      <c r="N66" s="9"/>
      <c r="O66" s="9"/>
      <c r="P66" s="9"/>
      <c r="Q66" s="9"/>
      <c r="R66" s="9"/>
      <c r="S66" s="9"/>
      <c r="T66" s="9"/>
      <c r="U66" s="9"/>
      <c r="V66" s="134"/>
      <c r="W66" s="152"/>
      <c r="X66" s="168"/>
      <c r="Y66" s="870" t="s">
        <v>72</v>
      </c>
      <c r="Z66" s="871" t="s">
        <v>70</v>
      </c>
      <c r="AA66" s="870" t="s">
        <v>71</v>
      </c>
      <c r="AB66" s="872">
        <v>7.15</v>
      </c>
      <c r="AC66" s="873">
        <f>(AB66*Z67)+AA67</f>
        <v>0</v>
      </c>
      <c r="AK66" s="179"/>
    </row>
    <row r="67" spans="1:69" s="101" customFormat="1" ht="41.25" customHeight="1" x14ac:dyDescent="0.2">
      <c r="A67" s="138"/>
      <c r="B67" s="126"/>
      <c r="C67" s="126"/>
      <c r="D67" s="126"/>
      <c r="E67" s="126"/>
      <c r="F67" s="126"/>
      <c r="G67" s="126"/>
      <c r="H67" s="126"/>
      <c r="I67" s="126"/>
      <c r="J67" s="115"/>
      <c r="K67" s="97"/>
      <c r="L67" s="97"/>
      <c r="M67" s="97"/>
      <c r="N67" s="97"/>
      <c r="O67" s="97"/>
      <c r="P67" s="97"/>
      <c r="Q67" s="97"/>
      <c r="R67" s="97"/>
      <c r="S67" s="97"/>
      <c r="T67" s="97"/>
      <c r="U67" s="97"/>
      <c r="V67" s="139"/>
      <c r="W67" s="154"/>
      <c r="X67" s="170"/>
      <c r="Y67" s="874"/>
      <c r="Z67" s="875"/>
      <c r="AA67" s="876"/>
      <c r="AB67" s="877">
        <v>30</v>
      </c>
      <c r="AC67" s="878">
        <f>(AB67*Z67)+AA67</f>
        <v>0</v>
      </c>
      <c r="AD67" s="217"/>
      <c r="AE67" s="217"/>
      <c r="AF67" s="217"/>
      <c r="AG67" s="217"/>
      <c r="AH67" s="217"/>
      <c r="AI67" s="217"/>
      <c r="AJ67" s="232"/>
      <c r="AK67" s="178"/>
    </row>
    <row r="68" spans="1:69" s="101" customFormat="1" ht="42" customHeight="1" x14ac:dyDescent="0.2">
      <c r="A68" s="138"/>
      <c r="B68" s="126"/>
      <c r="C68" s="126"/>
      <c r="D68" s="126"/>
      <c r="E68" s="126"/>
      <c r="F68" s="126"/>
      <c r="G68" s="126"/>
      <c r="H68" s="126"/>
      <c r="I68" s="126"/>
      <c r="J68" s="115"/>
      <c r="K68" s="97"/>
      <c r="L68" s="97"/>
      <c r="M68" s="97"/>
      <c r="N68" s="97"/>
      <c r="O68" s="97"/>
      <c r="P68" s="97"/>
      <c r="Q68" s="97"/>
      <c r="R68" s="97"/>
      <c r="S68" s="97"/>
      <c r="T68" s="97"/>
      <c r="U68" s="97"/>
      <c r="V68" s="139"/>
      <c r="W68" s="154"/>
      <c r="X68" s="170"/>
      <c r="Y68" s="44"/>
      <c r="Z68" s="240"/>
      <c r="AA68" s="44"/>
      <c r="AB68" s="241"/>
      <c r="AC68" s="242"/>
      <c r="AD68" s="217"/>
      <c r="AE68" s="217"/>
      <c r="AF68" s="217"/>
      <c r="AG68" s="217"/>
      <c r="AH68" s="217"/>
      <c r="AI68" s="217"/>
      <c r="AJ68" s="232"/>
      <c r="AK68" s="178"/>
    </row>
    <row r="69" spans="1:69" ht="7.5" customHeight="1" x14ac:dyDescent="0.2">
      <c r="A69" s="135"/>
      <c r="B69" s="18"/>
      <c r="C69" s="18"/>
      <c r="D69" s="17"/>
      <c r="E69" s="17"/>
      <c r="F69" s="17"/>
      <c r="G69" s="17"/>
      <c r="H69" s="17"/>
      <c r="I69" s="17"/>
      <c r="J69" s="13"/>
      <c r="K69" s="19"/>
      <c r="L69" s="19"/>
      <c r="M69" s="19"/>
      <c r="N69" s="19"/>
      <c r="O69" s="19"/>
      <c r="P69" s="19"/>
      <c r="Q69" s="19"/>
      <c r="R69" s="19"/>
      <c r="S69" s="19"/>
      <c r="T69" s="19"/>
      <c r="U69" s="20"/>
      <c r="V69" s="134"/>
      <c r="W69" s="152"/>
      <c r="X69" s="168"/>
      <c r="Y69" s="243"/>
      <c r="Z69" s="244"/>
      <c r="AA69" s="245"/>
      <c r="AB69" s="246"/>
      <c r="AC69" s="247"/>
      <c r="AJ69" s="210"/>
      <c r="AK69" s="175"/>
    </row>
    <row r="70" spans="1:69" ht="15" customHeight="1" x14ac:dyDescent="0.2">
      <c r="A70" s="1010"/>
      <c r="B70" s="1018"/>
      <c r="C70" s="1018"/>
      <c r="D70" s="1018"/>
      <c r="E70" s="1018"/>
      <c r="F70" s="1018"/>
      <c r="G70" s="1018"/>
      <c r="H70" s="1018"/>
      <c r="I70" s="1018"/>
      <c r="J70" s="1018"/>
      <c r="K70" s="1018"/>
      <c r="L70" s="1018"/>
      <c r="M70" s="1018"/>
      <c r="N70" s="1018"/>
      <c r="O70" s="1018"/>
      <c r="P70" s="1018"/>
      <c r="Q70" s="1018"/>
      <c r="R70" s="1018"/>
      <c r="S70" s="1018"/>
      <c r="T70" s="1018"/>
      <c r="U70" s="1018"/>
      <c r="V70" s="1019"/>
      <c r="W70" s="152"/>
      <c r="X70" s="168"/>
      <c r="Y70" s="43">
        <f>D8</f>
        <v>2014</v>
      </c>
      <c r="Z70" s="43">
        <f>E8</f>
        <v>2015</v>
      </c>
      <c r="AA70" s="43">
        <f>F8</f>
        <v>2016</v>
      </c>
      <c r="AB70" s="43">
        <f>G8</f>
        <v>2017</v>
      </c>
      <c r="AC70" s="43">
        <f>H8</f>
        <v>2018</v>
      </c>
      <c r="AJ70" s="210"/>
      <c r="AK70" s="175"/>
    </row>
    <row r="71" spans="1:69" ht="11.25" customHeight="1" x14ac:dyDescent="0.2">
      <c r="A71" s="1020" t="str">
        <f>Home!$A$35</f>
        <v>LA's provide quarterly data on the condition that it is used by the benchmarking group for internal reporting only. Please DO NOT share other LA's data with any external partners or the public</v>
      </c>
      <c r="B71" s="1021"/>
      <c r="C71" s="1021"/>
      <c r="D71" s="1021"/>
      <c r="E71" s="1021"/>
      <c r="F71" s="1021"/>
      <c r="G71" s="1021"/>
      <c r="H71" s="1021"/>
      <c r="I71" s="1022"/>
      <c r="J71" s="1021"/>
      <c r="K71" s="1021"/>
      <c r="L71" s="1021"/>
      <c r="M71" s="1021"/>
      <c r="N71" s="1021"/>
      <c r="O71" s="1021"/>
      <c r="P71" s="1021"/>
      <c r="Q71" s="1021"/>
      <c r="R71" s="1021"/>
      <c r="S71" s="1022"/>
      <c r="T71" s="1067"/>
      <c r="U71" s="1021"/>
      <c r="V71" s="1023"/>
      <c r="W71" s="152"/>
      <c r="X71" s="168"/>
      <c r="Y71" s="47" t="e">
        <f ca="1">IF(OFFSET(K8,$Y$4,0)=0,NA(),OFFSET(K8,$Y$4,0))</f>
        <v>#N/A</v>
      </c>
      <c r="Z71" s="248" t="e">
        <f ca="1">IF(OFFSET(L8,$Y$4,0)=0,NA(),OFFSET(L8,$Y$4,0))</f>
        <v>#N/A</v>
      </c>
      <c r="AA71" s="47" t="e">
        <f ca="1">IF(OFFSET(M8,$Y$4,0)=0,NA(),OFFSET(M8,$Y$4,0))</f>
        <v>#N/A</v>
      </c>
      <c r="AB71" s="47" t="e">
        <f ca="1">IF(OFFSET(N8,$Y$4,0)=0,NA(),OFFSET(N8,$Y$4,0))</f>
        <v>#N/A</v>
      </c>
      <c r="AC71" s="47" t="e">
        <f ca="1">IF(OFFSET(O8,$Y$4,0)=0,NA(),OFFSET(O8,$Y$4,0))</f>
        <v>#N/A</v>
      </c>
      <c r="AJ71" s="210"/>
      <c r="AK71" s="175"/>
    </row>
    <row r="72" spans="1:69" ht="11.25" customHeight="1" x14ac:dyDescent="0.2">
      <c r="A72" s="129"/>
      <c r="B72" s="130"/>
      <c r="C72" s="130"/>
      <c r="D72" s="130"/>
      <c r="E72" s="130"/>
      <c r="F72" s="130"/>
      <c r="G72" s="130"/>
      <c r="H72" s="130"/>
      <c r="I72" s="130"/>
      <c r="J72" s="131"/>
      <c r="K72" s="130"/>
      <c r="L72" s="130"/>
      <c r="M72" s="130"/>
      <c r="N72" s="130"/>
      <c r="O72" s="130"/>
      <c r="P72" s="130"/>
      <c r="Q72" s="130"/>
      <c r="R72" s="130"/>
      <c r="S72" s="130"/>
      <c r="T72" s="130"/>
      <c r="U72" s="130"/>
      <c r="V72" s="132"/>
      <c r="W72" s="152"/>
      <c r="X72" s="168"/>
      <c r="Y72" s="225"/>
      <c r="Z72" s="223"/>
      <c r="AA72" s="215"/>
      <c r="AJ72" s="210"/>
      <c r="AK72" s="179"/>
    </row>
    <row r="73" spans="1:69" s="82" customFormat="1" ht="15" customHeight="1" x14ac:dyDescent="0.2">
      <c r="A73" s="136"/>
      <c r="B73" s="1090" t="s">
        <v>188</v>
      </c>
      <c r="C73" s="1090"/>
      <c r="D73" s="1090"/>
      <c r="E73" s="1090"/>
      <c r="F73" s="1090"/>
      <c r="G73" s="1090"/>
      <c r="H73" s="1090"/>
      <c r="I73" s="1090"/>
      <c r="J73" s="70"/>
      <c r="K73" s="70"/>
      <c r="L73" s="70"/>
      <c r="M73" s="70"/>
      <c r="N73" s="446"/>
      <c r="O73" s="70"/>
      <c r="P73" s="70"/>
      <c r="Q73" s="70"/>
      <c r="R73" s="70"/>
      <c r="S73" s="70"/>
      <c r="T73" s="70"/>
      <c r="U73" s="70"/>
      <c r="V73" s="137"/>
      <c r="W73" s="153"/>
      <c r="X73" s="169"/>
      <c r="Z73" s="437"/>
      <c r="AA73" s="438"/>
      <c r="AB73" s="438"/>
      <c r="AC73" s="438"/>
      <c r="AD73" s="650"/>
      <c r="AF73" s="437"/>
      <c r="AG73" s="438"/>
      <c r="AH73" s="438"/>
      <c r="AI73" s="438"/>
      <c r="AJ73" s="210"/>
      <c r="AK73" s="178"/>
    </row>
    <row r="74" spans="1:69" ht="15" customHeight="1" x14ac:dyDescent="0.2">
      <c r="A74" s="135"/>
      <c r="B74" s="1090"/>
      <c r="C74" s="1090"/>
      <c r="D74" s="1090"/>
      <c r="E74" s="1090"/>
      <c r="F74" s="1090"/>
      <c r="G74" s="1090"/>
      <c r="H74" s="1090"/>
      <c r="I74" s="1090"/>
      <c r="J74" s="70"/>
      <c r="K74" s="70"/>
      <c r="L74" s="70"/>
      <c r="M74" s="70"/>
      <c r="N74" s="446"/>
      <c r="O74" s="70"/>
      <c r="P74" s="70"/>
      <c r="Q74" s="10"/>
      <c r="R74" s="70"/>
      <c r="S74" s="70"/>
      <c r="T74" s="70"/>
      <c r="U74" s="70"/>
      <c r="V74" s="134"/>
      <c r="W74" s="152"/>
      <c r="X74" s="168"/>
      <c r="Y74" s="667" t="s">
        <v>189</v>
      </c>
      <c r="Z74" s="437"/>
      <c r="AA74" s="438"/>
      <c r="AB74" s="438"/>
      <c r="AC74" s="438"/>
      <c r="AD74" s="438"/>
      <c r="AE74" s="667" t="s">
        <v>187</v>
      </c>
      <c r="AF74" s="438"/>
      <c r="AG74" s="438"/>
      <c r="AH74" s="438"/>
      <c r="AI74" s="438"/>
      <c r="AJ74" s="438"/>
      <c r="AK74" s="179"/>
    </row>
    <row r="75" spans="1:69" s="101" customFormat="1" ht="27" customHeight="1" x14ac:dyDescent="0.2">
      <c r="A75" s="138"/>
      <c r="B75" s="540" t="s">
        <v>215</v>
      </c>
      <c r="C75" s="97"/>
      <c r="D75" s="393">
        <f>D8</f>
        <v>2014</v>
      </c>
      <c r="E75" s="393">
        <f>E8</f>
        <v>2015</v>
      </c>
      <c r="F75" s="393">
        <f>F8</f>
        <v>2016</v>
      </c>
      <c r="G75" s="393">
        <f>G8</f>
        <v>2017</v>
      </c>
      <c r="H75" s="394">
        <f>H8</f>
        <v>2018</v>
      </c>
      <c r="I75" s="115"/>
      <c r="J75" s="115"/>
      <c r="K75" s="62"/>
      <c r="L75" s="62"/>
      <c r="M75" s="62"/>
      <c r="N75" s="62"/>
      <c r="O75" s="62"/>
      <c r="P75" s="453"/>
      <c r="Q75" s="453"/>
      <c r="R75" s="177"/>
      <c r="S75" s="177"/>
      <c r="T75" s="177"/>
      <c r="U75" s="451"/>
      <c r="V75" s="139"/>
      <c r="W75" s="154"/>
      <c r="X75" s="170"/>
      <c r="Y75" s="424"/>
      <c r="Z75" s="490">
        <f>D75</f>
        <v>2014</v>
      </c>
      <c r="AA75" s="490">
        <f>E75</f>
        <v>2015</v>
      </c>
      <c r="AB75" s="490">
        <f>F75</f>
        <v>2016</v>
      </c>
      <c r="AC75" s="490">
        <f>G75</f>
        <v>2017</v>
      </c>
      <c r="AD75" s="490">
        <f>H75</f>
        <v>2018</v>
      </c>
      <c r="AE75" s="424"/>
      <c r="AF75" s="534">
        <f>Z75</f>
        <v>2014</v>
      </c>
      <c r="AG75" s="534">
        <f>AA75</f>
        <v>2015</v>
      </c>
      <c r="AH75" s="534">
        <f>AB75</f>
        <v>2016</v>
      </c>
      <c r="AI75" s="534">
        <f>AC75</f>
        <v>2017</v>
      </c>
      <c r="AJ75" s="534">
        <f>AD75</f>
        <v>2018</v>
      </c>
      <c r="AK75" s="178"/>
    </row>
    <row r="76" spans="1:69" s="101" customFormat="1" ht="12.75" customHeight="1" x14ac:dyDescent="0.2">
      <c r="A76" s="533">
        <f>VLOOKUP(B76,Sheet1!$B$4:$C$25,2,FALSE)</f>
        <v>0</v>
      </c>
      <c r="B76" s="112" t="str">
        <f t="shared" ref="B76:B99" si="14">B9</f>
        <v>Bracknell Forest</v>
      </c>
      <c r="C76" s="97"/>
      <c r="D76" s="182">
        <f>IF(AND(ISNUMBER(AF76),ISNUMBER(Z76)),AF76/Z76,NA())</f>
        <v>0.20833333333333334</v>
      </c>
      <c r="E76" s="182">
        <f t="shared" ref="E76:H76" si="15">IF(AND(ISNUMBER(AG76),ISNUMBER(AA76)),AG76/AA76,NA())</f>
        <v>0.10344827586206896</v>
      </c>
      <c r="F76" s="182">
        <f t="shared" si="15"/>
        <v>0.13235294117647059</v>
      </c>
      <c r="G76" s="182" t="e">
        <f t="shared" si="15"/>
        <v>#N/A</v>
      </c>
      <c r="H76" s="184" t="e">
        <f t="shared" si="15"/>
        <v>#N/A</v>
      </c>
      <c r="I76" s="115"/>
      <c r="J76" s="115"/>
      <c r="K76" s="186"/>
      <c r="L76" s="186"/>
      <c r="M76" s="186"/>
      <c r="N76" s="186"/>
      <c r="O76" s="186"/>
      <c r="P76" s="186"/>
      <c r="Q76" s="187"/>
      <c r="R76" s="177"/>
      <c r="S76" s="177"/>
      <c r="T76" s="177"/>
      <c r="U76" s="186"/>
      <c r="V76" s="139"/>
      <c r="W76" s="154"/>
      <c r="X76" s="170"/>
      <c r="Y76" s="491" t="str">
        <f t="shared" ref="Y76:Y99" si="16">B76</f>
        <v>Bracknell Forest</v>
      </c>
      <c r="Z76" s="424">
        <f>IF(Year1_Bracknell_Forest Year1_Adoption_ceased_LAC="","",Year1_Bracknell_Forest Year1_Adoption_ceased_LAC)</f>
        <v>48</v>
      </c>
      <c r="AA76" s="424">
        <f>IF(Year2_Bracknell_Forest Year2_Adoption_ceased_LAC="","",Year2_Bracknell_Forest Year2_Adoption_ceased_LAC)</f>
        <v>58</v>
      </c>
      <c r="AB76" s="424">
        <f>IF(Year3_Bracknell_Forest Year3_Adoption_ceased_LAC="","",Year3_Bracknell_Forest Year3_Adoption_ceased_LAC)</f>
        <v>68</v>
      </c>
      <c r="AC76" s="424">
        <f>IF(Year4_Bracknell_Forest Year4_Adoption_ceased_LAC="","",Year4_Bracknell_Forest Year4_Adoption_ceased_LAC)</f>
        <v>49</v>
      </c>
      <c r="AD76" s="424">
        <f>IF(Year5_Bracknell_Forest Year5_Adoption_ceased_LAC="","",Year5_Bracknell_Forest Year5_Adoption_ceased_LAC)</f>
        <v>67</v>
      </c>
      <c r="AE76" s="424" t="str">
        <f t="shared" ref="AE76:AE99" si="17">Y76</f>
        <v>Bracknell Forest</v>
      </c>
      <c r="AF76" s="534">
        <f>IF(Year1_Bracknell_Forest Year1_Adoption_LAC_Adopted="","",Year1_Bracknell_Forest Year1_Adoption_LAC_Adopted)</f>
        <v>10</v>
      </c>
      <c r="AG76" s="424">
        <f>IF(Year2_Bracknell_Forest Year2_Adoption_LAC_Adopted="","",Year2_Bracknell_Forest Year2_Adoption_LAC_Adopted)</f>
        <v>6</v>
      </c>
      <c r="AH76" s="424">
        <f>IF(Year3_Bracknell_Forest Year3_Adoption_LAC_Adopted="","",Year3_Bracknell_Forest Year3_Adoption_LAC_Adopted)</f>
        <v>9</v>
      </c>
      <c r="AI76" s="424" t="str">
        <f>IF(Year4_Bracknell_Forest Year4_Adoption_LAC_Adopted="","",Year4_Bracknell_Forest Year4_Adoption_LAC_Adopted)</f>
        <v>x</v>
      </c>
      <c r="AJ76" s="424" t="str">
        <f>IF(Year5_Bracknell_Forest Year5_Adoption_LAC_Adopted="","",Year5_Bracknell_Forest Year5_Adoption_LAC_Adopted)</f>
        <v>x</v>
      </c>
      <c r="AK76" s="179"/>
    </row>
    <row r="77" spans="1:69" s="101" customFormat="1" ht="12.75" customHeight="1" x14ac:dyDescent="0.2">
      <c r="A77" s="533">
        <f>VLOOKUP(B77,Sheet1!$B$4:$C$25,2,FALSE)</f>
        <v>0</v>
      </c>
      <c r="B77" s="112" t="str">
        <f t="shared" si="14"/>
        <v>Brighton &amp; Hove</v>
      </c>
      <c r="C77" s="97"/>
      <c r="D77" s="182">
        <f t="shared" ref="D77:D99" si="18">IF(AND(ISNUMBER(AF77),ISNUMBER(Z77)),AF77/Z77,NA())</f>
        <v>0.21111111111111111</v>
      </c>
      <c r="E77" s="182">
        <f t="shared" ref="E77:E99" si="19">IF(AND(ISNUMBER(AG77),ISNUMBER(AA77)),AG77/AA77,NA())</f>
        <v>0.265625</v>
      </c>
      <c r="F77" s="182">
        <f t="shared" ref="F77:F99" si="20">IF(AND(ISNUMBER(AH77),ISNUMBER(AB77)),AH77/AB77,NA())</f>
        <v>0.15918367346938775</v>
      </c>
      <c r="G77" s="182">
        <f t="shared" ref="G77:G99" si="21">IF(AND(ISNUMBER(AI77),ISNUMBER(AC77)),AI77/AC77,NA())</f>
        <v>0.12849162011173185</v>
      </c>
      <c r="H77" s="184">
        <f t="shared" ref="H77:H99" si="22">IF(AND(ISNUMBER(AJ77),ISNUMBER(AD77)),AJ77/AD77,NA())</f>
        <v>0.18181818181818182</v>
      </c>
      <c r="I77" s="115"/>
      <c r="J77" s="115"/>
      <c r="K77" s="186"/>
      <c r="L77" s="186"/>
      <c r="M77" s="186"/>
      <c r="N77" s="186"/>
      <c r="O77" s="186"/>
      <c r="P77" s="186"/>
      <c r="Q77" s="187"/>
      <c r="R77" s="177"/>
      <c r="S77" s="177"/>
      <c r="T77" s="177"/>
      <c r="U77" s="186"/>
      <c r="V77" s="139"/>
      <c r="W77" s="154"/>
      <c r="X77" s="170"/>
      <c r="Y77" s="491" t="str">
        <f t="shared" si="16"/>
        <v>Brighton &amp; Hove</v>
      </c>
      <c r="Z77" s="424">
        <f>IF(Year1_Brighton_Hove Year1_Adoption_ceased_LAC="","",Year1_Brighton_Hove Year1_Adoption_ceased_LAC)</f>
        <v>180</v>
      </c>
      <c r="AA77" s="424">
        <f>IF(Year2_Brighton_Hove Year2_Adoption_ceased_LAC="","",Year2_Brighton_Hove Year2_Adoption_ceased_LAC)</f>
        <v>192</v>
      </c>
      <c r="AB77" s="424">
        <f>IF(Year3_Brighton_Hove Year3_Adoption_ceased_LAC="","",Year3_Brighton_Hove Year3_Adoption_ceased_LAC)</f>
        <v>245</v>
      </c>
      <c r="AC77" s="424">
        <f>IF(Year4_Brighton_Hove Year4_Adoption_ceased_LAC="","",Year4_Brighton_Hove Year4_Adoption_ceased_LAC)</f>
        <v>179</v>
      </c>
      <c r="AD77" s="424">
        <f>IF(Year5_Brighton_Hove Year5_Adoption_ceased_LAC="","",Year5_Brighton_Hove Year5_Adoption_ceased_LAC)</f>
        <v>176</v>
      </c>
      <c r="AE77" s="424" t="str">
        <f t="shared" si="17"/>
        <v>Brighton &amp; Hove</v>
      </c>
      <c r="AF77" s="534">
        <f>IF(Year1_Brighton_Hove Year1_Adoption_LAC_Adopted="","",Year1_Brighton_Hove Year1_Adoption_LAC_Adopted)</f>
        <v>38</v>
      </c>
      <c r="AG77" s="424">
        <f>IF(Year2_Brighton_Hove Year2_Adoption_LAC_Adopted="","",Year2_Brighton_Hove Year2_Adoption_LAC_Adopted)</f>
        <v>51</v>
      </c>
      <c r="AH77" s="424">
        <f>IF(Year3_Brighton_Hove Year3_Adoption_LAC_Adopted="","",Year3_Brighton_Hove Year3_Adoption_LAC_Adopted)</f>
        <v>39</v>
      </c>
      <c r="AI77" s="424">
        <f>IF(Year4_Brighton_Hove Year4_Adoption_LAC_Adopted="","",Year4_Brighton_Hove Year4_Adoption_LAC_Adopted)</f>
        <v>23</v>
      </c>
      <c r="AJ77" s="424">
        <f>IF(Year5_Brighton_Hove Year5_Adoption_LAC_Adopted="","",Year5_Brighton_Hove Year5_Adoption_LAC_Adopted)</f>
        <v>32</v>
      </c>
      <c r="AK77" s="178"/>
    </row>
    <row r="78" spans="1:69" s="101" customFormat="1" ht="12.75" customHeight="1" x14ac:dyDescent="0.2">
      <c r="A78" s="533">
        <f>VLOOKUP(B78,Sheet1!$B$4:$C$25,2,FALSE)</f>
        <v>0</v>
      </c>
      <c r="B78" s="112" t="str">
        <f t="shared" si="14"/>
        <v>Buckinghamshire</v>
      </c>
      <c r="C78" s="97"/>
      <c r="D78" s="182">
        <f t="shared" si="18"/>
        <v>0.22727272727272727</v>
      </c>
      <c r="E78" s="182">
        <f t="shared" si="19"/>
        <v>0.19753086419753085</v>
      </c>
      <c r="F78" s="182">
        <f t="shared" si="20"/>
        <v>0.16740088105726872</v>
      </c>
      <c r="G78" s="182">
        <f t="shared" si="21"/>
        <v>0.17674418604651163</v>
      </c>
      <c r="H78" s="184">
        <f t="shared" si="22"/>
        <v>0.13259668508287292</v>
      </c>
      <c r="I78" s="115"/>
      <c r="J78" s="115"/>
      <c r="K78" s="186"/>
      <c r="L78" s="186"/>
      <c r="M78" s="186"/>
      <c r="N78" s="186"/>
      <c r="O78" s="186"/>
      <c r="P78" s="186"/>
      <c r="Q78" s="187"/>
      <c r="R78" s="177"/>
      <c r="S78" s="177"/>
      <c r="T78" s="177"/>
      <c r="U78" s="186"/>
      <c r="V78" s="139"/>
      <c r="W78" s="154"/>
      <c r="X78" s="170"/>
      <c r="Y78" s="491" t="str">
        <f t="shared" si="16"/>
        <v>Buckinghamshire</v>
      </c>
      <c r="Z78" s="424">
        <f>IF(Year1_Buckinghamshire Year1_Adoption_ceased_LAC="","",Year1_Buckinghamshire Year1_Adoption_ceased_LAC)</f>
        <v>132</v>
      </c>
      <c r="AA78" s="424">
        <f>IF(Year2_Buckinghamshire Year2_Adoption_ceased_LAC="","",Year2_Buckinghamshire Year2_Adoption_ceased_LAC)</f>
        <v>162</v>
      </c>
      <c r="AB78" s="424">
        <f>IF(Year3_Buckinghamshire Year3_Adoption_ceased_LAC="","",Year3_Buckinghamshire Year3_Adoption_ceased_LAC)</f>
        <v>227</v>
      </c>
      <c r="AC78" s="424">
        <f>IF(Year4_Buckinghamshire Year4_Adoption_ceased_LAC="","",Year4_Buckinghamshire Year4_Adoption_ceased_LAC)</f>
        <v>215</v>
      </c>
      <c r="AD78" s="424">
        <f>IF(Year5_Buckinghamshire Year5_Adoption_ceased_LAC="","",Year5_Buckinghamshire Year5_Adoption_ceased_LAC)</f>
        <v>181</v>
      </c>
      <c r="AE78" s="424" t="str">
        <f t="shared" si="17"/>
        <v>Buckinghamshire</v>
      </c>
      <c r="AF78" s="534">
        <f>IF(Year1_Buckinghamshire Year1_Adoption_LAC_Adopted="","",Year1_Buckinghamshire Year1_Adoption_LAC_Adopted)</f>
        <v>30</v>
      </c>
      <c r="AG78" s="424">
        <f>IF(Year2_Buckinghamshire Year2_Adoption_LAC_Adopted="","",Year2_Buckinghamshire Year2_Adoption_LAC_Adopted)</f>
        <v>32</v>
      </c>
      <c r="AH78" s="424">
        <f>IF(Year3_Buckinghamshire Year3_Adoption_LAC_Adopted="","",Year3_Buckinghamshire Year3_Adoption_LAC_Adopted)</f>
        <v>38</v>
      </c>
      <c r="AI78" s="424">
        <f>IF(Year4_Buckinghamshire Year4_Adoption_LAC_Adopted="","",Year4_Buckinghamshire Year4_Adoption_LAC_Adopted)</f>
        <v>38</v>
      </c>
      <c r="AJ78" s="424">
        <f>IF(Year5_Buckinghamshire Year5_Adoption_LAC_Adopted="","",Year5_Buckinghamshire Year5_Adoption_LAC_Adopted)</f>
        <v>24</v>
      </c>
      <c r="AK78" s="179"/>
    </row>
    <row r="79" spans="1:69" s="101" customFormat="1" ht="12.75" customHeight="1" x14ac:dyDescent="0.2">
      <c r="A79" s="533">
        <f>VLOOKUP(B79,Sheet1!$B$4:$C$25,2,FALSE)</f>
        <v>0</v>
      </c>
      <c r="B79" s="112" t="str">
        <f t="shared" si="14"/>
        <v>East Sussex</v>
      </c>
      <c r="C79" s="97"/>
      <c r="D79" s="182">
        <f t="shared" si="18"/>
        <v>0.26851851851851855</v>
      </c>
      <c r="E79" s="182">
        <f t="shared" si="19"/>
        <v>0.2275132275132275</v>
      </c>
      <c r="F79" s="182">
        <f t="shared" si="20"/>
        <v>0.24479166666666666</v>
      </c>
      <c r="G79" s="182">
        <f t="shared" si="21"/>
        <v>0.2</v>
      </c>
      <c r="H79" s="184">
        <f t="shared" si="22"/>
        <v>0.19875776397515527</v>
      </c>
      <c r="I79" s="115"/>
      <c r="J79" s="115"/>
      <c r="K79" s="186"/>
      <c r="L79" s="186"/>
      <c r="M79" s="186"/>
      <c r="N79" s="186"/>
      <c r="O79" s="186"/>
      <c r="P79" s="186"/>
      <c r="Q79" s="187"/>
      <c r="R79" s="177"/>
      <c r="S79" s="177"/>
      <c r="T79" s="177"/>
      <c r="U79" s="186"/>
      <c r="V79" s="139"/>
      <c r="W79" s="154"/>
      <c r="X79" s="170"/>
      <c r="Y79" s="491" t="str">
        <f t="shared" si="16"/>
        <v>East Sussex</v>
      </c>
      <c r="Z79" s="424">
        <f>IF(Year1_East_Sussex Year1_Adoption_ceased_LAC="","",Year1_East_Sussex Year1_Adoption_ceased_LAC)</f>
        <v>216</v>
      </c>
      <c r="AA79" s="424">
        <f>IF(Year2_East_Sussex Year2_Adoption_ceased_LAC="","",Year2_East_Sussex Year2_Adoption_ceased_LAC)</f>
        <v>189</v>
      </c>
      <c r="AB79" s="424">
        <f>IF(Year3_East_Sussex Year3_Adoption_ceased_LAC="","",Year3_East_Sussex Year3_Adoption_ceased_LAC)</f>
        <v>192</v>
      </c>
      <c r="AC79" s="424">
        <f>IF(Year4_East_Sussex Year4_Adoption_ceased_LAC="","",Year4_East_Sussex Year4_Adoption_ceased_LAC)</f>
        <v>185</v>
      </c>
      <c r="AD79" s="424">
        <f>IF(Year5_East_Sussex Year5_Adoption_ceased_LAC="","",Year5_East_Sussex Year5_Adoption_ceased_LAC)</f>
        <v>161</v>
      </c>
      <c r="AE79" s="424" t="str">
        <f t="shared" si="17"/>
        <v>East Sussex</v>
      </c>
      <c r="AF79" s="534">
        <f>IF(Year1_East_Sussex Year1_Adoption_LAC_Adopted="","",Year1_East_Sussex Year1_Adoption_LAC_Adopted)</f>
        <v>58</v>
      </c>
      <c r="AG79" s="424">
        <f>IF(Year2_East_Sussex Year2_Adoption_LAC_Adopted="","",Year2_East_Sussex Year2_Adoption_LAC_Adopted)</f>
        <v>43</v>
      </c>
      <c r="AH79" s="424">
        <f>IF(Year3_East_Sussex Year3_Adoption_LAC_Adopted="","",Year3_East_Sussex Year3_Adoption_LAC_Adopted)</f>
        <v>47</v>
      </c>
      <c r="AI79" s="424">
        <f>IF(Year4_East_Sussex Year4_Adoption_LAC_Adopted="","",Year4_East_Sussex Year4_Adoption_LAC_Adopted)</f>
        <v>37</v>
      </c>
      <c r="AJ79" s="424">
        <f>IF(Year5_East_Sussex Year5_Adoption_LAC_Adopted="","",Year5_East_Sussex Year5_Adoption_LAC_Adopted)</f>
        <v>32</v>
      </c>
      <c r="AK79" s="178"/>
    </row>
    <row r="80" spans="1:69" s="101" customFormat="1" ht="12.75" customHeight="1" x14ac:dyDescent="0.2">
      <c r="A80" s="533">
        <f>VLOOKUP(B80,Sheet1!$B$4:$C$25,2,FALSE)</f>
        <v>0</v>
      </c>
      <c r="B80" s="112" t="str">
        <f t="shared" si="14"/>
        <v>Hampshire</v>
      </c>
      <c r="C80" s="97"/>
      <c r="D80" s="182">
        <f t="shared" si="18"/>
        <v>0.13084112149532709</v>
      </c>
      <c r="E80" s="182">
        <f t="shared" si="19"/>
        <v>0.1575091575091575</v>
      </c>
      <c r="F80" s="182">
        <f t="shared" si="20"/>
        <v>0.15412844036697249</v>
      </c>
      <c r="G80" s="182">
        <f t="shared" si="21"/>
        <v>0.13157894736842105</v>
      </c>
      <c r="H80" s="184">
        <f t="shared" si="22"/>
        <v>0.1134020618556701</v>
      </c>
      <c r="I80" s="115"/>
      <c r="J80" s="115"/>
      <c r="K80" s="186"/>
      <c r="L80" s="186"/>
      <c r="M80" s="186"/>
      <c r="N80" s="186"/>
      <c r="O80" s="186"/>
      <c r="P80" s="186"/>
      <c r="Q80" s="187"/>
      <c r="R80" s="177"/>
      <c r="S80" s="177"/>
      <c r="T80" s="177"/>
      <c r="U80" s="186"/>
      <c r="V80" s="139"/>
      <c r="W80" s="154"/>
      <c r="X80" s="170"/>
      <c r="Y80" s="491" t="str">
        <f t="shared" si="16"/>
        <v>Hampshire</v>
      </c>
      <c r="Z80" s="424">
        <f>IF(Year1_Hampshire Year1_Adoption_ceased_LAC="","",Year1_Hampshire Year1_Adoption_ceased_LAC)</f>
        <v>428</v>
      </c>
      <c r="AA80" s="424">
        <f>IF(Year2_Hampshire Year2_Adoption_ceased_LAC="","",Year2_Hampshire Year2_Adoption_ceased_LAC)</f>
        <v>546</v>
      </c>
      <c r="AB80" s="424">
        <f>IF(Year3_Hampshire Year3_Adoption_ceased_LAC="","",Year3_Hampshire Year3_Adoption_ceased_LAC)</f>
        <v>545</v>
      </c>
      <c r="AC80" s="424">
        <f>IF(Year4_Hampshire Year4_Adoption_ceased_LAC="","",Year4_Hampshire Year4_Adoption_ceased_LAC)</f>
        <v>532</v>
      </c>
      <c r="AD80" s="424">
        <f>IF(Year5_Hampshire Year5_Adoption_ceased_LAC="","",Year5_Hampshire Year5_Adoption_ceased_LAC)</f>
        <v>485</v>
      </c>
      <c r="AE80" s="424" t="str">
        <f t="shared" si="17"/>
        <v>Hampshire</v>
      </c>
      <c r="AF80" s="534">
        <f>IF(Year1_Hampshire Year1_Adoption_LAC_Adopted="","",Year1_Hampshire Year1_Adoption_LAC_Adopted)</f>
        <v>56</v>
      </c>
      <c r="AG80" s="424">
        <f>IF(Year2_Hampshire Year2_Adoption_LAC_Adopted="","",Year2_Hampshire Year2_Adoption_LAC_Adopted)</f>
        <v>86</v>
      </c>
      <c r="AH80" s="424">
        <f>IF(Year3_Hampshire Year3_Adoption_LAC_Adopted="","",Year3_Hampshire Year3_Adoption_LAC_Adopted)</f>
        <v>84</v>
      </c>
      <c r="AI80" s="424">
        <f>IF(Year4_Hampshire Year4_Adoption_LAC_Adopted="","",Year4_Hampshire Year4_Adoption_LAC_Adopted)</f>
        <v>70</v>
      </c>
      <c r="AJ80" s="424">
        <f>IF(Year5_Hampshire Year5_Adoption_LAC_Adopted="","",Year5_Hampshire Year5_Adoption_LAC_Adopted)</f>
        <v>55</v>
      </c>
      <c r="AK80" s="179"/>
    </row>
    <row r="81" spans="1:45" s="101" customFormat="1" ht="12.75" customHeight="1" x14ac:dyDescent="0.2">
      <c r="A81" s="533">
        <f>VLOOKUP(B81,Sheet1!$B$4:$C$25,2,FALSE)</f>
        <v>0</v>
      </c>
      <c r="B81" s="112" t="str">
        <f t="shared" si="14"/>
        <v>Isle of Wight</v>
      </c>
      <c r="C81" s="97"/>
      <c r="D81" s="182">
        <f t="shared" si="18"/>
        <v>7.5268817204301078E-2</v>
      </c>
      <c r="E81" s="182">
        <f t="shared" si="19"/>
        <v>8.8607594936708861E-2</v>
      </c>
      <c r="F81" s="182">
        <f t="shared" si="20"/>
        <v>0.12328767123287671</v>
      </c>
      <c r="G81" s="182">
        <f t="shared" si="21"/>
        <v>0.21052631578947367</v>
      </c>
      <c r="H81" s="184">
        <f t="shared" si="22"/>
        <v>0.16049382716049382</v>
      </c>
      <c r="I81" s="115"/>
      <c r="J81" s="115"/>
      <c r="K81" s="186"/>
      <c r="L81" s="186"/>
      <c r="M81" s="186"/>
      <c r="N81" s="186"/>
      <c r="O81" s="186"/>
      <c r="P81" s="186"/>
      <c r="Q81" s="187"/>
      <c r="R81" s="177"/>
      <c r="S81" s="177"/>
      <c r="T81" s="177"/>
      <c r="U81" s="186"/>
      <c r="V81" s="139"/>
      <c r="W81" s="154"/>
      <c r="X81" s="170"/>
      <c r="Y81" s="491" t="str">
        <f t="shared" si="16"/>
        <v>Isle of Wight</v>
      </c>
      <c r="Z81" s="424">
        <f>IF(Year1_Isle_of_Wight Year1_Adoption_ceased_LAC="","",Year1_Isle_of_Wight Year1_Adoption_ceased_LAC)</f>
        <v>93</v>
      </c>
      <c r="AA81" s="424">
        <f>IF(Year2_Isle_of_Wight Year2_Adoption_ceased_LAC="","",Year2_Isle_of_Wight Year2_Adoption_ceased_LAC)</f>
        <v>79</v>
      </c>
      <c r="AB81" s="424">
        <f>IF(Year3_Isle_of_Wight Year3_Adoption_ceased_LAC="","",Year3_Isle_of_Wight Year3_Adoption_ceased_LAC)</f>
        <v>73</v>
      </c>
      <c r="AC81" s="424">
        <f>IF(Year4_Isle_of_Wight Year4_Adoption_ceased_LAC="","",Year4_Isle_of_Wight Year4_Adoption_ceased_LAC)</f>
        <v>76</v>
      </c>
      <c r="AD81" s="424">
        <f>IF(Year5_Isle_of_Wight Year5_Adoption_ceased_LAC="","",Year5_Isle_of_Wight Year5_Adoption_ceased_LAC)</f>
        <v>81</v>
      </c>
      <c r="AE81" s="424" t="str">
        <f t="shared" si="17"/>
        <v>Isle of Wight</v>
      </c>
      <c r="AF81" s="534">
        <f>IF(Year1_Isle_of_Wight Year1_Adoption_LAC_Adopted="","",Year1_Isle_of_Wight Year1_Adoption_LAC_Adopted)</f>
        <v>7</v>
      </c>
      <c r="AG81" s="424">
        <f>IF(Year2_Isle_of_Wight Year2_Adoption_LAC_Adopted="","",Year2_Isle_of_Wight Year2_Adoption_LAC_Adopted)</f>
        <v>7</v>
      </c>
      <c r="AH81" s="424">
        <f>IF(Year3_Isle_of_Wight Year3_Adoption_LAC_Adopted="","",Year3_Isle_of_Wight Year3_Adoption_LAC_Adopted)</f>
        <v>9</v>
      </c>
      <c r="AI81" s="424">
        <f>IF(Year4_Isle_of_Wight Year4_Adoption_LAC_Adopted="","",Year4_Isle_of_Wight Year4_Adoption_LAC_Adopted)</f>
        <v>16</v>
      </c>
      <c r="AJ81" s="424">
        <f>IF(Year5_Isle_of_Wight Year5_Adoption_LAC_Adopted="","",Year5_Isle_of_Wight Year5_Adoption_LAC_Adopted)</f>
        <v>13</v>
      </c>
      <c r="AK81" s="178"/>
      <c r="AS81" s="101" t="s">
        <v>104</v>
      </c>
    </row>
    <row r="82" spans="1:45" s="101" customFormat="1" ht="12.75" customHeight="1" x14ac:dyDescent="0.2">
      <c r="A82" s="533">
        <f>VLOOKUP(B82,Sheet1!$B$4:$C$25,2,FALSE)</f>
        <v>0</v>
      </c>
      <c r="B82" s="112" t="str">
        <f t="shared" si="14"/>
        <v>Kent</v>
      </c>
      <c r="C82" s="97"/>
      <c r="D82" s="182">
        <f t="shared" si="18"/>
        <v>0.16590389016018306</v>
      </c>
      <c r="E82" s="182">
        <f t="shared" si="19"/>
        <v>0.20638540478905359</v>
      </c>
      <c r="F82" s="182">
        <f t="shared" si="20"/>
        <v>0.10065237651444547</v>
      </c>
      <c r="G82" s="182">
        <f t="shared" si="21"/>
        <v>6.0836501901140684E-2</v>
      </c>
      <c r="H82" s="184">
        <f t="shared" si="22"/>
        <v>9.9426386233269604E-2</v>
      </c>
      <c r="I82" s="115"/>
      <c r="J82" s="115"/>
      <c r="K82" s="186"/>
      <c r="L82" s="186"/>
      <c r="M82" s="186"/>
      <c r="N82" s="186"/>
      <c r="O82" s="186"/>
      <c r="P82" s="186"/>
      <c r="Q82" s="187"/>
      <c r="R82" s="177"/>
      <c r="S82" s="177"/>
      <c r="T82" s="177"/>
      <c r="U82" s="186"/>
      <c r="V82" s="139"/>
      <c r="W82" s="154"/>
      <c r="X82" s="170"/>
      <c r="Y82" s="491" t="str">
        <f t="shared" si="16"/>
        <v>Kent</v>
      </c>
      <c r="Z82" s="424">
        <f>IF(Year1_Kent Year1_Adoption_ceased_LAC="","",Year1_Kent Year1_Adoption_ceased_LAC)</f>
        <v>874</v>
      </c>
      <c r="AA82" s="424">
        <f>IF(Year2_Kent Year2_Adoption_ceased_LAC="","",Year2_Kent Year2_Adoption_ceased_LAC)</f>
        <v>877</v>
      </c>
      <c r="AB82" s="424">
        <f>IF(Year3_Kent Year3_Adoption_ceased_LAC="","",Year3_Kent Year3_Adoption_ceased_LAC)</f>
        <v>1073</v>
      </c>
      <c r="AC82" s="424">
        <f>IF(Year4_Kent Year4_Adoption_ceased_LAC="","",Year4_Kent Year4_Adoption_ceased_LAC)</f>
        <v>1315</v>
      </c>
      <c r="AD82" s="424">
        <f>IF(Year5_Kent Year5_Adoption_ceased_LAC="","",Year5_Kent Year5_Adoption_ceased_LAC)</f>
        <v>1046</v>
      </c>
      <c r="AE82" s="424" t="str">
        <f t="shared" si="17"/>
        <v>Kent</v>
      </c>
      <c r="AF82" s="534">
        <f>IF(Year1_Kent Year1_Adoption_LAC_Adopted="","",Year1_Kent Year1_Adoption_LAC_Adopted)</f>
        <v>145</v>
      </c>
      <c r="AG82" s="424">
        <f>IF(Year2_Kent Year2_Adoption_LAC_Adopted="","",Year2_Kent Year2_Adoption_LAC_Adopted)</f>
        <v>181</v>
      </c>
      <c r="AH82" s="424">
        <f>IF(Year3_Kent Year3_Adoption_LAC_Adopted="","",Year3_Kent Year3_Adoption_LAC_Adopted)</f>
        <v>108</v>
      </c>
      <c r="AI82" s="424">
        <f>IF(Year4_Kent Year4_Adoption_LAC_Adopted="","",Year4_Kent Year4_Adoption_LAC_Adopted)</f>
        <v>80</v>
      </c>
      <c r="AJ82" s="424">
        <f>IF(Year5_Kent Year5_Adoption_LAC_Adopted="","",Year5_Kent Year5_Adoption_LAC_Adopted)</f>
        <v>104</v>
      </c>
      <c r="AK82" s="179"/>
    </row>
    <row r="83" spans="1:45" s="101" customFormat="1" ht="12.75" customHeight="1" x14ac:dyDescent="0.2">
      <c r="A83" s="533">
        <f>VLOOKUP(B83,Sheet1!$B$4:$C$25,2,FALSE)</f>
        <v>0</v>
      </c>
      <c r="B83" s="112" t="str">
        <f t="shared" si="14"/>
        <v>Medway</v>
      </c>
      <c r="C83" s="97"/>
      <c r="D83" s="182">
        <f t="shared" si="18"/>
        <v>0.2388888888888889</v>
      </c>
      <c r="E83" s="182">
        <f t="shared" si="19"/>
        <v>0.24615384615384617</v>
      </c>
      <c r="F83" s="182">
        <f t="shared" si="20"/>
        <v>0.11428571428571428</v>
      </c>
      <c r="G83" s="182">
        <f t="shared" si="21"/>
        <v>0.17647058823529413</v>
      </c>
      <c r="H83" s="184">
        <f t="shared" si="22"/>
        <v>0.22012578616352202</v>
      </c>
      <c r="I83" s="115"/>
      <c r="J83" s="115"/>
      <c r="K83" s="186"/>
      <c r="L83" s="186"/>
      <c r="M83" s="186"/>
      <c r="N83" s="186"/>
      <c r="O83" s="186"/>
      <c r="P83" s="186"/>
      <c r="Q83" s="187"/>
      <c r="R83" s="177"/>
      <c r="S83" s="177"/>
      <c r="T83" s="177"/>
      <c r="U83" s="186"/>
      <c r="V83" s="139"/>
      <c r="W83" s="154"/>
      <c r="X83" s="170"/>
      <c r="Y83" s="491" t="str">
        <f t="shared" si="16"/>
        <v>Medway</v>
      </c>
      <c r="Z83" s="424">
        <f>IF(Year1_Medway Year1_Adoption_ceased_LAC="","",Year1_Medway Year1_Adoption_ceased_LAC)</f>
        <v>180</v>
      </c>
      <c r="AA83" s="424">
        <f>IF(Year2_Medway Year2_Adoption_ceased_LAC="","",Year2_Medway Year2_Adoption_ceased_LAC)</f>
        <v>195</v>
      </c>
      <c r="AB83" s="424">
        <f>IF(Year3_Medway Year3_Adoption_ceased_LAC="","",Year3_Medway Year3_Adoption_ceased_LAC)</f>
        <v>210</v>
      </c>
      <c r="AC83" s="424">
        <f>IF(Year4_Medway Year4_Adoption_ceased_LAC="","",Year4_Medway Year4_Adoption_ceased_LAC)</f>
        <v>187</v>
      </c>
      <c r="AD83" s="424">
        <f>IF(Year5_Medway Year5_Adoption_ceased_LAC="","",Year5_Medway Year5_Adoption_ceased_LAC)</f>
        <v>159</v>
      </c>
      <c r="AE83" s="424" t="str">
        <f t="shared" si="17"/>
        <v>Medway</v>
      </c>
      <c r="AF83" s="534">
        <f>IF(Year1_Medway Year1_Adoption_LAC_Adopted="","",Year1_Medway Year1_Adoption_LAC_Adopted)</f>
        <v>43</v>
      </c>
      <c r="AG83" s="424">
        <f>IF(Year2_Medway Year2_Adoption_LAC_Adopted="","",Year2_Medway Year2_Adoption_LAC_Adopted)</f>
        <v>48</v>
      </c>
      <c r="AH83" s="424">
        <f>IF(Year3_Medway Year3_Adoption_LAC_Adopted="","",Year3_Medway Year3_Adoption_LAC_Adopted)</f>
        <v>24</v>
      </c>
      <c r="AI83" s="424">
        <f>IF(Year4_Medway Year4_Adoption_LAC_Adopted="","",Year4_Medway Year4_Adoption_LAC_Adopted)</f>
        <v>33</v>
      </c>
      <c r="AJ83" s="424">
        <f>IF(Year5_Medway Year5_Adoption_LAC_Adopted="","",Year5_Medway Year5_Adoption_LAC_Adopted)</f>
        <v>35</v>
      </c>
      <c r="AK83" s="178"/>
    </row>
    <row r="84" spans="1:45" s="101" customFormat="1" ht="12.75" customHeight="1" x14ac:dyDescent="0.2">
      <c r="A84" s="533">
        <f>VLOOKUP(B84,Sheet1!$B$4:$C$25,2,FALSE)</f>
        <v>0</v>
      </c>
      <c r="B84" s="112" t="str">
        <f t="shared" si="14"/>
        <v>Milton Keynes</v>
      </c>
      <c r="C84" s="97"/>
      <c r="D84" s="182">
        <f t="shared" si="18"/>
        <v>0.17419354838709677</v>
      </c>
      <c r="E84" s="182">
        <f t="shared" si="19"/>
        <v>8.7591240875912413E-2</v>
      </c>
      <c r="F84" s="182">
        <f t="shared" si="20"/>
        <v>0.10215053763440861</v>
      </c>
      <c r="G84" s="182">
        <f t="shared" si="21"/>
        <v>6.5789473684210523E-2</v>
      </c>
      <c r="H84" s="184">
        <f t="shared" si="22"/>
        <v>6.25E-2</v>
      </c>
      <c r="I84" s="115"/>
      <c r="J84" s="115"/>
      <c r="K84" s="186"/>
      <c r="L84" s="186"/>
      <c r="M84" s="186"/>
      <c r="N84" s="186"/>
      <c r="O84" s="186"/>
      <c r="P84" s="186"/>
      <c r="Q84" s="187"/>
      <c r="R84" s="177"/>
      <c r="S84" s="177"/>
      <c r="T84" s="177"/>
      <c r="U84" s="186"/>
      <c r="V84" s="139"/>
      <c r="W84" s="154"/>
      <c r="X84" s="170"/>
      <c r="Y84" s="491" t="str">
        <f t="shared" si="16"/>
        <v>Milton Keynes</v>
      </c>
      <c r="Z84" s="424">
        <f>IF(Year1_Milton_Keynes Year1_Adoption_ceased_LAC="","",Year1_Milton_Keynes Year1_Adoption_ceased_LAC)</f>
        <v>155</v>
      </c>
      <c r="AA84" s="424">
        <f>IF(Year2_Milton_Keynes Year2_Adoption_ceased_LAC="","",Year2_Milton_Keynes Year2_Adoption_ceased_LAC)</f>
        <v>137</v>
      </c>
      <c r="AB84" s="424">
        <f>IF(Year3_Milton_Keynes Year3_Adoption_ceased_LAC="","",Year3_Milton_Keynes Year3_Adoption_ceased_LAC)</f>
        <v>186</v>
      </c>
      <c r="AC84" s="424">
        <f>IF(Year4_Milton_Keynes Year4_Adoption_ceased_LAC="","",Year4_Milton_Keynes Year4_Adoption_ceased_LAC)</f>
        <v>152</v>
      </c>
      <c r="AD84" s="424">
        <f>IF(Year5_Milton_Keynes Year5_Adoption_ceased_LAC="","",Year5_Milton_Keynes Year5_Adoption_ceased_LAC)</f>
        <v>144</v>
      </c>
      <c r="AE84" s="424" t="str">
        <f t="shared" si="17"/>
        <v>Milton Keynes</v>
      </c>
      <c r="AF84" s="534">
        <f>IF(Year1_Milton_Keynes Year1_Adoption_LAC_Adopted="","",Year1_Milton_Keynes Year1_Adoption_LAC_Adopted)</f>
        <v>27</v>
      </c>
      <c r="AG84" s="424">
        <f>IF(Year2_Milton_Keynes Year2_Adoption_LAC_Adopted="","",Year2_Milton_Keynes Year2_Adoption_LAC_Adopted)</f>
        <v>12</v>
      </c>
      <c r="AH84" s="424">
        <f>IF(Year3_Milton_Keynes Year3_Adoption_LAC_Adopted="","",Year3_Milton_Keynes Year3_Adoption_LAC_Adopted)</f>
        <v>19</v>
      </c>
      <c r="AI84" s="424">
        <f>IF(Year4_Milton_Keynes Year4_Adoption_LAC_Adopted="","",Year4_Milton_Keynes Year4_Adoption_LAC_Adopted)</f>
        <v>10</v>
      </c>
      <c r="AJ84" s="424">
        <f>IF(Year5_Milton_Keynes Year5_Adoption_LAC_Adopted="","",Year5_Milton_Keynes Year5_Adoption_LAC_Adopted)</f>
        <v>9</v>
      </c>
      <c r="AK84" s="179"/>
    </row>
    <row r="85" spans="1:45" s="101" customFormat="1" ht="12.75" customHeight="1" x14ac:dyDescent="0.2">
      <c r="A85" s="533">
        <f>VLOOKUP(B85,Sheet1!$B$4:$C$25,2,FALSE)</f>
        <v>0</v>
      </c>
      <c r="B85" s="112" t="str">
        <f t="shared" si="14"/>
        <v>Oxfordshire</v>
      </c>
      <c r="C85" s="97"/>
      <c r="D85" s="182">
        <f t="shared" si="18"/>
        <v>0.16858237547892721</v>
      </c>
      <c r="E85" s="182">
        <f t="shared" si="19"/>
        <v>0.14859437751004015</v>
      </c>
      <c r="F85" s="182">
        <f t="shared" si="20"/>
        <v>0.17857142857142858</v>
      </c>
      <c r="G85" s="182">
        <f t="shared" si="21"/>
        <v>0.13286713286713286</v>
      </c>
      <c r="H85" s="184">
        <f t="shared" si="22"/>
        <v>0.12121212121212122</v>
      </c>
      <c r="I85" s="115"/>
      <c r="J85" s="115"/>
      <c r="K85" s="186"/>
      <c r="L85" s="186"/>
      <c r="M85" s="186"/>
      <c r="N85" s="186"/>
      <c r="O85" s="186"/>
      <c r="P85" s="186"/>
      <c r="Q85" s="187"/>
      <c r="R85" s="177"/>
      <c r="S85" s="177"/>
      <c r="T85" s="177"/>
      <c r="U85" s="186"/>
      <c r="V85" s="139"/>
      <c r="W85" s="154"/>
      <c r="X85" s="170"/>
      <c r="Y85" s="491" t="str">
        <f t="shared" si="16"/>
        <v>Oxfordshire</v>
      </c>
      <c r="Z85" s="424">
        <f>IF(Year1_Oxfordshire Year1_Adoption_ceased_LAC="","",Year1_Oxfordshire Year1_Adoption_ceased_LAC)</f>
        <v>261</v>
      </c>
      <c r="AA85" s="424">
        <f>IF(Year2_Oxfordshire Year2_Adoption_ceased_LAC="","",Year2_Oxfordshire Year2_Adoption_ceased_LAC)</f>
        <v>249</v>
      </c>
      <c r="AB85" s="424">
        <f>IF(Year3_Oxfordshire Year3_Adoption_ceased_LAC="","",Year3_Oxfordshire Year3_Adoption_ceased_LAC)</f>
        <v>280</v>
      </c>
      <c r="AC85" s="424">
        <f>IF(Year4_Oxfordshire Year4_Adoption_ceased_LAC="","",Year4_Oxfordshire Year4_Adoption_ceased_LAC)</f>
        <v>286</v>
      </c>
      <c r="AD85" s="424">
        <f>IF(Year5_Oxfordshire Year5_Adoption_ceased_LAC="","",Year5_Oxfordshire Year5_Adoption_ceased_LAC)</f>
        <v>297</v>
      </c>
      <c r="AE85" s="424" t="str">
        <f t="shared" si="17"/>
        <v>Oxfordshire</v>
      </c>
      <c r="AF85" s="534">
        <f>IF(Year1_Oxfordshire Year1_Adoption_LAC_Adopted="","",Year1_Oxfordshire Year1_Adoption_LAC_Adopted)</f>
        <v>44</v>
      </c>
      <c r="AG85" s="424">
        <f>IF(Year2_Oxfordshire Year2_Adoption_LAC_Adopted="","",Year2_Oxfordshire Year2_Adoption_LAC_Adopted)</f>
        <v>37</v>
      </c>
      <c r="AH85" s="424">
        <f>IF(Year3_Oxfordshire Year3_Adoption_LAC_Adopted="","",Year3_Oxfordshire Year3_Adoption_LAC_Adopted)</f>
        <v>50</v>
      </c>
      <c r="AI85" s="424">
        <f>IF(Year4_Oxfordshire Year4_Adoption_LAC_Adopted="","",Year4_Oxfordshire Year4_Adoption_LAC_Adopted)</f>
        <v>38</v>
      </c>
      <c r="AJ85" s="424">
        <f>IF(Year5_Oxfordshire Year5_Adoption_LAC_Adopted="","",Year5_Oxfordshire Year5_Adoption_LAC_Adopted)</f>
        <v>36</v>
      </c>
      <c r="AK85" s="178"/>
    </row>
    <row r="86" spans="1:45" s="101" customFormat="1" ht="12.75" customHeight="1" x14ac:dyDescent="0.2">
      <c r="A86" s="533">
        <f>VLOOKUP(B86,Sheet1!$B$4:$C$25,2,FALSE)</f>
        <v>0</v>
      </c>
      <c r="B86" s="112" t="str">
        <f t="shared" si="14"/>
        <v>Portsmouth</v>
      </c>
      <c r="C86" s="97"/>
      <c r="D86" s="182">
        <f t="shared" si="18"/>
        <v>0.17567567567567569</v>
      </c>
      <c r="E86" s="182">
        <f t="shared" si="19"/>
        <v>0.2073170731707317</v>
      </c>
      <c r="F86" s="182">
        <f t="shared" si="20"/>
        <v>0.21428571428571427</v>
      </c>
      <c r="G86" s="182">
        <f t="shared" si="21"/>
        <v>0.28455284552845528</v>
      </c>
      <c r="H86" s="184">
        <f t="shared" si="22"/>
        <v>0.16042780748663102</v>
      </c>
      <c r="I86" s="115"/>
      <c r="J86" s="115"/>
      <c r="K86" s="186"/>
      <c r="L86" s="186"/>
      <c r="M86" s="186"/>
      <c r="N86" s="186"/>
      <c r="O86" s="186"/>
      <c r="P86" s="186"/>
      <c r="Q86" s="187"/>
      <c r="R86" s="177"/>
      <c r="S86" s="177"/>
      <c r="T86" s="177"/>
      <c r="U86" s="186"/>
      <c r="V86" s="139"/>
      <c r="W86" s="154"/>
      <c r="X86" s="170"/>
      <c r="Y86" s="491" t="str">
        <f t="shared" si="16"/>
        <v>Portsmouth</v>
      </c>
      <c r="Z86" s="424">
        <f>IF(Year1_Portsmouth Year1_Adoption_ceased_LAC="","",Year1_Portsmouth Year1_Adoption_ceased_LAC)</f>
        <v>148</v>
      </c>
      <c r="AA86" s="424">
        <f>IF(Year2_Portsmouth Year2_Adoption_ceased_LAC="","",Year2_Portsmouth Year2_Adoption_ceased_LAC)</f>
        <v>164</v>
      </c>
      <c r="AB86" s="424">
        <f>IF(Year3_Portsmouth Year3_Adoption_ceased_LAC="","",Year3_Portsmouth Year3_Adoption_ceased_LAC)</f>
        <v>126</v>
      </c>
      <c r="AC86" s="424">
        <f>IF(Year4_Portsmouth Year4_Adoption_ceased_LAC="","",Year4_Portsmouth Year4_Adoption_ceased_LAC)</f>
        <v>123</v>
      </c>
      <c r="AD86" s="424">
        <f>IF(Year5_Portsmouth Year5_Adoption_ceased_LAC="","",Year5_Portsmouth Year5_Adoption_ceased_LAC)</f>
        <v>187</v>
      </c>
      <c r="AE86" s="424" t="str">
        <f t="shared" si="17"/>
        <v>Portsmouth</v>
      </c>
      <c r="AF86" s="534">
        <f>IF(Year1_Portsmouth Year1_Adoption_LAC_Adopted="","",Year1_Portsmouth Year1_Adoption_LAC_Adopted)</f>
        <v>26</v>
      </c>
      <c r="AG86" s="424">
        <f>IF(Year2_Portsmouth Year2_Adoption_LAC_Adopted="","",Year2_Portsmouth Year2_Adoption_LAC_Adopted)</f>
        <v>34</v>
      </c>
      <c r="AH86" s="424">
        <f>IF(Year3_Portsmouth Year3_Adoption_LAC_Adopted="","",Year3_Portsmouth Year3_Adoption_LAC_Adopted)</f>
        <v>27</v>
      </c>
      <c r="AI86" s="424">
        <f>IF(Year4_Portsmouth Year4_Adoption_LAC_Adopted="","",Year4_Portsmouth Year4_Adoption_LAC_Adopted)</f>
        <v>35</v>
      </c>
      <c r="AJ86" s="424">
        <f>IF(Year5_Portsmouth Year5_Adoption_LAC_Adopted="","",Year5_Portsmouth Year5_Adoption_LAC_Adopted)</f>
        <v>30</v>
      </c>
      <c r="AK86" s="179"/>
    </row>
    <row r="87" spans="1:45" s="101" customFormat="1" ht="12.75" customHeight="1" x14ac:dyDescent="0.2">
      <c r="A87" s="533">
        <f>VLOOKUP(B87,Sheet1!$B$4:$C$25,2,FALSE)</f>
        <v>0</v>
      </c>
      <c r="B87" s="112" t="str">
        <f t="shared" si="14"/>
        <v>Reading</v>
      </c>
      <c r="C87" s="97"/>
      <c r="D87" s="182">
        <f t="shared" si="18"/>
        <v>0.27368421052631581</v>
      </c>
      <c r="E87" s="182">
        <f t="shared" si="19"/>
        <v>0.22619047619047619</v>
      </c>
      <c r="F87" s="182">
        <f t="shared" si="20"/>
        <v>0.2032520325203252</v>
      </c>
      <c r="G87" s="182">
        <f t="shared" si="21"/>
        <v>0.16</v>
      </c>
      <c r="H87" s="184">
        <f t="shared" si="22"/>
        <v>0.13978494623655913</v>
      </c>
      <c r="I87" s="115"/>
      <c r="J87" s="115"/>
      <c r="K87" s="186"/>
      <c r="L87" s="186"/>
      <c r="M87" s="186"/>
      <c r="N87" s="186"/>
      <c r="O87" s="186"/>
      <c r="P87" s="186"/>
      <c r="Q87" s="187"/>
      <c r="R87" s="177"/>
      <c r="S87" s="177"/>
      <c r="T87" s="177"/>
      <c r="U87" s="186"/>
      <c r="V87" s="139"/>
      <c r="W87" s="154"/>
      <c r="X87" s="170"/>
      <c r="Y87" s="491" t="str">
        <f t="shared" si="16"/>
        <v>Reading</v>
      </c>
      <c r="Z87" s="424">
        <f>IF(Year1_Reading Year1_Adoption_ceased_LAC="","",Year1_Reading Year1_Adoption_ceased_LAC)</f>
        <v>95</v>
      </c>
      <c r="AA87" s="424">
        <f>IF(Year2_Reading Year2_Adoption_ceased_LAC="","",Year2_Reading Year2_Adoption_ceased_LAC)</f>
        <v>84</v>
      </c>
      <c r="AB87" s="424">
        <f>IF(Year3_Reading Year3_Adoption_ceased_LAC="","",Year3_Reading Year3_Adoption_ceased_LAC)</f>
        <v>123</v>
      </c>
      <c r="AC87" s="424">
        <f>IF(Year4_Reading Year4_Adoption_ceased_LAC="","",Year4_Reading Year4_Adoption_ceased_LAC)</f>
        <v>100</v>
      </c>
      <c r="AD87" s="424">
        <f>IF(Year5_Reading Year5_Adoption_ceased_LAC="","",Year5_Reading Year5_Adoption_ceased_LAC)</f>
        <v>93</v>
      </c>
      <c r="AE87" s="424" t="str">
        <f t="shared" si="17"/>
        <v>Reading</v>
      </c>
      <c r="AF87" s="534">
        <f>IF(Year1_Reading Year1_Adoption_LAC_Adopted="","",Year1_Reading Year1_Adoption_LAC_Adopted)</f>
        <v>26</v>
      </c>
      <c r="AG87" s="424">
        <f>IF(Year2_Reading Year2_Adoption_LAC_Adopted="","",Year2_Reading Year2_Adoption_LAC_Adopted)</f>
        <v>19</v>
      </c>
      <c r="AH87" s="424">
        <f>IF(Year3_Reading Year3_Adoption_LAC_Adopted="","",Year3_Reading Year3_Adoption_LAC_Adopted)</f>
        <v>25</v>
      </c>
      <c r="AI87" s="424">
        <f>IF(Year4_Reading Year4_Adoption_LAC_Adopted="","",Year4_Reading Year4_Adoption_LAC_Adopted)</f>
        <v>16</v>
      </c>
      <c r="AJ87" s="424">
        <f>IF(Year5_Reading Year5_Adoption_LAC_Adopted="","",Year5_Reading Year5_Adoption_LAC_Adopted)</f>
        <v>13</v>
      </c>
      <c r="AK87" s="178"/>
    </row>
    <row r="88" spans="1:45" s="101" customFormat="1" ht="12.75" customHeight="1" x14ac:dyDescent="0.2">
      <c r="A88" s="533">
        <f>VLOOKUP(B88,Sheet1!$B$4:$C$25,2,FALSE)</f>
        <v>0</v>
      </c>
      <c r="B88" s="112" t="str">
        <f t="shared" si="14"/>
        <v>Slough</v>
      </c>
      <c r="C88" s="97"/>
      <c r="D88" s="182">
        <f t="shared" si="18"/>
        <v>0.16190476190476191</v>
      </c>
      <c r="E88" s="182">
        <f t="shared" si="19"/>
        <v>0.20353982300884957</v>
      </c>
      <c r="F88" s="182">
        <f t="shared" si="20"/>
        <v>0.1038961038961039</v>
      </c>
      <c r="G88" s="182">
        <f t="shared" si="21"/>
        <v>9.8214285714285712E-2</v>
      </c>
      <c r="H88" s="184">
        <f t="shared" si="22"/>
        <v>0.11607142857142858</v>
      </c>
      <c r="I88" s="115"/>
      <c r="J88" s="115"/>
      <c r="K88" s="186"/>
      <c r="L88" s="186"/>
      <c r="M88" s="186"/>
      <c r="N88" s="186"/>
      <c r="O88" s="186"/>
      <c r="P88" s="186"/>
      <c r="Q88" s="187"/>
      <c r="R88" s="177"/>
      <c r="S88" s="177"/>
      <c r="T88" s="177"/>
      <c r="U88" s="186"/>
      <c r="V88" s="139"/>
      <c r="W88" s="154"/>
      <c r="X88" s="170"/>
      <c r="Y88" s="491" t="str">
        <f t="shared" si="16"/>
        <v>Slough</v>
      </c>
      <c r="Z88" s="424">
        <f>IF(Year1_Slough Year1_Adoption_ceased_LAC="","",Year1_Slough Year1_Adoption_ceased_LAC)</f>
        <v>105</v>
      </c>
      <c r="AA88" s="424">
        <f>IF(Year2_Slough Year2_Adoption_ceased_LAC="","",Year2_Slough Year2_Adoption_ceased_LAC)</f>
        <v>113</v>
      </c>
      <c r="AB88" s="424">
        <f>IF(Year3_Slough Year3_Adoption_ceased_LAC="","",Year3_Slough Year3_Adoption_ceased_LAC)</f>
        <v>154</v>
      </c>
      <c r="AC88" s="424">
        <f>IF(Year4_Slough Year4_Adoption_ceased_LAC="","",Year4_Slough Year4_Adoption_ceased_LAC)</f>
        <v>112</v>
      </c>
      <c r="AD88" s="424">
        <f>IF(Year5_Slough Year5_Adoption_ceased_LAC="","",Year5_Slough Year5_Adoption_ceased_LAC)</f>
        <v>112</v>
      </c>
      <c r="AE88" s="424" t="str">
        <f t="shared" si="17"/>
        <v>Slough</v>
      </c>
      <c r="AF88" s="534">
        <f>IF(Year1_Slough Year1_Adoption_LAC_Adopted="","",Year1_Slough Year1_Adoption_LAC_Adopted)</f>
        <v>17</v>
      </c>
      <c r="AG88" s="424">
        <f>IF(Year2_Slough Year2_Adoption_LAC_Adopted="","",Year2_Slough Year2_Adoption_LAC_Adopted)</f>
        <v>23</v>
      </c>
      <c r="AH88" s="424">
        <f>IF(Year3_Slough Year3_Adoption_LAC_Adopted="","",Year3_Slough Year3_Adoption_LAC_Adopted)</f>
        <v>16</v>
      </c>
      <c r="AI88" s="424">
        <f>IF(Year4_Slough Year4_Adoption_LAC_Adopted="","",Year4_Slough Year4_Adoption_LAC_Adopted)</f>
        <v>11</v>
      </c>
      <c r="AJ88" s="424">
        <f>IF(Year5_Slough Year5_Adoption_LAC_Adopted="","",Year5_Slough Year5_Adoption_LAC_Adopted)</f>
        <v>13</v>
      </c>
      <c r="AK88" s="179"/>
    </row>
    <row r="89" spans="1:45" s="101" customFormat="1" ht="12.75" customHeight="1" x14ac:dyDescent="0.2">
      <c r="A89" s="533">
        <f>VLOOKUP(B89,Sheet1!$B$4:$C$25,2,FALSE)</f>
        <v>0</v>
      </c>
      <c r="B89" s="112" t="str">
        <f t="shared" si="14"/>
        <v>Somerset</v>
      </c>
      <c r="C89" s="97"/>
      <c r="D89" s="182">
        <f t="shared" si="18"/>
        <v>0.15946843853820597</v>
      </c>
      <c r="E89" s="182">
        <f t="shared" si="19"/>
        <v>0.19063545150501673</v>
      </c>
      <c r="F89" s="182">
        <f t="shared" si="20"/>
        <v>0.22270742358078602</v>
      </c>
      <c r="G89" s="182">
        <f t="shared" si="21"/>
        <v>0.13026819923371646</v>
      </c>
      <c r="H89" s="184">
        <f t="shared" si="22"/>
        <v>0.14220183486238533</v>
      </c>
      <c r="I89" s="115"/>
      <c r="J89" s="115"/>
      <c r="K89" s="186"/>
      <c r="L89" s="186"/>
      <c r="M89" s="186"/>
      <c r="N89" s="186"/>
      <c r="O89" s="186"/>
      <c r="P89" s="186"/>
      <c r="Q89" s="187"/>
      <c r="R89" s="177"/>
      <c r="S89" s="177"/>
      <c r="T89" s="177"/>
      <c r="U89" s="186"/>
      <c r="V89" s="139"/>
      <c r="W89" s="154"/>
      <c r="X89" s="170"/>
      <c r="Y89" s="491" t="str">
        <f t="shared" si="16"/>
        <v>Somerset</v>
      </c>
      <c r="Z89" s="424">
        <f>IF(Year1_Somerset Year1_Adoption_ceased_LAC="","",Year1_Somerset Year1_Adoption_ceased_LAC)</f>
        <v>301</v>
      </c>
      <c r="AA89" s="424">
        <f>IF(Year2_Somerset Year2_Adoption_ceased_LAC="","",Year2_Somerset Year2_Adoption_ceased_LAC)</f>
        <v>299</v>
      </c>
      <c r="AB89" s="424">
        <f>IF(Year3_Somerset Year3_Adoption_ceased_LAC="","",Year3_Somerset Year3_Adoption_ceased_LAC)</f>
        <v>229</v>
      </c>
      <c r="AC89" s="424">
        <f>IF(Year4_Somerset Year4_Adoption_ceased_LAC="","",Year4_Somerset Year4_Adoption_ceased_LAC)</f>
        <v>261</v>
      </c>
      <c r="AD89" s="424">
        <f>IF(Year5_Somerset Year5_Adoption_ceased_LAC="","",Year5_Somerset Year5_Adoption_ceased_LAC)</f>
        <v>218</v>
      </c>
      <c r="AE89" s="424" t="str">
        <f t="shared" si="17"/>
        <v>Somerset</v>
      </c>
      <c r="AF89" s="669">
        <f>IF(Year1_Somerset Year1_Adoption_LAC_Adopted="","",Year1_Somerset Year1_Adoption_LAC_Adopted)</f>
        <v>48</v>
      </c>
      <c r="AG89" s="440">
        <f>IF(Year2_Somerset Year2_Adoption_LAC_Adopted="","",Year2_Somerset Year2_Adoption_LAC_Adopted)</f>
        <v>57</v>
      </c>
      <c r="AH89" s="440">
        <f>IF(Year3_Somerset Year3_Adoption_LAC_Adopted="","",Year3_Somerset Year3_Adoption_LAC_Adopted)</f>
        <v>51</v>
      </c>
      <c r="AI89" s="440">
        <f>IF(Year4_Somerset Year4_Adoption_LAC_Adopted="","",Year4_Somerset Year4_Adoption_LAC_Adopted)</f>
        <v>34</v>
      </c>
      <c r="AJ89" s="424">
        <f>IF(Year5_Somerset Year5_Adoption_LAC_Adopted="","",Year5_Somerset Year5_Adoption_LAC_Adopted)</f>
        <v>31</v>
      </c>
      <c r="AK89" s="178"/>
    </row>
    <row r="90" spans="1:45" s="101" customFormat="1" ht="12.75" customHeight="1" x14ac:dyDescent="0.2">
      <c r="A90" s="533">
        <f>VLOOKUP(B90,Sheet1!$B$4:$C$25,2,FALSE)</f>
        <v>0</v>
      </c>
      <c r="B90" s="112" t="str">
        <f t="shared" si="14"/>
        <v>Southampton</v>
      </c>
      <c r="C90" s="97"/>
      <c r="D90" s="182">
        <f t="shared" si="18"/>
        <v>0.16304347826086957</v>
      </c>
      <c r="E90" s="182">
        <f t="shared" si="19"/>
        <v>0.265625</v>
      </c>
      <c r="F90" s="182">
        <f t="shared" si="20"/>
        <v>0.3073170731707317</v>
      </c>
      <c r="G90" s="182">
        <f t="shared" si="21"/>
        <v>0.34841628959276016</v>
      </c>
      <c r="H90" s="184">
        <f t="shared" si="22"/>
        <v>0.27411167512690354</v>
      </c>
      <c r="I90" s="115"/>
      <c r="J90" s="115"/>
      <c r="K90" s="186"/>
      <c r="L90" s="186"/>
      <c r="M90" s="186"/>
      <c r="N90" s="186"/>
      <c r="O90" s="186"/>
      <c r="P90" s="186"/>
      <c r="Q90" s="187"/>
      <c r="R90" s="177"/>
      <c r="S90" s="177"/>
      <c r="T90" s="177"/>
      <c r="U90" s="186"/>
      <c r="V90" s="139"/>
      <c r="W90" s="154"/>
      <c r="X90" s="170"/>
      <c r="Y90" s="491" t="str">
        <f t="shared" si="16"/>
        <v>Southampton</v>
      </c>
      <c r="Z90" s="424">
        <f>IF(Year1_Southampton Year1_Adoption_ceased_LAC="","",Year1_Southampton Year1_Adoption_ceased_LAC)</f>
        <v>184</v>
      </c>
      <c r="AA90" s="424">
        <f>IF(Year2_Southampton Year2_Adoption_ceased_LAC="","",Year2_Southampton Year2_Adoption_ceased_LAC)</f>
        <v>192</v>
      </c>
      <c r="AB90" s="424">
        <f>IF(Year3_Southampton Year3_Adoption_ceased_LAC="","",Year3_Southampton Year3_Adoption_ceased_LAC)</f>
        <v>205</v>
      </c>
      <c r="AC90" s="424">
        <f>IF(Year4_Southampton Year4_Adoption_ceased_LAC="","",Year4_Southampton Year4_Adoption_ceased_LAC)</f>
        <v>221</v>
      </c>
      <c r="AD90" s="424">
        <f>IF(Year5_Southampton Year5_Adoption_ceased_LAC="","",Year5_Southampton Year5_Adoption_ceased_LAC)</f>
        <v>197</v>
      </c>
      <c r="AE90" s="424" t="str">
        <f t="shared" si="17"/>
        <v>Southampton</v>
      </c>
      <c r="AF90" s="534">
        <f>IF(Year1_Southampton Year1_Adoption_LAC_Adopted="","",Year1_Southampton Year1_Adoption_LAC_Adopted)</f>
        <v>30</v>
      </c>
      <c r="AG90" s="424">
        <f>IF(Year2_Southampton Year2_Adoption_LAC_Adopted="","",Year2_Southampton Year2_Adoption_LAC_Adopted)</f>
        <v>51</v>
      </c>
      <c r="AH90" s="424">
        <f>IF(Year3_Southampton Year3_Adoption_LAC_Adopted="","",Year3_Southampton Year3_Adoption_LAC_Adopted)</f>
        <v>63</v>
      </c>
      <c r="AI90" s="424">
        <f>IF(Year4_Southampton Year4_Adoption_LAC_Adopted="","",Year4_Southampton Year4_Adoption_LAC_Adopted)</f>
        <v>77</v>
      </c>
      <c r="AJ90" s="424">
        <f>IF(Year5_Southampton Year5_Adoption_LAC_Adopted="","",Year5_Southampton Year5_Adoption_LAC_Adopted)</f>
        <v>54</v>
      </c>
      <c r="AK90" s="179"/>
    </row>
    <row r="91" spans="1:45" s="101" customFormat="1" ht="12.75" customHeight="1" x14ac:dyDescent="0.2">
      <c r="A91" s="533">
        <f>VLOOKUP(B91,Sheet1!$B$4:$C$25,2,FALSE)</f>
        <v>0</v>
      </c>
      <c r="B91" s="112" t="str">
        <f t="shared" si="14"/>
        <v>Surrey</v>
      </c>
      <c r="C91" s="97"/>
      <c r="D91" s="182">
        <f t="shared" si="18"/>
        <v>0.14114832535885166</v>
      </c>
      <c r="E91" s="182">
        <f t="shared" si="19"/>
        <v>0.13368983957219252</v>
      </c>
      <c r="F91" s="182">
        <f t="shared" si="20"/>
        <v>0.12592592592592591</v>
      </c>
      <c r="G91" s="182">
        <f t="shared" si="21"/>
        <v>0.12171837708830549</v>
      </c>
      <c r="H91" s="184">
        <f t="shared" si="22"/>
        <v>8.0882352941176475E-2</v>
      </c>
      <c r="I91" s="115"/>
      <c r="J91" s="115"/>
      <c r="K91" s="186"/>
      <c r="L91" s="186"/>
      <c r="M91" s="186"/>
      <c r="N91" s="186"/>
      <c r="O91" s="186"/>
      <c r="P91" s="186"/>
      <c r="Q91" s="187"/>
      <c r="R91" s="177"/>
      <c r="S91" s="177"/>
      <c r="T91" s="177"/>
      <c r="U91" s="186"/>
      <c r="V91" s="139"/>
      <c r="W91" s="154"/>
      <c r="X91" s="170"/>
      <c r="Y91" s="491" t="str">
        <f t="shared" si="16"/>
        <v>Surrey</v>
      </c>
      <c r="Z91" s="424">
        <f>IF(Year1_Surrey Year1_Adoption_ceased_LAC="","",Year1_Surrey Year1_Adoption_ceased_LAC)</f>
        <v>418</v>
      </c>
      <c r="AA91" s="424">
        <f>IF(Year2_Surrey Year2_Adoption_ceased_LAC="","",Year2_Surrey Year2_Adoption_ceased_LAC)</f>
        <v>374</v>
      </c>
      <c r="AB91" s="424">
        <f>IF(Year3_Surrey Year3_Adoption_ceased_LAC="","",Year3_Surrey Year3_Adoption_ceased_LAC)</f>
        <v>405</v>
      </c>
      <c r="AC91" s="424">
        <f>IF(Year4_Surrey Year4_Adoption_ceased_LAC="","",Year4_Surrey Year4_Adoption_ceased_LAC)</f>
        <v>419</v>
      </c>
      <c r="AD91" s="424">
        <f>IF(Year5_Surrey Year5_Adoption_ceased_LAC="","",Year5_Surrey Year5_Adoption_ceased_LAC)</f>
        <v>408</v>
      </c>
      <c r="AE91" s="424" t="str">
        <f t="shared" si="17"/>
        <v>Surrey</v>
      </c>
      <c r="AF91" s="534">
        <f>IF(Year1_Surrey Year1_Adoption_LAC_Adopted="","",Year1_Surrey Year1_Adoption_LAC_Adopted)</f>
        <v>59</v>
      </c>
      <c r="AG91" s="424">
        <f>IF(Year2_Surrey Year2_Adoption_LAC_Adopted="","",Year2_Surrey Year2_Adoption_LAC_Adopted)</f>
        <v>50</v>
      </c>
      <c r="AH91" s="424">
        <f>IF(Year3_Surrey Year3_Adoption_LAC_Adopted="","",Year3_Surrey Year3_Adoption_LAC_Adopted)</f>
        <v>51</v>
      </c>
      <c r="AI91" s="424">
        <f>IF(Year4_Surrey Year4_Adoption_LAC_Adopted="","",Year4_Surrey Year4_Adoption_LAC_Adopted)</f>
        <v>51</v>
      </c>
      <c r="AJ91" s="424">
        <f>IF(Year5_Surrey Year5_Adoption_LAC_Adopted="","",Year5_Surrey Year5_Adoption_LAC_Adopted)</f>
        <v>33</v>
      </c>
      <c r="AK91" s="178"/>
    </row>
    <row r="92" spans="1:45" s="101" customFormat="1" ht="12.75" customHeight="1" x14ac:dyDescent="0.2">
      <c r="A92" s="533">
        <f>VLOOKUP(B92,Sheet1!$B$4:$C$25,2,FALSE)</f>
        <v>0</v>
      </c>
      <c r="B92" s="112" t="str">
        <f t="shared" si="14"/>
        <v>Swindon</v>
      </c>
      <c r="C92" s="97"/>
      <c r="D92" s="182">
        <f t="shared" si="18"/>
        <v>0.11940298507462686</v>
      </c>
      <c r="E92" s="182">
        <f t="shared" si="19"/>
        <v>9.6296296296296297E-2</v>
      </c>
      <c r="F92" s="182">
        <f t="shared" si="20"/>
        <v>5.0359712230215826E-2</v>
      </c>
      <c r="G92" s="182">
        <f t="shared" si="21"/>
        <v>0.12666666666666668</v>
      </c>
      <c r="H92" s="184">
        <f t="shared" si="22"/>
        <v>0.1032258064516129</v>
      </c>
      <c r="I92" s="115"/>
      <c r="J92" s="115"/>
      <c r="K92" s="186"/>
      <c r="L92" s="186"/>
      <c r="M92" s="186"/>
      <c r="N92" s="186"/>
      <c r="O92" s="186"/>
      <c r="P92" s="186"/>
      <c r="Q92" s="187"/>
      <c r="R92" s="177"/>
      <c r="S92" s="177"/>
      <c r="T92" s="177"/>
      <c r="U92" s="186"/>
      <c r="V92" s="139"/>
      <c r="W92" s="154"/>
      <c r="X92" s="170"/>
      <c r="Y92" s="491" t="str">
        <f t="shared" si="16"/>
        <v>Swindon</v>
      </c>
      <c r="Z92" s="424">
        <f>IF(Year1_Swindon Year1_Adoption_ceased_LAC="","",Year1_Swindon Year1_Adoption_ceased_LAC)</f>
        <v>134</v>
      </c>
      <c r="AA92" s="424">
        <f>IF(Year2_Swindon Year2_Adoption_ceased_LAC="","",Year2_Swindon Year2_Adoption_ceased_LAC)</f>
        <v>135</v>
      </c>
      <c r="AB92" s="424">
        <f>IF(Year3_Swindon Year3_Adoption_ceased_LAC="","",Year3_Swindon Year3_Adoption_ceased_LAC)</f>
        <v>139</v>
      </c>
      <c r="AC92" s="660">
        <f>IF(Year4_Swindon Year4_Adoption_ceased_LAC="","",Year4_Swindon Year4_Adoption_ceased_LAC)</f>
        <v>150</v>
      </c>
      <c r="AD92" s="660">
        <f>IF(Year5_Swindon Year5_Adoption_ceased_LAC="","",Year5_Swindon Year5_Adoption_ceased_LAC)</f>
        <v>155</v>
      </c>
      <c r="AE92" s="424" t="str">
        <f t="shared" si="17"/>
        <v>Swindon</v>
      </c>
      <c r="AF92" s="534">
        <f>IF(Year1_Swindon Year1_Adoption_LAC_Adopted="","",Year1_Swindon Year1_Adoption_LAC_Adopted)</f>
        <v>16</v>
      </c>
      <c r="AG92" s="424">
        <f>IF(Year2_Swindon Year2_Adoption_LAC_Adopted="","",Year2_Swindon Year2_Adoption_LAC_Adopted)</f>
        <v>13</v>
      </c>
      <c r="AH92" s="424">
        <f>IF(Year3_Swindon Year3_Adoption_LAC_Adopted="","",Year3_Swindon Year3_Adoption_LAC_Adopted)</f>
        <v>7</v>
      </c>
      <c r="AI92" s="424">
        <f>IF(Year4_Swindon Year4_Adoption_LAC_Adopted="","",Year4_Swindon Year4_Adoption_LAC_Adopted)</f>
        <v>19</v>
      </c>
      <c r="AJ92" s="424">
        <f>IF(Year5_Swindon Year5_Adoption_LAC_Adopted="","",Year5_Swindon Year5_Adoption_LAC_Adopted)</f>
        <v>16</v>
      </c>
      <c r="AK92" s="179"/>
    </row>
    <row r="93" spans="1:45" s="101" customFormat="1" ht="12.75" customHeight="1" x14ac:dyDescent="0.2">
      <c r="A93" s="533">
        <f>VLOOKUP(B93,Sheet1!$B$4:$C$25,2,FALSE)</f>
        <v>0</v>
      </c>
      <c r="B93" s="112" t="str">
        <f t="shared" si="14"/>
        <v>Torbay</v>
      </c>
      <c r="C93" s="97"/>
      <c r="D93" s="182">
        <f t="shared" si="18"/>
        <v>0.16666666666666666</v>
      </c>
      <c r="E93" s="182">
        <f t="shared" si="19"/>
        <v>0.15322580645161291</v>
      </c>
      <c r="F93" s="182">
        <f t="shared" si="20"/>
        <v>0.224</v>
      </c>
      <c r="G93" s="182">
        <f t="shared" si="21"/>
        <v>0.12844036697247707</v>
      </c>
      <c r="H93" s="184">
        <f t="shared" si="22"/>
        <v>0.19607843137254902</v>
      </c>
      <c r="I93" s="115"/>
      <c r="J93" s="115"/>
      <c r="K93" s="186"/>
      <c r="L93" s="186"/>
      <c r="M93" s="186"/>
      <c r="N93" s="186"/>
      <c r="O93" s="186"/>
      <c r="P93" s="186"/>
      <c r="Q93" s="187"/>
      <c r="R93" s="177"/>
      <c r="S93" s="177"/>
      <c r="T93" s="177"/>
      <c r="U93" s="186"/>
      <c r="V93" s="139"/>
      <c r="W93" s="154"/>
      <c r="X93" s="170"/>
      <c r="Y93" s="491" t="str">
        <f t="shared" si="16"/>
        <v>Torbay</v>
      </c>
      <c r="Z93" s="424">
        <f>IF(Year1_Torbay Year1_Adoption_ceased_LAC="","",Year1_Torbay Year1_Adoption_ceased_LAC)</f>
        <v>156</v>
      </c>
      <c r="AA93" s="424">
        <f>IF(Year2_Torbay Year2_Adoption_ceased_LAC="","",Year2_Torbay Year2_Adoption_ceased_LAC)</f>
        <v>124</v>
      </c>
      <c r="AB93" s="424">
        <f>IF(Year3_Torbay Year3_Adoption_ceased_LAC="","",Year3_Torbay Year3_Adoption_ceased_LAC)</f>
        <v>125</v>
      </c>
      <c r="AC93" s="660">
        <f>IF(Year4_Torbay Year4_Adoption_ceased_LAC="","",Year4_Torbay Year4_Adoption_ceased_LAC)</f>
        <v>109</v>
      </c>
      <c r="AD93" s="660">
        <f>IF(Year5_Torbay Year5_Adoption_ceased_LAC="","",Year5_Torbay Year5_Adoption_ceased_LAC)</f>
        <v>102</v>
      </c>
      <c r="AE93" s="424" t="str">
        <f t="shared" si="17"/>
        <v>Torbay</v>
      </c>
      <c r="AF93" s="534">
        <f>IF(Year1_Torbay Year1_Adoption_LAC_Adopted="","",Year1_Torbay Year1_Adoption_LAC_Adopted)</f>
        <v>26</v>
      </c>
      <c r="AG93" s="424">
        <f>IF(Year2_Torbay Year2_Adoption_LAC_Adopted="","",Year2_Torbay Year2_Adoption_LAC_Adopted)</f>
        <v>19</v>
      </c>
      <c r="AH93" s="424">
        <f>IF(Year3_Torbay Year3_Adoption_LAC_Adopted="","",Year3_Torbay Year3_Adoption_LAC_Adopted)</f>
        <v>28</v>
      </c>
      <c r="AI93" s="424">
        <f>IF(Year4_Torbay Year4_Adoption_LAC_Adopted="","",Year4_Torbay Year4_Adoption_LAC_Adopted)</f>
        <v>14</v>
      </c>
      <c r="AJ93" s="424">
        <f>IF(Year5_Torbay Year5_Adoption_LAC_Adopted="","",Year5_Torbay Year5_Adoption_LAC_Adopted)</f>
        <v>20</v>
      </c>
      <c r="AK93" s="178"/>
    </row>
    <row r="94" spans="1:45" s="101" customFormat="1" ht="12.75" customHeight="1" x14ac:dyDescent="0.2">
      <c r="A94" s="533">
        <f>VLOOKUP(B94,Sheet1!$B$4:$C$25,2,FALSE)</f>
        <v>0</v>
      </c>
      <c r="B94" s="112" t="str">
        <f t="shared" si="14"/>
        <v>West Berkshire</v>
      </c>
      <c r="C94" s="97"/>
      <c r="D94" s="182">
        <f t="shared" si="18"/>
        <v>8.8235294117647065E-2</v>
      </c>
      <c r="E94" s="182" t="e">
        <f t="shared" si="19"/>
        <v>#N/A</v>
      </c>
      <c r="F94" s="182">
        <f t="shared" si="20"/>
        <v>0.10144927536231885</v>
      </c>
      <c r="G94" s="182">
        <f t="shared" si="21"/>
        <v>0.16216216216216217</v>
      </c>
      <c r="H94" s="184" t="e">
        <f t="shared" si="22"/>
        <v>#N/A</v>
      </c>
      <c r="I94" s="115"/>
      <c r="J94" s="115"/>
      <c r="K94" s="186"/>
      <c r="L94" s="186"/>
      <c r="M94" s="186"/>
      <c r="N94" s="186"/>
      <c r="O94" s="186"/>
      <c r="P94" s="186"/>
      <c r="Q94" s="187"/>
      <c r="R94" s="177"/>
      <c r="S94" s="177"/>
      <c r="T94" s="177"/>
      <c r="U94" s="186"/>
      <c r="V94" s="139"/>
      <c r="W94" s="154"/>
      <c r="X94" s="170"/>
      <c r="Y94" s="491" t="str">
        <f t="shared" si="16"/>
        <v>West Berkshire</v>
      </c>
      <c r="Z94" s="424">
        <f>IF(Year1_West_Berkshire Year1_Adoption_ceased_LAC="","",Year1_West_Berkshire Year1_Adoption_ceased_LAC)</f>
        <v>68</v>
      </c>
      <c r="AA94" s="424">
        <f>IF(Year2_West_Berkshire Year2_Adoption_ceased_LAC="","",Year2_West_Berkshire Year2_Adoption_ceased_LAC)</f>
        <v>65</v>
      </c>
      <c r="AB94" s="424">
        <f>IF(Year3_West_Berkshire Year3_Adoption_ceased_LAC="","",Year3_West_Berkshire Year3_Adoption_ceased_LAC)</f>
        <v>69</v>
      </c>
      <c r="AC94" s="424">
        <f>IF(Year4_West_Berkshire Year4_Adoption_ceased_LAC="","",Year4_West_Berkshire Year4_Adoption_ceased_LAC)</f>
        <v>74</v>
      </c>
      <c r="AD94" s="424">
        <f>IF(Year5_West_Berkshire Year5_Adoption_ceased_LAC="","",Year5_West_Berkshire Year5_Adoption_ceased_LAC)</f>
        <v>86</v>
      </c>
      <c r="AE94" s="424" t="str">
        <f t="shared" si="17"/>
        <v>West Berkshire</v>
      </c>
      <c r="AF94" s="534">
        <f>IF(Year1_West_Berkshire Year1_Adoption_LAC_Adopted="","",Year1_West_Berkshire Year1_Adoption_LAC_Adopted)</f>
        <v>6</v>
      </c>
      <c r="AG94" s="424" t="str">
        <f>IF(Year2_West_Berkshire Year2_Adoption_LAC_Adopted="","",Year2_West_Berkshire Year2_Adoption_LAC_Adopted)</f>
        <v>x</v>
      </c>
      <c r="AH94" s="424">
        <f>IF(Year3_West_Berkshire Year3_Adoption_LAC_Adopted="","",Year3_West_Berkshire Year3_Adoption_LAC_Adopted)</f>
        <v>7</v>
      </c>
      <c r="AI94" s="424">
        <f>IF(Year4_West_Berkshire Year4_Adoption_LAC_Adopted="","",Year4_West_Berkshire Year4_Adoption_LAC_Adopted)</f>
        <v>12</v>
      </c>
      <c r="AJ94" s="637" t="str">
        <f>IF(Year5_West_Berkshire Year5_Adoption_LAC_Adopted="","",Year5_West_Berkshire Year5_Adoption_LAC_Adopted)</f>
        <v>x</v>
      </c>
      <c r="AK94" s="179"/>
    </row>
    <row r="95" spans="1:45" s="101" customFormat="1" ht="12.75" customHeight="1" x14ac:dyDescent="0.2">
      <c r="A95" s="533">
        <f>VLOOKUP(B95,Sheet1!$B$4:$C$25,2,FALSE)</f>
        <v>0</v>
      </c>
      <c r="B95" s="112" t="str">
        <f t="shared" si="14"/>
        <v>West Sussex</v>
      </c>
      <c r="C95" s="97"/>
      <c r="D95" s="182">
        <f t="shared" si="18"/>
        <v>0.13421052631578947</v>
      </c>
      <c r="E95" s="182">
        <f t="shared" si="19"/>
        <v>0.125</v>
      </c>
      <c r="F95" s="182">
        <f t="shared" si="20"/>
        <v>8.549222797927461E-2</v>
      </c>
      <c r="G95" s="182">
        <f t="shared" si="21"/>
        <v>0.12885154061624648</v>
      </c>
      <c r="H95" s="184">
        <f t="shared" si="22"/>
        <v>0.10355029585798817</v>
      </c>
      <c r="I95" s="115"/>
      <c r="J95" s="115"/>
      <c r="K95" s="186"/>
      <c r="L95" s="186"/>
      <c r="M95" s="186"/>
      <c r="N95" s="186"/>
      <c r="O95" s="186"/>
      <c r="P95" s="186"/>
      <c r="Q95" s="187"/>
      <c r="R95" s="177"/>
      <c r="S95" s="177"/>
      <c r="T95" s="177"/>
      <c r="U95" s="186"/>
      <c r="V95" s="139"/>
      <c r="W95" s="154"/>
      <c r="X95" s="170"/>
      <c r="Y95" s="491" t="str">
        <f t="shared" si="16"/>
        <v>West Sussex</v>
      </c>
      <c r="Z95" s="424">
        <f>IF(Year1_West_Sussex Year1_Adoption_ceased_LAC="","",Year1_West_Sussex Year1_Adoption_ceased_LAC)</f>
        <v>380</v>
      </c>
      <c r="AA95" s="424">
        <f>IF(Year2_West_Sussex Year2_Adoption_ceased_LAC="","",Year2_West_Sussex Year2_Adoption_ceased_LAC)</f>
        <v>328</v>
      </c>
      <c r="AB95" s="424">
        <f>IF(Year3_West_Sussex Year3_Adoption_ceased_LAC="","",Year3_West_Sussex Year3_Adoption_ceased_LAC)</f>
        <v>386</v>
      </c>
      <c r="AC95" s="424">
        <f>IF(Year4_West_Sussex Year4_Adoption_ceased_LAC="","",Year4_West_Sussex Year4_Adoption_ceased_LAC)</f>
        <v>357</v>
      </c>
      <c r="AD95" s="424">
        <f>IF(Year5_West_Sussex Year5_Adoption_ceased_LAC="","",Year5_West_Sussex Year5_Adoption_ceased_LAC)</f>
        <v>338</v>
      </c>
      <c r="AE95" s="424" t="str">
        <f t="shared" si="17"/>
        <v>West Sussex</v>
      </c>
      <c r="AF95" s="534">
        <f>IF(Year1_West_Sussex Year1_Adoption_LAC_Adopted="","",Year1_West_Sussex Year1_Adoption_LAC_Adopted)</f>
        <v>51</v>
      </c>
      <c r="AG95" s="424">
        <f>IF(Year2_West_Sussex Year2_Adoption_LAC_Adopted="","",Year2_West_Sussex Year2_Adoption_LAC_Adopted)</f>
        <v>41</v>
      </c>
      <c r="AH95" s="424">
        <f>IF(Year3_West_Sussex Year3_Adoption_LAC_Adopted="","",Year3_West_Sussex Year3_Adoption_LAC_Adopted)</f>
        <v>33</v>
      </c>
      <c r="AI95" s="424">
        <f>IF(Year4_West_Sussex Year4_Adoption_LAC_Adopted="","",Year4_West_Sussex Year4_Adoption_LAC_Adopted)</f>
        <v>46</v>
      </c>
      <c r="AJ95" s="637">
        <f>IF(Year5_West_Sussex Year5_Adoption_LAC_Adopted="","",Year5_West_Sussex Year5_Adoption_LAC_Adopted)</f>
        <v>35</v>
      </c>
      <c r="AK95" s="178"/>
    </row>
    <row r="96" spans="1:45" s="101" customFormat="1" ht="12.75" customHeight="1" x14ac:dyDescent="0.2">
      <c r="A96" s="533">
        <f>VLOOKUP(B96,Sheet1!$B$4:$C$25,2,FALSE)</f>
        <v>0</v>
      </c>
      <c r="B96" s="112" t="str">
        <f t="shared" si="14"/>
        <v>Windsor &amp; Maidenhead</v>
      </c>
      <c r="C96" s="97"/>
      <c r="D96" s="182">
        <f t="shared" si="18"/>
        <v>0.25531914893617019</v>
      </c>
      <c r="E96" s="182">
        <f t="shared" si="19"/>
        <v>0.14893617021276595</v>
      </c>
      <c r="F96" s="182">
        <f t="shared" si="20"/>
        <v>0.16279069767441862</v>
      </c>
      <c r="G96" s="182">
        <f t="shared" si="21"/>
        <v>0.17142857142857143</v>
      </c>
      <c r="H96" s="184" t="e">
        <f t="shared" si="22"/>
        <v>#N/A</v>
      </c>
      <c r="I96" s="115"/>
      <c r="J96" s="115"/>
      <c r="K96" s="186"/>
      <c r="L96" s="186"/>
      <c r="M96" s="186"/>
      <c r="N96" s="186"/>
      <c r="O96" s="186"/>
      <c r="P96" s="186"/>
      <c r="Q96" s="187"/>
      <c r="R96" s="177"/>
      <c r="S96" s="177"/>
      <c r="T96" s="177"/>
      <c r="U96" s="186"/>
      <c r="V96" s="139"/>
      <c r="W96" s="154"/>
      <c r="X96" s="170"/>
      <c r="Y96" s="491" t="str">
        <f t="shared" si="16"/>
        <v>Windsor &amp; Maidenhead</v>
      </c>
      <c r="Z96" s="424">
        <f>IF(Year1_Windsor_Maidenhead Year1_Adoption_ceased_LAC="","",Year1_Windsor_Maidenhead Year1_Adoption_ceased_LAC)</f>
        <v>47</v>
      </c>
      <c r="AA96" s="424">
        <f>IF(Year2_Windsor_Maidenhead Year2_Adoption_ceased_LAC="","",Year2_Windsor_Maidenhead Year2_Adoption_ceased_LAC)</f>
        <v>47</v>
      </c>
      <c r="AB96" s="424">
        <f>IF(Year3_Windsor_Maidenhead Year3_Adoption_ceased_LAC="","",Year3_Windsor_Maidenhead Year3_Adoption_ceased_LAC)</f>
        <v>43</v>
      </c>
      <c r="AC96" s="424">
        <f>IF(Year4_Windsor_Maidenhead Year4_Adoption_ceased_LAC="","",Year4_Windsor_Maidenhead Year4_Adoption_ceased_LAC)</f>
        <v>35</v>
      </c>
      <c r="AD96" s="424">
        <f>IF(Year5_Windsor_Maidenhead Year5_Adoption_ceased_LAC="","",Year5_Windsor_Maidenhead Year5_Adoption_ceased_LAC)</f>
        <v>49</v>
      </c>
      <c r="AE96" s="424" t="str">
        <f t="shared" si="17"/>
        <v>Windsor &amp; Maidenhead</v>
      </c>
      <c r="AF96" s="534">
        <f>IF(Year1_Windsor_Maidenhead Year1_Adoption_LAC_Adopted="","",Year1_Windsor_Maidenhead Year1_Adoption_LAC_Adopted)</f>
        <v>12</v>
      </c>
      <c r="AG96" s="424">
        <f>IF(Year2_Windsor_Maidenhead Year2_Adoption_LAC_Adopted="","",Year2_Windsor_Maidenhead Year2_Adoption_LAC_Adopted)</f>
        <v>7</v>
      </c>
      <c r="AH96" s="424">
        <f>IF(Year3_Windsor_Maidenhead Year3_Adoption_LAC_Adopted="","",Year3_Windsor_Maidenhead Year3_Adoption_LAC_Adopted)</f>
        <v>7</v>
      </c>
      <c r="AI96" s="424">
        <f>IF(Year4_Windsor_Maidenhead Year4_Adoption_LAC_Adopted="","",Year4_Windsor_Maidenhead Year4_Adoption_LAC_Adopted)</f>
        <v>6</v>
      </c>
      <c r="AJ96" s="637" t="str">
        <f>IF(Year5_Windsor_Maidenhead Year5_Adoption_LAC_Adopted="","",Year5_Windsor_Maidenhead Year5_Adoption_LAC_Adopted)</f>
        <v>x</v>
      </c>
      <c r="AK96" s="179"/>
    </row>
    <row r="97" spans="1:51" s="101" customFormat="1" ht="12.75" customHeight="1" x14ac:dyDescent="0.2">
      <c r="A97" s="533">
        <f>VLOOKUP(B97,Sheet1!$B$4:$C$25,2,FALSE)</f>
        <v>0</v>
      </c>
      <c r="B97" s="112" t="str">
        <f t="shared" si="14"/>
        <v>Wokingham</v>
      </c>
      <c r="C97" s="97"/>
      <c r="D97" s="182" t="e">
        <f t="shared" si="18"/>
        <v>#N/A</v>
      </c>
      <c r="E97" s="182" t="e">
        <f t="shared" si="19"/>
        <v>#N/A</v>
      </c>
      <c r="F97" s="182" t="e">
        <f t="shared" si="20"/>
        <v>#N/A</v>
      </c>
      <c r="G97" s="182" t="e">
        <f t="shared" si="21"/>
        <v>#N/A</v>
      </c>
      <c r="H97" s="184" t="e">
        <f t="shared" si="22"/>
        <v>#N/A</v>
      </c>
      <c r="I97" s="115"/>
      <c r="J97" s="115"/>
      <c r="K97" s="186"/>
      <c r="L97" s="186"/>
      <c r="M97" s="186"/>
      <c r="N97" s="186"/>
      <c r="O97" s="186"/>
      <c r="P97" s="186"/>
      <c r="Q97" s="187"/>
      <c r="R97" s="177"/>
      <c r="S97" s="177"/>
      <c r="T97" s="177"/>
      <c r="U97" s="186"/>
      <c r="V97" s="139"/>
      <c r="W97" s="154"/>
      <c r="X97" s="170"/>
      <c r="Y97" s="491" t="str">
        <f t="shared" si="16"/>
        <v>Wokingham</v>
      </c>
      <c r="Z97" s="424">
        <f>IF(Year1_Wokingham Year1_Adoption_ceased_LAC="","",Year1_Wokingham Year1_Adoption_ceased_LAC)</f>
        <v>37</v>
      </c>
      <c r="AA97" s="424">
        <f>IF(Year2_Wokingham Year2_Adoption_ceased_LAC="","",Year2_Wokingham Year2_Adoption_ceased_LAC)</f>
        <v>39</v>
      </c>
      <c r="AB97" s="424">
        <f>IF(Year3_Wokingham Year3_Adoption_ceased_LAC="","",Year3_Wokingham Year3_Adoption_ceased_LAC)</f>
        <v>34</v>
      </c>
      <c r="AC97" s="424">
        <f>IF(Year4_Wokingham Year4_Adoption_ceased_LAC="","",Year4_Wokingham Year4_Adoption_ceased_LAC)</f>
        <v>31</v>
      </c>
      <c r="AD97" s="424">
        <f>IF(Year5_Wokingham Year5_Adoption_ceased_LAC="","",Year5_Wokingham Year5_Adoption_ceased_LAC)</f>
        <v>36</v>
      </c>
      <c r="AE97" s="424" t="str">
        <f t="shared" si="17"/>
        <v>Wokingham</v>
      </c>
      <c r="AF97" s="534" t="str">
        <f>IF(Year1_Wokingham Year1_Adoption_LAC_Adopted="","",Year1_Wokingham Year1_Adoption_LAC_Adopted)</f>
        <v>x</v>
      </c>
      <c r="AG97" s="424" t="str">
        <f>IF(Year2_Wokingham Year2_Adoption_LAC_Adopted="","",Year2_Wokingham Year2_Adoption_LAC_Adopted)</f>
        <v>x</v>
      </c>
      <c r="AH97" s="424" t="str">
        <f>IF(Year3_Wokingham Year3_Adoption_LAC_Adopted="","",Year3_Wokingham Year3_Adoption_LAC_Adopted)</f>
        <v>x</v>
      </c>
      <c r="AI97" s="424" t="str">
        <f>IF(Year4_Wokingham Year4_Adoption_LAC_Adopted="","",Year4_Wokingham Year4_Adoption_LAC_Adopted)</f>
        <v>x</v>
      </c>
      <c r="AJ97" s="637" t="str">
        <f>IF(Year5_Wokingham Year5_Adoption_LAC_Adopted="","",Year5_Wokingham Year5_Adoption_LAC_Adopted)</f>
        <v>x</v>
      </c>
      <c r="AK97" s="178"/>
    </row>
    <row r="98" spans="1:51" s="101" customFormat="1" ht="12.75" customHeight="1" x14ac:dyDescent="0.2">
      <c r="A98" s="138"/>
      <c r="B98" s="146" t="str">
        <f t="shared" si="14"/>
        <v>South East</v>
      </c>
      <c r="C98" s="97"/>
      <c r="D98" s="183">
        <f t="shared" si="18"/>
        <v>0.17041244751790566</v>
      </c>
      <c r="E98" s="183">
        <f t="shared" si="19"/>
        <v>0.18092909535452323</v>
      </c>
      <c r="F98" s="183">
        <f t="shared" si="20"/>
        <v>0.14224137931034483</v>
      </c>
      <c r="G98" s="183">
        <f t="shared" si="21"/>
        <v>0.13118279569892474</v>
      </c>
      <c r="H98" s="185">
        <f t="shared" si="22"/>
        <v>0.12325581395348838</v>
      </c>
      <c r="I98" s="115"/>
      <c r="J98" s="115"/>
      <c r="K98" s="188"/>
      <c r="L98" s="188"/>
      <c r="M98" s="188"/>
      <c r="N98" s="188"/>
      <c r="O98" s="188"/>
      <c r="P98" s="188"/>
      <c r="Q98" s="189"/>
      <c r="R98" s="177"/>
      <c r="S98" s="177"/>
      <c r="T98" s="177"/>
      <c r="U98" s="190"/>
      <c r="V98" s="139"/>
      <c r="W98" s="154"/>
      <c r="X98" s="170"/>
      <c r="Y98" s="491" t="str">
        <f t="shared" si="16"/>
        <v>South East</v>
      </c>
      <c r="Z98" s="719">
        <f>IF(Year1_SouthEast Year1_Adoption_ceased_LAC="","",Year1_SouthEast Year1_Adoption_ceased_LAC)</f>
        <v>4049</v>
      </c>
      <c r="AA98" s="716">
        <f>IF(Year2_SouthEast Year2_Adoption_ceased_LAC="","",Year2_SouthEast Year2_Adoption_ceased_LAC)</f>
        <v>4090</v>
      </c>
      <c r="AB98" s="716">
        <f>IF(Year3_SouthEast Year3_Adoption_ceased_LAC="","",Year3_SouthEast Year3_Adoption_ceased_LAC)</f>
        <v>4640</v>
      </c>
      <c r="AC98" s="424">
        <f>IF(Year4_SouthEast Year4_Adoption_ceased_LAC="","",Year4_SouthEast Year4_Adoption_ceased_LAC)</f>
        <v>4650</v>
      </c>
      <c r="AD98" s="424">
        <f>IF(Year5_SouthEast Year5_Adoption_ceased_LAC="","",Year5_SouthEast Year5_Adoption_ceased_LAC)</f>
        <v>4300</v>
      </c>
      <c r="AE98" s="424" t="str">
        <f t="shared" si="17"/>
        <v>South East</v>
      </c>
      <c r="AF98" s="424">
        <f>IF(Year1_SouthEast Year1_Adoption_LAC_Adopted="","",Year1_SouthEast Year1_Adoption_LAC_Adopted)</f>
        <v>690</v>
      </c>
      <c r="AG98" s="424">
        <f>IF(Year2_SouthEast Year2_Adoption_LAC_Adopted="","",Year2_SouthEast Year2_Adoption_LAC_Adopted)</f>
        <v>740</v>
      </c>
      <c r="AH98" s="424">
        <f>IF(Year3_SouthEast Year3_Adoption_LAC_Adopted="","",Year3_SouthEast Year3_Adoption_LAC_Adopted)</f>
        <v>660</v>
      </c>
      <c r="AI98" s="424">
        <f>IF(Year4_SouthEast Year4_Adoption_LAC_Adopted="","",Year4_SouthEast Year4_Adoption_LAC_Adopted)</f>
        <v>610</v>
      </c>
      <c r="AJ98" s="637">
        <f>IF(Year5_SouthEast Year5_Adoption_LAC_Adopted="","",Year5_SouthEast Year5_Adoption_LAC_Adopted)</f>
        <v>530</v>
      </c>
      <c r="AK98" s="179"/>
    </row>
    <row r="99" spans="1:51" s="101" customFormat="1" ht="12.75" customHeight="1" x14ac:dyDescent="0.2">
      <c r="A99" s="138"/>
      <c r="B99" s="370" t="str">
        <f t="shared" si="14"/>
        <v>England</v>
      </c>
      <c r="C99" s="97"/>
      <c r="D99" s="401">
        <f t="shared" si="18"/>
        <v>0.16503267973856209</v>
      </c>
      <c r="E99" s="401">
        <f t="shared" si="19"/>
        <v>0.17097288676236044</v>
      </c>
      <c r="F99" s="401">
        <f t="shared" si="20"/>
        <v>0.14788069073783361</v>
      </c>
      <c r="G99" s="401">
        <f t="shared" si="21"/>
        <v>0.13912766634829671</v>
      </c>
      <c r="H99" s="402">
        <f t="shared" si="22"/>
        <v>0.12793034159410582</v>
      </c>
      <c r="I99" s="115"/>
      <c r="J99" s="115"/>
      <c r="K99" s="188"/>
      <c r="L99" s="188"/>
      <c r="M99" s="188"/>
      <c r="N99" s="188"/>
      <c r="O99" s="188"/>
      <c r="P99" s="188"/>
      <c r="Q99" s="189"/>
      <c r="R99" s="177"/>
      <c r="S99" s="177"/>
      <c r="T99" s="177"/>
      <c r="U99" s="190"/>
      <c r="V99" s="139"/>
      <c r="W99" s="154"/>
      <c r="X99" s="170"/>
      <c r="Y99" s="491" t="str">
        <f t="shared" si="16"/>
        <v>England</v>
      </c>
      <c r="Z99" s="719">
        <f>IF(Year1_England Year1_Adoption_ceased_LAC="","",Year1_England Year1_Adoption_ceased_LAC)</f>
        <v>30600</v>
      </c>
      <c r="AA99" s="716">
        <f>IF(Year2_England Year2_Adoption_ceased_LAC="","",Year2_England Year2_Adoption_ceased_LAC)</f>
        <v>31350</v>
      </c>
      <c r="AB99" s="716">
        <f>IF(Year3_England Year3_Adoption_ceased_LAC="","",Year3_England Year3_Adoption_ceased_LAC)</f>
        <v>31850</v>
      </c>
      <c r="AC99" s="424">
        <f>IF(Year4_England Year4_Adoption_ceased_LAC="","",Year4_England Year4_Adoption_ceased_LAC)</f>
        <v>31410</v>
      </c>
      <c r="AD99" s="424">
        <f>IF(Year5_England Year5_Adoption_ceased_LAC="","",Year5_England Year5_Adoption_ceased_LAC)</f>
        <v>29860</v>
      </c>
      <c r="AE99" s="424" t="str">
        <f t="shared" si="17"/>
        <v>England</v>
      </c>
      <c r="AF99" s="662">
        <f>IF(Year1_England Year1_Adoption_LAC_Adopted="","",Year1_England Year1_Adoption_LAC_Adopted)</f>
        <v>5050</v>
      </c>
      <c r="AG99" s="662">
        <f>IF(Year2_England Year2_Adoption_LAC_Adopted="","",Year2_England Year2_Adoption_LAC_Adopted)</f>
        <v>5360</v>
      </c>
      <c r="AH99" s="424">
        <f>IF(Year3_England Year3_Adoption_LAC_Adopted="","",Year3_England Year3_Adoption_LAC_Adopted)</f>
        <v>4710</v>
      </c>
      <c r="AI99" s="424">
        <f>IF(Year4_England Year4_Adoption_LAC_Adopted="","",Year4_England Year4_Adoption_LAC_Adopted)</f>
        <v>4370</v>
      </c>
      <c r="AJ99" s="637">
        <f>IF(Year5_England Year5_Adoption_LAC_Adopted="","",Year5_England Year5_Adoption_LAC_Adopted)</f>
        <v>3820</v>
      </c>
      <c r="AK99" s="178"/>
    </row>
    <row r="100" spans="1:51" s="101" customFormat="1" ht="7.5" customHeight="1" x14ac:dyDescent="0.2">
      <c r="A100" s="324"/>
      <c r="B100" s="115"/>
      <c r="C100" s="115"/>
      <c r="D100" s="115"/>
      <c r="E100" s="115"/>
      <c r="F100" s="115"/>
      <c r="G100" s="115"/>
      <c r="H100" s="115"/>
      <c r="I100" s="115"/>
      <c r="J100" s="115"/>
      <c r="K100" s="188"/>
      <c r="L100" s="188"/>
      <c r="M100" s="188"/>
      <c r="N100" s="188"/>
      <c r="O100" s="188"/>
      <c r="P100" s="188"/>
      <c r="Q100" s="189"/>
      <c r="R100" s="177"/>
      <c r="S100" s="177"/>
      <c r="T100" s="177"/>
      <c r="U100" s="190"/>
      <c r="V100" s="139"/>
      <c r="W100" s="154"/>
      <c r="X100" s="170"/>
      <c r="Y100" s="88"/>
      <c r="Z100" s="88"/>
      <c r="AA100" s="223"/>
      <c r="AB100" s="223"/>
      <c r="AC100" s="224"/>
      <c r="AD100" s="224"/>
      <c r="AJ100" s="210"/>
      <c r="AK100" s="178"/>
    </row>
    <row r="101" spans="1:51" s="88" customFormat="1" ht="38.25" customHeight="1" x14ac:dyDescent="0.2">
      <c r="A101" s="249"/>
      <c r="B101" s="452"/>
      <c r="C101" s="452"/>
      <c r="D101" s="452"/>
      <c r="E101" s="452"/>
      <c r="F101" s="452"/>
      <c r="G101" s="452"/>
      <c r="H101" s="452"/>
      <c r="I101" s="452"/>
      <c r="J101" s="192"/>
      <c r="K101" s="192"/>
      <c r="L101" s="192"/>
      <c r="M101" s="192"/>
      <c r="N101" s="192"/>
      <c r="O101" s="192"/>
      <c r="P101" s="192"/>
      <c r="Q101" s="151"/>
      <c r="R101" s="192"/>
      <c r="S101" s="192"/>
      <c r="T101" s="192"/>
      <c r="U101" s="192"/>
      <c r="V101" s="134"/>
      <c r="W101" s="152"/>
      <c r="X101" s="168"/>
      <c r="AD101" s="224"/>
      <c r="AE101" s="226"/>
      <c r="AF101" s="210"/>
      <c r="AG101" s="210"/>
      <c r="AH101" s="210"/>
      <c r="AJ101" s="210"/>
      <c r="AK101" s="179"/>
    </row>
    <row r="102" spans="1:51" s="88" customFormat="1" ht="39" customHeight="1" x14ac:dyDescent="0.2">
      <c r="A102" s="249"/>
      <c r="B102" s="452"/>
      <c r="C102" s="452"/>
      <c r="D102" s="452"/>
      <c r="E102" s="452"/>
      <c r="F102" s="452"/>
      <c r="G102" s="452"/>
      <c r="H102" s="452"/>
      <c r="I102" s="452"/>
      <c r="J102" s="192"/>
      <c r="K102" s="192"/>
      <c r="L102" s="192"/>
      <c r="M102" s="192"/>
      <c r="N102" s="192"/>
      <c r="O102" s="192"/>
      <c r="P102" s="192"/>
      <c r="Q102" s="151"/>
      <c r="R102" s="192"/>
      <c r="S102" s="192"/>
      <c r="T102" s="192"/>
      <c r="U102" s="192"/>
      <c r="V102" s="134"/>
      <c r="W102" s="152"/>
      <c r="X102" s="168"/>
      <c r="Z102" s="217"/>
      <c r="AE102" s="226"/>
      <c r="AF102" s="210"/>
      <c r="AG102" s="210"/>
      <c r="AH102" s="210"/>
      <c r="AJ102" s="210"/>
      <c r="AK102" s="179"/>
    </row>
    <row r="103" spans="1:51" s="88" customFormat="1" ht="38.25" customHeight="1" x14ac:dyDescent="0.2">
      <c r="A103" s="249"/>
      <c r="B103" s="452"/>
      <c r="C103" s="452"/>
      <c r="D103" s="452"/>
      <c r="E103" s="452"/>
      <c r="F103" s="452"/>
      <c r="G103" s="452"/>
      <c r="H103" s="452"/>
      <c r="I103" s="452"/>
      <c r="J103" s="192"/>
      <c r="K103" s="192"/>
      <c r="L103" s="192"/>
      <c r="M103" s="192"/>
      <c r="N103" s="192"/>
      <c r="O103" s="192"/>
      <c r="P103" s="192"/>
      <c r="Q103" s="151"/>
      <c r="R103" s="192"/>
      <c r="S103" s="192"/>
      <c r="T103" s="192"/>
      <c r="U103" s="192"/>
      <c r="V103" s="134"/>
      <c r="W103" s="152"/>
      <c r="X103" s="168"/>
      <c r="Z103" s="217"/>
      <c r="AE103" s="226"/>
      <c r="AF103" s="210"/>
      <c r="AG103" s="210"/>
      <c r="AH103" s="210"/>
      <c r="AJ103" s="210"/>
      <c r="AK103" s="179"/>
    </row>
    <row r="104" spans="1:51" s="88" customFormat="1" ht="7.5" customHeight="1" x14ac:dyDescent="0.2">
      <c r="A104" s="135"/>
      <c r="B104" s="18"/>
      <c r="C104" s="18"/>
      <c r="D104" s="17"/>
      <c r="E104" s="17"/>
      <c r="F104" s="17"/>
      <c r="G104" s="17"/>
      <c r="H104" s="17"/>
      <c r="I104" s="17"/>
      <c r="J104" s="13"/>
      <c r="K104" s="19"/>
      <c r="L104" s="19"/>
      <c r="M104" s="19"/>
      <c r="N104" s="19"/>
      <c r="O104" s="19"/>
      <c r="P104" s="19"/>
      <c r="Q104" s="19"/>
      <c r="R104" s="19"/>
      <c r="S104" s="19"/>
      <c r="T104" s="19"/>
      <c r="U104" s="20"/>
      <c r="V104" s="134"/>
      <c r="W104" s="152"/>
      <c r="X104" s="168"/>
      <c r="Z104" s="217"/>
      <c r="AJ104" s="210"/>
      <c r="AK104" s="175"/>
      <c r="AL104" s="80"/>
      <c r="AM104" s="80"/>
      <c r="AN104" s="80"/>
      <c r="AO104" s="80"/>
      <c r="AP104" s="80"/>
      <c r="AQ104" s="80"/>
      <c r="AR104" s="80"/>
    </row>
    <row r="105" spans="1:51" s="88" customFormat="1" ht="15" customHeight="1" x14ac:dyDescent="0.2">
      <c r="A105" s="1010"/>
      <c r="B105" s="1018"/>
      <c r="C105" s="1018"/>
      <c r="D105" s="1018"/>
      <c r="E105" s="1018"/>
      <c r="F105" s="1018"/>
      <c r="G105" s="1018"/>
      <c r="H105" s="1018"/>
      <c r="I105" s="1018"/>
      <c r="J105" s="1018"/>
      <c r="K105" s="1018"/>
      <c r="L105" s="1018"/>
      <c r="M105" s="1018"/>
      <c r="N105" s="1018"/>
      <c r="O105" s="1018"/>
      <c r="P105" s="1018"/>
      <c r="Q105" s="1018"/>
      <c r="R105" s="1018"/>
      <c r="S105" s="1018"/>
      <c r="T105" s="1018"/>
      <c r="U105" s="1018"/>
      <c r="V105" s="1019"/>
      <c r="W105" s="152"/>
      <c r="X105" s="168"/>
      <c r="AK105" s="179"/>
      <c r="AT105" s="80"/>
    </row>
    <row r="106" spans="1:51" s="88" customFormat="1" ht="11.25" customHeight="1" x14ac:dyDescent="0.2">
      <c r="A106" s="1020" t="str">
        <f>Home!$A$35</f>
        <v>LA's provide quarterly data on the condition that it is used by the benchmarking group for internal reporting only. Please DO NOT share other LA's data with any external partners or the public</v>
      </c>
      <c r="B106" s="1021"/>
      <c r="C106" s="1021"/>
      <c r="D106" s="1021"/>
      <c r="E106" s="1021"/>
      <c r="F106" s="1021"/>
      <c r="G106" s="1021"/>
      <c r="H106" s="1021"/>
      <c r="I106" s="1022"/>
      <c r="J106" s="1021"/>
      <c r="K106" s="1021"/>
      <c r="L106" s="1021"/>
      <c r="M106" s="1021"/>
      <c r="N106" s="1021"/>
      <c r="O106" s="1021"/>
      <c r="P106" s="1021"/>
      <c r="Q106" s="1021"/>
      <c r="R106" s="1021"/>
      <c r="S106" s="1022"/>
      <c r="T106" s="1067"/>
      <c r="U106" s="1021"/>
      <c r="V106" s="1023"/>
      <c r="W106" s="152"/>
      <c r="X106" s="168"/>
      <c r="AJ106" s="210"/>
      <c r="AK106" s="178"/>
      <c r="AL106" s="101"/>
      <c r="AT106" s="80"/>
    </row>
    <row r="107" spans="1:51" ht="11.25" customHeight="1" x14ac:dyDescent="0.2">
      <c r="A107" s="129"/>
      <c r="B107" s="130"/>
      <c r="C107" s="130"/>
      <c r="D107" s="130"/>
      <c r="E107" s="130"/>
      <c r="F107" s="130"/>
      <c r="G107" s="130"/>
      <c r="H107" s="130"/>
      <c r="I107" s="130"/>
      <c r="J107" s="130"/>
      <c r="K107" s="131"/>
      <c r="L107" s="130"/>
      <c r="M107" s="130"/>
      <c r="N107" s="130"/>
      <c r="O107" s="130"/>
      <c r="P107" s="130"/>
      <c r="Q107" s="130"/>
      <c r="R107" s="130"/>
      <c r="S107" s="130"/>
      <c r="T107" s="130"/>
      <c r="U107" s="130"/>
      <c r="V107" s="132"/>
      <c r="W107" s="152"/>
      <c r="X107" s="168"/>
      <c r="Y107" s="670"/>
      <c r="Z107" s="209"/>
      <c r="AA107" s="225"/>
      <c r="AB107" s="223"/>
      <c r="AC107" s="215"/>
      <c r="AJ107" s="88"/>
      <c r="AK107" s="175"/>
    </row>
    <row r="108" spans="1:51" s="82" customFormat="1" ht="15" customHeight="1" x14ac:dyDescent="0.2">
      <c r="A108" s="136"/>
      <c r="B108" s="1090" t="s">
        <v>266</v>
      </c>
      <c r="C108" s="1090"/>
      <c r="D108" s="1090"/>
      <c r="E108" s="1090"/>
      <c r="F108" s="1090"/>
      <c r="G108" s="1090"/>
      <c r="H108" s="1090"/>
      <c r="I108" s="1090"/>
      <c r="J108" s="256"/>
      <c r="K108" s="256"/>
      <c r="L108" s="70"/>
      <c r="M108" s="70"/>
      <c r="N108" s="70"/>
      <c r="O108" s="544"/>
      <c r="P108" s="70"/>
      <c r="Q108" s="70"/>
      <c r="R108" s="70"/>
      <c r="S108" s="70"/>
      <c r="T108" s="15"/>
      <c r="U108" s="15"/>
      <c r="V108" s="137"/>
      <c r="W108" s="152"/>
      <c r="X108" s="168"/>
      <c r="Y108" s="436" t="s">
        <v>269</v>
      </c>
      <c r="Z108" s="437"/>
      <c r="AC108" s="438"/>
      <c r="AD108" s="438"/>
      <c r="AE108" s="438"/>
      <c r="AF108" s="88"/>
      <c r="AG108" s="88"/>
      <c r="AH108" s="88"/>
      <c r="AI108" s="88"/>
      <c r="AJ108" s="88"/>
      <c r="AK108" s="175"/>
      <c r="AL108" s="80"/>
      <c r="AM108" s="80"/>
      <c r="AN108" s="80"/>
      <c r="AO108" s="80"/>
      <c r="AP108" s="80"/>
      <c r="AQ108" s="80"/>
      <c r="AR108" s="80"/>
      <c r="AS108" s="80"/>
      <c r="AT108" s="80"/>
      <c r="AU108" s="80"/>
      <c r="AV108" s="80"/>
      <c r="AW108" s="80"/>
      <c r="AX108" s="80"/>
      <c r="AY108" s="80"/>
    </row>
    <row r="109" spans="1:51" ht="15" customHeight="1" x14ac:dyDescent="0.2">
      <c r="A109" s="135"/>
      <c r="B109" s="1090"/>
      <c r="C109" s="1090"/>
      <c r="D109" s="1090"/>
      <c r="E109" s="1090"/>
      <c r="F109" s="1090"/>
      <c r="G109" s="1090"/>
      <c r="H109" s="1090"/>
      <c r="I109" s="1090"/>
      <c r="J109" s="256"/>
      <c r="K109" s="256"/>
      <c r="L109" s="70"/>
      <c r="M109" s="70"/>
      <c r="N109" s="70"/>
      <c r="O109" s="544"/>
      <c r="P109" s="70"/>
      <c r="Q109" s="70"/>
      <c r="R109" s="10"/>
      <c r="S109" s="70"/>
      <c r="T109" s="9"/>
      <c r="U109" s="9"/>
      <c r="V109" s="134"/>
      <c r="W109" s="152"/>
      <c r="X109" s="168"/>
      <c r="Y109" s="438"/>
      <c r="Z109" s="437"/>
      <c r="AA109" s="80"/>
      <c r="AB109" s="80"/>
      <c r="AC109" s="438"/>
      <c r="AD109" s="438"/>
      <c r="AE109" s="438"/>
      <c r="AJ109" s="88"/>
      <c r="AK109" s="175"/>
    </row>
    <row r="110" spans="1:51" s="101" customFormat="1" ht="27" customHeight="1" x14ac:dyDescent="0.2">
      <c r="A110" s="138"/>
      <c r="B110" s="540" t="s">
        <v>215</v>
      </c>
      <c r="C110" s="97"/>
      <c r="D110" s="393">
        <f>Adoption!D8</f>
        <v>2014</v>
      </c>
      <c r="E110" s="393">
        <f>Adoption!E8</f>
        <v>2015</v>
      </c>
      <c r="F110" s="393">
        <f>Adoption!F8</f>
        <v>2016</v>
      </c>
      <c r="G110" s="393">
        <f>Adoption!G8</f>
        <v>2017</v>
      </c>
      <c r="H110" s="394">
        <f>Adoption!H8</f>
        <v>2018</v>
      </c>
      <c r="I110" s="115"/>
      <c r="J110" s="115"/>
      <c r="K110" s="115"/>
      <c r="L110" s="62"/>
      <c r="M110" s="62"/>
      <c r="N110" s="62"/>
      <c r="O110" s="62"/>
      <c r="P110" s="62"/>
      <c r="Q110" s="546"/>
      <c r="R110" s="546"/>
      <c r="S110" s="547"/>
      <c r="T110" s="97"/>
      <c r="U110" s="97"/>
      <c r="V110" s="139"/>
      <c r="W110" s="152"/>
      <c r="X110" s="168"/>
      <c r="Y110" s="424"/>
      <c r="Z110" s="534">
        <f>D110</f>
        <v>2014</v>
      </c>
      <c r="AA110" s="534">
        <f>E110</f>
        <v>2015</v>
      </c>
      <c r="AB110" s="534">
        <f>F110</f>
        <v>2016</v>
      </c>
      <c r="AC110" s="534">
        <f>G110</f>
        <v>2017</v>
      </c>
      <c r="AD110" s="534">
        <f>H110</f>
        <v>2018</v>
      </c>
      <c r="AE110" s="438"/>
      <c r="AF110" s="88"/>
      <c r="AG110" s="88"/>
      <c r="AH110" s="88"/>
      <c r="AI110" s="88"/>
      <c r="AJ110" s="88"/>
      <c r="AK110" s="175"/>
      <c r="AL110" s="80"/>
      <c r="AM110" s="80"/>
      <c r="AN110" s="80"/>
      <c r="AO110" s="80"/>
      <c r="AP110" s="80"/>
      <c r="AQ110" s="80"/>
      <c r="AR110" s="80"/>
      <c r="AS110" s="80"/>
      <c r="AT110" s="80"/>
      <c r="AU110" s="80"/>
      <c r="AV110" s="80"/>
      <c r="AW110" s="80"/>
      <c r="AX110" s="80"/>
      <c r="AY110" s="80"/>
    </row>
    <row r="111" spans="1:51" s="101" customFormat="1" ht="12.75" customHeight="1" x14ac:dyDescent="0.2">
      <c r="A111" s="609">
        <f>VLOOKUP(B111,Sheet1!$B$4:$C$25,2,FALSE)</f>
        <v>0</v>
      </c>
      <c r="B111" s="112" t="str">
        <f>Adoption!B76</f>
        <v>Bracknell Forest</v>
      </c>
      <c r="C111" s="97"/>
      <c r="D111" s="182" t="e">
        <f>IF(AND(ISNUMBER(Adoption!Z76),ISNUMBER(Z111)),Z111/Adoption!Z76,NA())</f>
        <v>#N/A</v>
      </c>
      <c r="E111" s="182" t="e">
        <f>IF(AND(ISNUMBER(Adoption!AA76),ISNUMBER(AA111)),AA111/Adoption!AA76,NA())</f>
        <v>#N/A</v>
      </c>
      <c r="F111" s="182" t="e">
        <f>IF(AND(ISNUMBER(Adoption!AB76),ISNUMBER(AB111)),AB111/Adoption!AB76,NA())</f>
        <v>#N/A</v>
      </c>
      <c r="G111" s="182" t="e">
        <f>IF(AND(ISNUMBER(Adoption!AC76),ISNUMBER(AC111)),AC111/Adoption!AC76,NA())</f>
        <v>#N/A</v>
      </c>
      <c r="H111" s="184" t="e">
        <f>IF(AND(ISNUMBER(Adoption!AD76),ISNUMBER(AD111)),AD111/Adoption!AD76,NA())</f>
        <v>#N/A</v>
      </c>
      <c r="I111" s="115"/>
      <c r="J111" s="115"/>
      <c r="K111" s="115"/>
      <c r="L111" s="186"/>
      <c r="M111" s="186"/>
      <c r="N111" s="186"/>
      <c r="O111" s="186"/>
      <c r="P111" s="186"/>
      <c r="Q111" s="186"/>
      <c r="R111" s="187"/>
      <c r="S111" s="186"/>
      <c r="T111" s="97"/>
      <c r="U111" s="97"/>
      <c r="V111" s="139"/>
      <c r="W111" s="152"/>
      <c r="X111" s="168"/>
      <c r="Y111" s="424" t="str">
        <f t="shared" ref="Y111:Y134" si="23">B111</f>
        <v>Bracknell Forest</v>
      </c>
      <c r="Z111" s="424" t="str">
        <f>IF(Year1_Bracknell_Forest Year1_ROSGO_ceased_LAC_CAO="","",Year1_Bracknell_Forest Year1_ROSGO_ceased_LAC_CAO)</f>
        <v>x</v>
      </c>
      <c r="AA111" s="424" t="str">
        <f>IF(Year2_Bracknell_Forest Year2_ROSGO_ceased_LAC_CAO="","",Year2_Bracknell_Forest Year2_ROSGO_ceased_LAC_CAO)</f>
        <v>x</v>
      </c>
      <c r="AB111" s="424" t="str">
        <f>IF(Year3_Bracknell_Forest Year3_ROSGO_ceased_LAC_CAO="","",Year3_Bracknell_Forest Year3_ROSGO_ceased_LAC_CAO)</f>
        <v>x</v>
      </c>
      <c r="AC111" s="424" t="str">
        <f>IF(Year4_Bracknell_Forest Year4_ROSGO_ceased_LAC_CAO="","",Year4_Bracknell_Forest Year4_ROSGO_ceased_LAC_CAO)</f>
        <v>x</v>
      </c>
      <c r="AD111" s="424" t="str">
        <f>IF(Year5_Bracknell_Forest Year5_ROSGO_ceased_LAC_CAO="","",Year5_Bracknell_Forest Year5_ROSGO_ceased_LAC_CAO)</f>
        <v>x</v>
      </c>
      <c r="AE111" s="438"/>
      <c r="AF111" s="88"/>
      <c r="AG111" s="88"/>
      <c r="AH111" s="88"/>
      <c r="AI111" s="88"/>
      <c r="AJ111" s="88"/>
      <c r="AK111" s="175"/>
      <c r="AL111" s="80"/>
      <c r="AM111" s="80"/>
      <c r="AN111" s="80"/>
      <c r="AO111" s="80"/>
      <c r="AP111" s="80"/>
      <c r="AQ111" s="80"/>
      <c r="AR111" s="80"/>
      <c r="AS111" s="80"/>
      <c r="AT111" s="80"/>
      <c r="AU111" s="80"/>
      <c r="AV111" s="80"/>
      <c r="AW111" s="80"/>
      <c r="AX111" s="80"/>
      <c r="AY111" s="80"/>
    </row>
    <row r="112" spans="1:51" s="101" customFormat="1" ht="12.75" customHeight="1" x14ac:dyDescent="0.2">
      <c r="A112" s="609">
        <f>VLOOKUP(B112,Sheet1!$B$4:$C$25,2,FALSE)</f>
        <v>0</v>
      </c>
      <c r="B112" s="112" t="str">
        <f>Adoption!B77</f>
        <v>Brighton &amp; Hove</v>
      </c>
      <c r="C112" s="97"/>
      <c r="D112" s="182" t="e">
        <f>IF(AND(ISNUMBER(Adoption!Z77),ISNUMBER(Z112)),Z112/Adoption!Z77,NA())</f>
        <v>#N/A</v>
      </c>
      <c r="E112" s="182">
        <f>IF(AND(ISNUMBER(Adoption!AA77),ISNUMBER(AA112)),AA112/Adoption!AA77,NA())</f>
        <v>2.6041666666666668E-2</v>
      </c>
      <c r="F112" s="182" t="e">
        <f>IF(AND(ISNUMBER(Adoption!AB77),ISNUMBER(AB112)),AB112/Adoption!AB77,NA())</f>
        <v>#N/A</v>
      </c>
      <c r="G112" s="182" t="e">
        <f>IF(AND(ISNUMBER(Adoption!AC77),ISNUMBER(AC112)),AC112/Adoption!AC77,NA())</f>
        <v>#N/A</v>
      </c>
      <c r="H112" s="184">
        <f>IF(AND(ISNUMBER(Adoption!AD77),ISNUMBER(AD112)),AD112/Adoption!AD77,NA())</f>
        <v>3.9772727272727272E-2</v>
      </c>
      <c r="I112" s="115"/>
      <c r="J112" s="115"/>
      <c r="K112" s="115"/>
      <c r="L112" s="186"/>
      <c r="M112" s="186"/>
      <c r="N112" s="186"/>
      <c r="O112" s="186"/>
      <c r="P112" s="186"/>
      <c r="Q112" s="186"/>
      <c r="R112" s="187"/>
      <c r="S112" s="186"/>
      <c r="T112" s="97"/>
      <c r="U112" s="97"/>
      <c r="V112" s="139"/>
      <c r="W112" s="152"/>
      <c r="X112" s="168"/>
      <c r="Y112" s="424" t="str">
        <f t="shared" si="23"/>
        <v>Brighton &amp; Hove</v>
      </c>
      <c r="Z112" s="424" t="str">
        <f>IF(Year1_Brighton_Hove Year1_ROSGO_ceased_LAC_CAO="","",Year1_Brighton_Hove Year1_ROSGO_ceased_LAC_CAO)</f>
        <v>x</v>
      </c>
      <c r="AA112" s="424">
        <f>IF(Year2_Brighton_Hove Year2_ROSGO_ceased_LAC_CAO="","",Year2_Brighton_Hove Year2_ROSGO_ceased_LAC_CAO)</f>
        <v>5</v>
      </c>
      <c r="AB112" s="424" t="str">
        <f>IF(Year3_Brighton_Hove Year3_ROSGO_ceased_LAC_CAO="","",Year3_Brighton_Hove Year3_ROSGO_ceased_LAC_CAO)</f>
        <v>x</v>
      </c>
      <c r="AC112" s="424" t="str">
        <f>IF(Year4_Brighton_Hove Year4_ROSGO_ceased_LAC_CAO="","",Year4_Brighton_Hove Year4_ROSGO_ceased_LAC_CAO)</f>
        <v>x</v>
      </c>
      <c r="AD112" s="424">
        <f>IF(Year5_Brighton_Hove Year5_ROSGO_ceased_LAC_CAO="","",Year5_Brighton_Hove Year5_ROSGO_ceased_LAC_CAO)</f>
        <v>7</v>
      </c>
      <c r="AE112" s="438"/>
      <c r="AF112" s="88"/>
      <c r="AG112" s="88"/>
      <c r="AH112" s="88"/>
      <c r="AI112" s="88"/>
      <c r="AJ112" s="88"/>
      <c r="AK112" s="175"/>
      <c r="AL112" s="80"/>
      <c r="AM112" s="80"/>
      <c r="AN112" s="80"/>
      <c r="AO112" s="80"/>
      <c r="AP112" s="80"/>
      <c r="AQ112" s="80"/>
      <c r="AR112" s="80"/>
      <c r="AS112" s="80"/>
      <c r="AT112" s="80"/>
      <c r="AU112" s="80"/>
      <c r="AV112" s="80"/>
      <c r="AW112" s="80"/>
      <c r="AX112" s="80"/>
      <c r="AY112" s="80"/>
    </row>
    <row r="113" spans="1:51" s="101" customFormat="1" ht="12.75" customHeight="1" x14ac:dyDescent="0.2">
      <c r="A113" s="609">
        <f>VLOOKUP(B113,Sheet1!$B$4:$C$25,2,FALSE)</f>
        <v>0</v>
      </c>
      <c r="B113" s="112" t="str">
        <f>Adoption!B78</f>
        <v>Buckinghamshire</v>
      </c>
      <c r="C113" s="97"/>
      <c r="D113" s="182" t="e">
        <f>IF(AND(ISNUMBER(Adoption!Z78),ISNUMBER(Z113)),Z113/Adoption!Z78,NA())</f>
        <v>#N/A</v>
      </c>
      <c r="E113" s="182" t="e">
        <f>IF(AND(ISNUMBER(Adoption!AA78),ISNUMBER(AA113)),AA113/Adoption!AA78,NA())</f>
        <v>#N/A</v>
      </c>
      <c r="F113" s="182">
        <f>IF(AND(ISNUMBER(Adoption!AB78),ISNUMBER(AB113)),AB113/Adoption!AB78,NA())</f>
        <v>2.2026431718061675E-2</v>
      </c>
      <c r="G113" s="182">
        <f>IF(AND(ISNUMBER(Adoption!AC78),ISNUMBER(AC113)),AC113/Adoption!AC78,NA())</f>
        <v>3.7209302325581395E-2</v>
      </c>
      <c r="H113" s="184" t="e">
        <f>IF(AND(ISNUMBER(Adoption!AD78),ISNUMBER(AD113)),AD113/Adoption!AD78,NA())</f>
        <v>#N/A</v>
      </c>
      <c r="I113" s="115"/>
      <c r="J113" s="115"/>
      <c r="K113" s="115"/>
      <c r="L113" s="186"/>
      <c r="M113" s="186"/>
      <c r="N113" s="186"/>
      <c r="O113" s="186"/>
      <c r="P113" s="186"/>
      <c r="Q113" s="186"/>
      <c r="R113" s="187"/>
      <c r="S113" s="186"/>
      <c r="T113" s="97"/>
      <c r="U113" s="97"/>
      <c r="V113" s="139"/>
      <c r="W113" s="152"/>
      <c r="X113" s="168"/>
      <c r="Y113" s="424" t="str">
        <f t="shared" si="23"/>
        <v>Buckinghamshire</v>
      </c>
      <c r="Z113" s="424" t="str">
        <f>IF(Year1_Buckinghamshire Year1_ROSGO_ceased_LAC_CAO="","",Year1_Buckinghamshire Year1_ROSGO_ceased_LAC_CAO)</f>
        <v>x</v>
      </c>
      <c r="AA113" s="424" t="str">
        <f>IF(Year2_Buckinghamshire Year2_ROSGO_ceased_LAC_CAO="","",Year2_Buckinghamshire Year2_ROSGO_ceased_LAC_CAO)</f>
        <v>x</v>
      </c>
      <c r="AB113" s="424">
        <f>IF(Year3_Buckinghamshire Year3_ROSGO_ceased_LAC_CAO="","",Year3_Buckinghamshire Year3_ROSGO_ceased_LAC_CAO)</f>
        <v>5</v>
      </c>
      <c r="AC113" s="424">
        <f>IF(Year4_Buckinghamshire Year4_ROSGO_ceased_LAC_CAO="","",Year4_Buckinghamshire Year4_ROSGO_ceased_LAC_CAO)</f>
        <v>8</v>
      </c>
      <c r="AD113" s="424" t="str">
        <f>IF(Year5_Buckinghamshire Year5_ROSGO_ceased_LAC_CAO="","",Year5_Buckinghamshire Year5_ROSGO_ceased_LAC_CAO)</f>
        <v>x</v>
      </c>
      <c r="AE113" s="438"/>
      <c r="AF113" s="88"/>
      <c r="AG113" s="88"/>
      <c r="AH113" s="88"/>
      <c r="AI113" s="88"/>
      <c r="AJ113" s="88"/>
      <c r="AK113" s="175"/>
      <c r="AL113" s="80"/>
      <c r="AM113" s="80"/>
      <c r="AN113" s="80"/>
      <c r="AO113" s="80"/>
      <c r="AP113" s="80"/>
      <c r="AQ113" s="80"/>
      <c r="AR113" s="80"/>
      <c r="AS113" s="80"/>
      <c r="AT113" s="80"/>
      <c r="AU113" s="80"/>
      <c r="AV113" s="80"/>
      <c r="AW113" s="80"/>
      <c r="AX113" s="80"/>
      <c r="AY113" s="80"/>
    </row>
    <row r="114" spans="1:51" s="101" customFormat="1" ht="12.75" customHeight="1" x14ac:dyDescent="0.2">
      <c r="A114" s="609">
        <f>VLOOKUP(B114,Sheet1!$B$4:$C$25,2,FALSE)</f>
        <v>0</v>
      </c>
      <c r="B114" s="112" t="str">
        <f>Adoption!B79</f>
        <v>East Sussex</v>
      </c>
      <c r="C114" s="97"/>
      <c r="D114" s="182" t="e">
        <f>IF(AND(ISNUMBER(Adoption!Z79),ISNUMBER(Z114)),Z114/Adoption!Z79,NA())</f>
        <v>#N/A</v>
      </c>
      <c r="E114" s="182">
        <f>IF(AND(ISNUMBER(Adoption!AA79),ISNUMBER(AA114)),AA114/Adoption!AA79,NA())</f>
        <v>5.2910052910052907E-2</v>
      </c>
      <c r="F114" s="182" t="e">
        <f>IF(AND(ISNUMBER(Adoption!AB79),ISNUMBER(AB114)),AB114/Adoption!AB79,NA())</f>
        <v>#N/A</v>
      </c>
      <c r="G114" s="182" t="e">
        <f>IF(AND(ISNUMBER(Adoption!AC79),ISNUMBER(AC114)),AC114/Adoption!AC79,NA())</f>
        <v>#N/A</v>
      </c>
      <c r="H114" s="184" t="e">
        <f>IF(AND(ISNUMBER(Adoption!AD79),ISNUMBER(AD114)),AD114/Adoption!AD79,NA())</f>
        <v>#N/A</v>
      </c>
      <c r="I114" s="115"/>
      <c r="J114" s="115"/>
      <c r="K114" s="115"/>
      <c r="L114" s="186"/>
      <c r="M114" s="186"/>
      <c r="N114" s="186"/>
      <c r="O114" s="186"/>
      <c r="P114" s="186"/>
      <c r="Q114" s="186"/>
      <c r="R114" s="187"/>
      <c r="S114" s="186"/>
      <c r="T114" s="97"/>
      <c r="U114" s="97"/>
      <c r="V114" s="139"/>
      <c r="W114" s="152"/>
      <c r="X114" s="168"/>
      <c r="Y114" s="424" t="str">
        <f t="shared" si="23"/>
        <v>East Sussex</v>
      </c>
      <c r="Z114" s="424" t="str">
        <f>IF(Year1_East_Sussex Year1_ROSGO_ceased_LAC_CAO="","",Year1_East_Sussex Year1_ROSGO_ceased_LAC_CAO)</f>
        <v>x</v>
      </c>
      <c r="AA114" s="424">
        <f>IF(Year2_East_Sussex Year2_ROSGO_ceased_LAC_CAO="","",Year2_East_Sussex Year2_ROSGO_ceased_LAC_CAO)</f>
        <v>10</v>
      </c>
      <c r="AB114" s="424" t="str">
        <f>IF(Year3_East_Sussex Year3_ROSGO_ceased_LAC_CAO="","",Year3_East_Sussex Year3_ROSGO_ceased_LAC_CAO)</f>
        <v>x</v>
      </c>
      <c r="AC114" s="424" t="str">
        <f>IF(Year4_East_Sussex Year4_ROSGO_ceased_LAC_CAO="","",Year4_East_Sussex Year4_ROSGO_ceased_LAC_CAO)</f>
        <v>x</v>
      </c>
      <c r="AD114" s="424" t="str">
        <f>IF(Year5_East_Sussex Year5_ROSGO_ceased_LAC_CAO="","",Year5_East_Sussex Year5_ROSGO_ceased_LAC_CAO)</f>
        <v>x</v>
      </c>
      <c r="AE114" s="438"/>
      <c r="AF114" s="88"/>
      <c r="AG114" s="88"/>
      <c r="AH114" s="88"/>
      <c r="AI114" s="88"/>
      <c r="AJ114" s="88"/>
      <c r="AK114" s="175"/>
      <c r="AL114" s="80"/>
      <c r="AM114" s="80"/>
      <c r="AN114" s="80"/>
      <c r="AO114" s="80"/>
      <c r="AP114" s="80"/>
      <c r="AQ114" s="80"/>
      <c r="AR114" s="80"/>
      <c r="AS114" s="80"/>
      <c r="AT114" s="80"/>
      <c r="AU114" s="80"/>
      <c r="AV114" s="80"/>
      <c r="AW114" s="80"/>
      <c r="AX114" s="80"/>
      <c r="AY114" s="80"/>
    </row>
    <row r="115" spans="1:51" s="101" customFormat="1" ht="12.75" customHeight="1" x14ac:dyDescent="0.2">
      <c r="A115" s="533">
        <f>VLOOKUP(B115,Sheet1!$B$4:$C$25,2,FALSE)</f>
        <v>0</v>
      </c>
      <c r="B115" s="112" t="str">
        <f>Adoption!B80</f>
        <v>Hampshire</v>
      </c>
      <c r="C115" s="97"/>
      <c r="D115" s="182">
        <f>IF(AND(ISNUMBER(Adoption!Z80),ISNUMBER(Z115)),Z115/Adoption!Z80,NA())</f>
        <v>5.8411214953271028E-2</v>
      </c>
      <c r="E115" s="182">
        <f>IF(AND(ISNUMBER(Adoption!AA80),ISNUMBER(AA115)),AA115/Adoption!AA80,NA())</f>
        <v>1.8315018315018316E-2</v>
      </c>
      <c r="F115" s="182">
        <f>IF(AND(ISNUMBER(Adoption!AB80),ISNUMBER(AB115)),AB115/Adoption!AB80,NA())</f>
        <v>9.1743119266055051E-3</v>
      </c>
      <c r="G115" s="182">
        <f>IF(AND(ISNUMBER(Adoption!AC80),ISNUMBER(AC115)),AC115/Adoption!AC80,NA())</f>
        <v>3.9473684210526314E-2</v>
      </c>
      <c r="H115" s="184">
        <f>IF(AND(ISNUMBER(Adoption!AD80),ISNUMBER(AD115)),AD115/Adoption!AD80,NA())</f>
        <v>4.1237113402061855E-2</v>
      </c>
      <c r="I115" s="115"/>
      <c r="J115" s="115"/>
      <c r="K115" s="115"/>
      <c r="L115" s="186"/>
      <c r="M115" s="186"/>
      <c r="N115" s="186"/>
      <c r="O115" s="186"/>
      <c r="P115" s="186"/>
      <c r="Q115" s="186"/>
      <c r="R115" s="187"/>
      <c r="S115" s="186"/>
      <c r="T115" s="97"/>
      <c r="U115" s="97"/>
      <c r="V115" s="139"/>
      <c r="W115" s="152"/>
      <c r="X115" s="168"/>
      <c r="Y115" s="424" t="str">
        <f t="shared" si="23"/>
        <v>Hampshire</v>
      </c>
      <c r="Z115" s="424">
        <f>IF(Year1_Hampshire Year1_ROSGO_ceased_LAC_CAO="","",Year1_Hampshire Year1_ROSGO_ceased_LAC_CAO)</f>
        <v>25</v>
      </c>
      <c r="AA115" s="424">
        <f>IF(Year2_Hampshire Year2_ROSGO_ceased_LAC_CAO="","",Year2_Hampshire Year2_ROSGO_ceased_LAC_CAO)</f>
        <v>10</v>
      </c>
      <c r="AB115" s="424">
        <f>IF(Year3_Hampshire Year3_ROSGO_ceased_LAC_CAO="","",Year3_Hampshire Year3_ROSGO_ceased_LAC_CAO)</f>
        <v>5</v>
      </c>
      <c r="AC115" s="424">
        <f>IF(Year4_Hampshire Year4_ROSGO_ceased_LAC_CAO="","",Year4_Hampshire Year4_ROSGO_ceased_LAC_CAO)</f>
        <v>21</v>
      </c>
      <c r="AD115" s="424">
        <f>IF(Year5_Hampshire Year5_ROSGO_ceased_LAC_CAO="","",Year5_Hampshire Year5_ROSGO_ceased_LAC_CAO)</f>
        <v>20</v>
      </c>
      <c r="AE115" s="438"/>
      <c r="AF115" s="88"/>
      <c r="AG115" s="88"/>
      <c r="AH115" s="88"/>
      <c r="AI115" s="88"/>
      <c r="AJ115" s="88"/>
      <c r="AK115" s="175"/>
      <c r="AL115" s="80"/>
      <c r="AM115" s="80"/>
      <c r="AN115" s="80"/>
      <c r="AO115" s="80"/>
      <c r="AP115" s="80"/>
      <c r="AQ115" s="80"/>
      <c r="AR115" s="80"/>
      <c r="AS115" s="80"/>
      <c r="AT115" s="80"/>
      <c r="AU115" s="80"/>
      <c r="AV115" s="80"/>
      <c r="AW115" s="80"/>
      <c r="AX115" s="80"/>
      <c r="AY115" s="80"/>
    </row>
    <row r="116" spans="1:51" s="101" customFormat="1" ht="12.75" customHeight="1" x14ac:dyDescent="0.2">
      <c r="A116" s="533">
        <f>VLOOKUP(B116,Sheet1!$B$4:$C$25,2,FALSE)</f>
        <v>0</v>
      </c>
      <c r="B116" s="112" t="str">
        <f>Adoption!B81</f>
        <v>Isle of Wight</v>
      </c>
      <c r="C116" s="97"/>
      <c r="D116" s="182">
        <f>IF(AND(ISNUMBER(Adoption!Z81),ISNUMBER(Z116)),Z116/Adoption!Z81,NA())</f>
        <v>0.10752688172043011</v>
      </c>
      <c r="E116" s="182" t="e">
        <f>IF(AND(ISNUMBER(Adoption!AA81),ISNUMBER(AA116)),AA116/Adoption!AA81,NA())</f>
        <v>#N/A</v>
      </c>
      <c r="F116" s="182" t="e">
        <f>IF(AND(ISNUMBER(Adoption!AB81),ISNUMBER(AB116)),AB116/Adoption!AB81,NA())</f>
        <v>#N/A</v>
      </c>
      <c r="G116" s="182" t="e">
        <f>IF(AND(ISNUMBER(Adoption!AC81),ISNUMBER(AC116)),AC116/Adoption!AC81,NA())</f>
        <v>#N/A</v>
      </c>
      <c r="H116" s="184" t="e">
        <f>IF(AND(ISNUMBER(Adoption!AD81),ISNUMBER(AD116)),AD116/Adoption!AD81,NA())</f>
        <v>#N/A</v>
      </c>
      <c r="I116" s="115"/>
      <c r="J116" s="115"/>
      <c r="K116" s="115"/>
      <c r="L116" s="186"/>
      <c r="M116" s="186"/>
      <c r="N116" s="186"/>
      <c r="O116" s="186"/>
      <c r="P116" s="186"/>
      <c r="Q116" s="186"/>
      <c r="R116" s="187"/>
      <c r="S116" s="186"/>
      <c r="T116" s="97"/>
      <c r="U116" s="97"/>
      <c r="V116" s="139"/>
      <c r="W116" s="152"/>
      <c r="X116" s="168"/>
      <c r="Y116" s="424" t="str">
        <f t="shared" si="23"/>
        <v>Isle of Wight</v>
      </c>
      <c r="Z116" s="424">
        <f>IF(Year1_Isle_of_Wight Year1_ROSGO_ceased_LAC_CAO="","",Year1_Isle_of_Wight Year1_ROSGO_ceased_LAC_CAO)</f>
        <v>10</v>
      </c>
      <c r="AA116" s="424" t="str">
        <f>IF(Year2_Isle_of_Wight Year2_ROSGO_ceased_LAC_CAO="","",Year2_Isle_of_Wight Year2_ROSGO_ceased_LAC_CAO)</f>
        <v>x</v>
      </c>
      <c r="AB116" s="424" t="str">
        <f>IF(Year3_Isle_of_Wight Year3_ROSGO_ceased_LAC_CAO="","",Year3_Isle_of_Wight Year3_ROSGO_ceased_LAC_CAO)</f>
        <v>x</v>
      </c>
      <c r="AC116" s="424" t="str">
        <f>IF(Year4_Isle_of_Wight Year4_ROSGO_ceased_LAC_CAO="","",Year4_Isle_of_Wight Year4_ROSGO_ceased_LAC_CAO)</f>
        <v>x</v>
      </c>
      <c r="AD116" s="424" t="str">
        <f>IF(Year5_Isle_of_Wight Year5_ROSGO_ceased_LAC_CAO="","",Year5_Isle_of_Wight Year5_ROSGO_ceased_LAC_CAO)</f>
        <v>x</v>
      </c>
      <c r="AE116" s="438"/>
      <c r="AF116" s="88"/>
      <c r="AG116" s="88"/>
      <c r="AH116" s="88"/>
      <c r="AI116" s="88"/>
      <c r="AJ116" s="88"/>
      <c r="AK116" s="175"/>
      <c r="AL116" s="80"/>
      <c r="AM116" s="80"/>
      <c r="AN116" s="80"/>
      <c r="AO116" s="80"/>
      <c r="AP116" s="80"/>
      <c r="AQ116" s="80"/>
      <c r="AR116" s="80"/>
      <c r="AS116" s="80"/>
      <c r="AT116" s="80"/>
      <c r="AU116" s="80"/>
      <c r="AV116" s="80"/>
      <c r="AW116" s="80"/>
      <c r="AX116" s="80"/>
      <c r="AY116" s="80"/>
    </row>
    <row r="117" spans="1:51" s="101" customFormat="1" ht="12.75" customHeight="1" x14ac:dyDescent="0.2">
      <c r="A117" s="533">
        <f>VLOOKUP(B117,Sheet1!$B$4:$C$25,2,FALSE)</f>
        <v>0</v>
      </c>
      <c r="B117" s="112" t="str">
        <f>Adoption!B82</f>
        <v>Kent</v>
      </c>
      <c r="C117" s="97"/>
      <c r="D117" s="182">
        <f>IF(AND(ISNUMBER(Adoption!Z82),ISNUMBER(Z117)),Z117/Adoption!Z82,NA())</f>
        <v>5.7208237986270026E-2</v>
      </c>
      <c r="E117" s="182">
        <f>IF(AND(ISNUMBER(Adoption!AA82),ISNUMBER(AA117)),AA117/Adoption!AA82,NA())</f>
        <v>2.8506271379703536E-2</v>
      </c>
      <c r="F117" s="182">
        <f>IF(AND(ISNUMBER(Adoption!AB82),ISNUMBER(AB117)),AB117/Adoption!AB82,NA())</f>
        <v>9.3196644920782844E-3</v>
      </c>
      <c r="G117" s="182">
        <f>IF(AND(ISNUMBER(Adoption!AC82),ISNUMBER(AC117)),AC117/Adoption!AC82,NA())</f>
        <v>8.3650190114068438E-3</v>
      </c>
      <c r="H117" s="184">
        <f>IF(AND(ISNUMBER(Adoption!AD82),ISNUMBER(AD117)),AD117/Adoption!AD82,NA())</f>
        <v>1.5296367112810707E-2</v>
      </c>
      <c r="I117" s="115"/>
      <c r="J117" s="115"/>
      <c r="K117" s="115"/>
      <c r="L117" s="186"/>
      <c r="M117" s="186"/>
      <c r="N117" s="186"/>
      <c r="O117" s="186"/>
      <c r="P117" s="186"/>
      <c r="Q117" s="186"/>
      <c r="R117" s="187"/>
      <c r="S117" s="186"/>
      <c r="T117" s="97"/>
      <c r="U117" s="97"/>
      <c r="V117" s="139"/>
      <c r="W117" s="152"/>
      <c r="X117" s="168"/>
      <c r="Y117" s="424" t="str">
        <f t="shared" si="23"/>
        <v>Kent</v>
      </c>
      <c r="Z117" s="424">
        <f>IF(Year1_Kent Year1_ROSGO_ceased_LAC_CAO="","",Year1_Kent Year1_ROSGO_ceased_LAC_CAO)</f>
        <v>50</v>
      </c>
      <c r="AA117" s="424">
        <f>IF(Year2_Kent Year2_ROSGO_ceased_LAC_CAO="","",Year2_Kent Year2_ROSGO_ceased_LAC_CAO)</f>
        <v>25</v>
      </c>
      <c r="AB117" s="424">
        <f>IF(Year3_Kent Year3_ROSGO_ceased_LAC_CAO="","",Year3_Kent Year3_ROSGO_ceased_LAC_CAO)</f>
        <v>10</v>
      </c>
      <c r="AC117" s="424">
        <f>IF(Year4_Kent Year4_ROSGO_ceased_LAC_CAO="","",Year4_Kent Year4_ROSGO_ceased_LAC_CAO)</f>
        <v>11</v>
      </c>
      <c r="AD117" s="424">
        <f>IF(Year5_Kent Year5_ROSGO_ceased_LAC_CAO="","",Year5_Kent Year5_ROSGO_ceased_LAC_CAO)</f>
        <v>16</v>
      </c>
      <c r="AE117" s="438"/>
      <c r="AF117" s="88"/>
      <c r="AG117" s="88"/>
      <c r="AH117" s="88"/>
      <c r="AI117" s="88"/>
      <c r="AJ117" s="88"/>
      <c r="AK117" s="175"/>
      <c r="AL117" s="80"/>
      <c r="AM117" s="80"/>
      <c r="AN117" s="80"/>
      <c r="AO117" s="80"/>
      <c r="AP117" s="80"/>
      <c r="AQ117" s="80"/>
      <c r="AR117" s="80"/>
      <c r="AS117" s="80"/>
      <c r="AT117" s="80"/>
      <c r="AU117" s="80"/>
      <c r="AV117" s="80"/>
      <c r="AW117" s="80"/>
      <c r="AX117" s="80"/>
      <c r="AY117" s="80"/>
    </row>
    <row r="118" spans="1:51" s="101" customFormat="1" ht="12.75" customHeight="1" x14ac:dyDescent="0.2">
      <c r="A118" s="533">
        <f>VLOOKUP(B118,Sheet1!$B$4:$C$25,2,FALSE)</f>
        <v>0</v>
      </c>
      <c r="B118" s="112" t="str">
        <f>Adoption!B83</f>
        <v>Medway</v>
      </c>
      <c r="C118" s="97"/>
      <c r="D118" s="182" t="e">
        <f>IF(AND(ISNUMBER(Adoption!Z83),ISNUMBER(Z118)),Z118/Adoption!Z83,NA())</f>
        <v>#N/A</v>
      </c>
      <c r="E118" s="182">
        <f>IF(AND(ISNUMBER(Adoption!AA83),ISNUMBER(AA118)),AA118/Adoption!AA83,NA())</f>
        <v>0</v>
      </c>
      <c r="F118" s="182">
        <f>IF(AND(ISNUMBER(Adoption!AB83),ISNUMBER(AB118)),AB118/Adoption!AB83,NA())</f>
        <v>9.5238095238095233E-2</v>
      </c>
      <c r="G118" s="182">
        <f>IF(AND(ISNUMBER(Adoption!AC83),ISNUMBER(AC118)),AC118/Adoption!AC83,NA())</f>
        <v>6.4171122994652413E-2</v>
      </c>
      <c r="H118" s="184" t="e">
        <f>IF(AND(ISNUMBER(Adoption!AD83),ISNUMBER(AD118)),AD118/Adoption!AD83,NA())</f>
        <v>#N/A</v>
      </c>
      <c r="I118" s="115"/>
      <c r="J118" s="115"/>
      <c r="K118" s="115"/>
      <c r="L118" s="186"/>
      <c r="M118" s="186"/>
      <c r="N118" s="186"/>
      <c r="O118" s="186"/>
      <c r="P118" s="186"/>
      <c r="Q118" s="186"/>
      <c r="R118" s="187"/>
      <c r="S118" s="186"/>
      <c r="T118" s="97"/>
      <c r="U118" s="97"/>
      <c r="V118" s="139"/>
      <c r="W118" s="152"/>
      <c r="X118" s="168"/>
      <c r="Y118" s="424" t="str">
        <f t="shared" si="23"/>
        <v>Medway</v>
      </c>
      <c r="Z118" s="424" t="str">
        <f>IF(Year1_Medway Year1_ROSGO_ceased_LAC_CAO="","",Year1_Medway Year1_ROSGO_ceased_LAC_CAO)</f>
        <v>x</v>
      </c>
      <c r="AA118" s="424">
        <f>IF(Year2_Medway Year2_ROSGO_ceased_LAC_CAO="","",Year2_Medway Year2_ROSGO_ceased_LAC_CAO)</f>
        <v>0</v>
      </c>
      <c r="AB118" s="424">
        <f>IF(Year3_Medway Year3_ROSGO_ceased_LAC_CAO="","",Year3_Medway Year3_ROSGO_ceased_LAC_CAO)</f>
        <v>20</v>
      </c>
      <c r="AC118" s="424">
        <f>IF(Year4_Medway Year4_ROSGO_ceased_LAC_CAO="","",Year4_Medway Year4_ROSGO_ceased_LAC_CAO)</f>
        <v>12</v>
      </c>
      <c r="AD118" s="424" t="str">
        <f>IF(Year5_Medway Year5_ROSGO_ceased_LAC_CAO="","",Year5_Medway Year5_ROSGO_ceased_LAC_CAO)</f>
        <v>x</v>
      </c>
      <c r="AE118" s="438"/>
      <c r="AF118" s="88"/>
      <c r="AG118" s="88"/>
      <c r="AH118" s="88"/>
      <c r="AI118" s="88"/>
      <c r="AJ118" s="88"/>
      <c r="AK118" s="175"/>
      <c r="AL118" s="80"/>
      <c r="AM118" s="80"/>
      <c r="AN118" s="80"/>
      <c r="AO118" s="80"/>
      <c r="AP118" s="80"/>
      <c r="AQ118" s="80"/>
      <c r="AR118" s="80"/>
      <c r="AS118" s="80"/>
      <c r="AT118" s="80"/>
      <c r="AU118" s="80"/>
      <c r="AV118" s="80"/>
      <c r="AW118" s="80"/>
      <c r="AX118" s="80"/>
      <c r="AY118" s="80"/>
    </row>
    <row r="119" spans="1:51" s="101" customFormat="1" ht="12.75" customHeight="1" x14ac:dyDescent="0.2">
      <c r="A119" s="533">
        <f>VLOOKUP(B119,Sheet1!$B$4:$C$25,2,FALSE)</f>
        <v>0</v>
      </c>
      <c r="B119" s="112" t="str">
        <f>Adoption!B84</f>
        <v>Milton Keynes</v>
      </c>
      <c r="C119" s="97"/>
      <c r="D119" s="182">
        <f>IF(AND(ISNUMBER(Adoption!Z84),ISNUMBER(Z119)),Z119/Adoption!Z84,NA())</f>
        <v>6.4516129032258063E-2</v>
      </c>
      <c r="E119" s="182" t="e">
        <f>IF(AND(ISNUMBER(Adoption!AA84),ISNUMBER(AA119)),AA119/Adoption!AA84,NA())</f>
        <v>#N/A</v>
      </c>
      <c r="F119" s="182">
        <f>IF(AND(ISNUMBER(Adoption!AB84),ISNUMBER(AB119)),AB119/Adoption!AB84,NA())</f>
        <v>2.6881720430107527E-2</v>
      </c>
      <c r="G119" s="182" t="e">
        <f>IF(AND(ISNUMBER(Adoption!AC84),ISNUMBER(AC119)),AC119/Adoption!AC84,NA())</f>
        <v>#N/A</v>
      </c>
      <c r="H119" s="184" t="e">
        <f>IF(AND(ISNUMBER(Adoption!AD84),ISNUMBER(AD119)),AD119/Adoption!AD84,NA())</f>
        <v>#N/A</v>
      </c>
      <c r="I119" s="115"/>
      <c r="J119" s="115"/>
      <c r="K119" s="115"/>
      <c r="L119" s="186"/>
      <c r="M119" s="186"/>
      <c r="N119" s="186"/>
      <c r="O119" s="186"/>
      <c r="P119" s="186"/>
      <c r="Q119" s="186"/>
      <c r="R119" s="187"/>
      <c r="S119" s="186"/>
      <c r="T119" s="97"/>
      <c r="U119" s="97"/>
      <c r="V119" s="139"/>
      <c r="W119" s="152"/>
      <c r="X119" s="168"/>
      <c r="Y119" s="424" t="str">
        <f t="shared" si="23"/>
        <v>Milton Keynes</v>
      </c>
      <c r="Z119" s="424">
        <f>IF(Year1_Milton_Keynes Year1_ROSGO_ceased_LAC_CAO="","",Year1_Milton_Keynes Year1_ROSGO_ceased_LAC_CAO)</f>
        <v>10</v>
      </c>
      <c r="AA119" s="424" t="str">
        <f>IF(Year2_Milton_Keynes Year2_ROSGO_ceased_LAC_CAO="","",Year2_Milton_Keynes Year2_ROSGO_ceased_LAC_CAO)</f>
        <v>x</v>
      </c>
      <c r="AB119" s="424">
        <f>IF(Year3_Milton_Keynes Year3_ROSGO_ceased_LAC_CAO="","",Year3_Milton_Keynes Year3_ROSGO_ceased_LAC_CAO)</f>
        <v>5</v>
      </c>
      <c r="AC119" s="424" t="str">
        <f>IF(Year4_Milton_Keynes Year4_ROSGO_ceased_LAC_CAO="","",Year4_Milton_Keynes Year4_ROSGO_ceased_LAC_CAO)</f>
        <v>x</v>
      </c>
      <c r="AD119" s="424" t="str">
        <f>IF(Year5_Milton_Keynes Year5_ROSGO_ceased_LAC_CAO="","",Year5_Milton_Keynes Year5_ROSGO_ceased_LAC_CAO)</f>
        <v>x</v>
      </c>
      <c r="AE119" s="438"/>
      <c r="AF119" s="88"/>
      <c r="AG119" s="88"/>
      <c r="AH119" s="88"/>
      <c r="AI119" s="88"/>
      <c r="AJ119" s="88"/>
      <c r="AK119" s="175"/>
      <c r="AL119" s="80"/>
      <c r="AM119" s="80"/>
      <c r="AN119" s="80"/>
      <c r="AO119" s="80"/>
      <c r="AP119" s="80"/>
      <c r="AQ119" s="80"/>
      <c r="AR119" s="80"/>
      <c r="AS119" s="80"/>
      <c r="AT119" s="80"/>
      <c r="AU119" s="80"/>
      <c r="AV119" s="80"/>
      <c r="AW119" s="80"/>
      <c r="AX119" s="80"/>
      <c r="AY119" s="80"/>
    </row>
    <row r="120" spans="1:51" s="101" customFormat="1" ht="12.75" customHeight="1" x14ac:dyDescent="0.2">
      <c r="A120" s="533">
        <f>VLOOKUP(B120,Sheet1!$B$4:$C$25,2,FALSE)</f>
        <v>0</v>
      </c>
      <c r="B120" s="112" t="str">
        <f>Adoption!B85</f>
        <v>Oxfordshire</v>
      </c>
      <c r="C120" s="97"/>
      <c r="D120" s="182">
        <f>IF(AND(ISNUMBER(Adoption!Z85),ISNUMBER(Z120)),Z120/Adoption!Z85,NA())</f>
        <v>3.8314176245210725E-2</v>
      </c>
      <c r="E120" s="182">
        <f>IF(AND(ISNUMBER(Adoption!AA85),ISNUMBER(AA120)),AA120/Adoption!AA85,NA())</f>
        <v>4.0160642570281124E-2</v>
      </c>
      <c r="F120" s="182">
        <f>IF(AND(ISNUMBER(Adoption!AB85),ISNUMBER(AB120)),AB120/Adoption!AB85,NA())</f>
        <v>3.5714285714285712E-2</v>
      </c>
      <c r="G120" s="182">
        <f>IF(AND(ISNUMBER(Adoption!AC85),ISNUMBER(AC120)),AC120/Adoption!AC85,NA())</f>
        <v>6.9930069930069935E-2</v>
      </c>
      <c r="H120" s="184">
        <f>IF(AND(ISNUMBER(Adoption!AD85),ISNUMBER(AD120)),AD120/Adoption!AD85,NA())</f>
        <v>2.6936026936026935E-2</v>
      </c>
      <c r="I120" s="115"/>
      <c r="J120" s="115"/>
      <c r="K120" s="115"/>
      <c r="L120" s="186"/>
      <c r="M120" s="186"/>
      <c r="N120" s="186"/>
      <c r="O120" s="186"/>
      <c r="P120" s="186"/>
      <c r="Q120" s="186"/>
      <c r="R120" s="187"/>
      <c r="S120" s="186"/>
      <c r="T120" s="97"/>
      <c r="U120" s="97"/>
      <c r="V120" s="139"/>
      <c r="W120" s="152"/>
      <c r="X120" s="168"/>
      <c r="Y120" s="424" t="str">
        <f t="shared" si="23"/>
        <v>Oxfordshire</v>
      </c>
      <c r="Z120" s="424">
        <f>IF(Year1_Oxfordshire Year1_ROSGO_ceased_LAC_CAO="","",Year1_Oxfordshire Year1_ROSGO_ceased_LAC_CAO)</f>
        <v>10</v>
      </c>
      <c r="AA120" s="424">
        <f>IF(Year2_Oxfordshire Year2_ROSGO_ceased_LAC_CAO="","",Year2_Oxfordshire Year2_ROSGO_ceased_LAC_CAO)</f>
        <v>10</v>
      </c>
      <c r="AB120" s="424">
        <f>IF(Year3_Oxfordshire Year3_ROSGO_ceased_LAC_CAO="","",Year3_Oxfordshire Year3_ROSGO_ceased_LAC_CAO)</f>
        <v>10</v>
      </c>
      <c r="AC120" s="424">
        <f>IF(Year4_Oxfordshire Year4_ROSGO_ceased_LAC_CAO="","",Year4_Oxfordshire Year4_ROSGO_ceased_LAC_CAO)</f>
        <v>20</v>
      </c>
      <c r="AD120" s="424">
        <f>IF(Year5_Oxfordshire Year5_ROSGO_ceased_LAC_CAO="","",Year5_Oxfordshire Year5_ROSGO_ceased_LAC_CAO)</f>
        <v>8</v>
      </c>
      <c r="AE120" s="438"/>
      <c r="AF120" s="88"/>
      <c r="AG120" s="88"/>
      <c r="AH120" s="88"/>
      <c r="AI120" s="88"/>
      <c r="AJ120" s="88"/>
      <c r="AK120" s="175"/>
      <c r="AL120" s="80"/>
      <c r="AM120" s="80"/>
      <c r="AN120" s="80"/>
      <c r="AO120" s="80"/>
      <c r="AP120" s="80"/>
      <c r="AQ120" s="80"/>
      <c r="AR120" s="80"/>
      <c r="AS120" s="80"/>
      <c r="AT120" s="80"/>
      <c r="AU120" s="80"/>
      <c r="AV120" s="80"/>
      <c r="AW120" s="80"/>
      <c r="AX120" s="80"/>
      <c r="AY120" s="80"/>
    </row>
    <row r="121" spans="1:51" s="101" customFormat="1" ht="12.75" customHeight="1" x14ac:dyDescent="0.2">
      <c r="A121" s="533">
        <f>VLOOKUP(B121,Sheet1!$B$4:$C$25,2,FALSE)</f>
        <v>0</v>
      </c>
      <c r="B121" s="112" t="str">
        <f>Adoption!B86</f>
        <v>Portsmouth</v>
      </c>
      <c r="C121" s="97"/>
      <c r="D121" s="182">
        <f>IF(AND(ISNUMBER(Adoption!Z86),ISNUMBER(Z121)),Z121/Adoption!Z86,NA())</f>
        <v>3.3783783783783786E-2</v>
      </c>
      <c r="E121" s="182">
        <f>IF(AND(ISNUMBER(Adoption!AA86),ISNUMBER(AA121)),AA121/Adoption!AA86,NA())</f>
        <v>3.048780487804878E-2</v>
      </c>
      <c r="F121" s="182">
        <f>IF(AND(ISNUMBER(Adoption!AB86),ISNUMBER(AB121)),AB121/Adoption!AB86,NA())</f>
        <v>0.11904761904761904</v>
      </c>
      <c r="G121" s="182" t="e">
        <f>IF(AND(ISNUMBER(Adoption!AC86),ISNUMBER(AC121)),AC121/Adoption!AC86,NA())</f>
        <v>#N/A</v>
      </c>
      <c r="H121" s="184">
        <f>IF(AND(ISNUMBER(Adoption!AD86),ISNUMBER(AD121)),AD121/Adoption!AD86,NA())</f>
        <v>4.2780748663101602E-2</v>
      </c>
      <c r="I121" s="115"/>
      <c r="J121" s="115"/>
      <c r="K121" s="115"/>
      <c r="L121" s="186"/>
      <c r="M121" s="186"/>
      <c r="N121" s="186"/>
      <c r="O121" s="186"/>
      <c r="P121" s="186"/>
      <c r="Q121" s="186"/>
      <c r="R121" s="187"/>
      <c r="S121" s="186"/>
      <c r="T121" s="97"/>
      <c r="U121" s="97"/>
      <c r="V121" s="139"/>
      <c r="W121" s="152"/>
      <c r="X121" s="168"/>
      <c r="Y121" s="424" t="str">
        <f t="shared" si="23"/>
        <v>Portsmouth</v>
      </c>
      <c r="Z121" s="424">
        <f>IF(Year1_Portsmouth Year1_ROSGO_ceased_LAC_CAO="","",Year1_Portsmouth Year1_ROSGO_ceased_LAC_CAO)</f>
        <v>5</v>
      </c>
      <c r="AA121" s="424">
        <f>IF(Year2_Portsmouth Year2_ROSGO_ceased_LAC_CAO="","",Year2_Portsmouth Year2_ROSGO_ceased_LAC_CAO)</f>
        <v>5</v>
      </c>
      <c r="AB121" s="424">
        <f>IF(Year3_Portsmouth Year3_ROSGO_ceased_LAC_CAO="","",Year3_Portsmouth Year3_ROSGO_ceased_LAC_CAO)</f>
        <v>15</v>
      </c>
      <c r="AC121" s="424" t="str">
        <f>IF(Year4_Portsmouth Year4_ROSGO_ceased_LAC_CAO="","",Year4_Portsmouth Year4_ROSGO_ceased_LAC_CAO)</f>
        <v>x</v>
      </c>
      <c r="AD121" s="424">
        <f>IF(Year5_Portsmouth Year5_ROSGO_ceased_LAC_CAO="","",Year5_Portsmouth Year5_ROSGO_ceased_LAC_CAO)</f>
        <v>8</v>
      </c>
      <c r="AE121" s="438"/>
      <c r="AF121" s="88"/>
      <c r="AG121" s="88"/>
      <c r="AH121" s="88"/>
      <c r="AI121" s="88"/>
      <c r="AJ121" s="88"/>
      <c r="AK121" s="175"/>
      <c r="AL121" s="80"/>
      <c r="AM121" s="80"/>
      <c r="AN121" s="80"/>
      <c r="AO121" s="80"/>
      <c r="AP121" s="80"/>
      <c r="AQ121" s="80"/>
      <c r="AR121" s="80"/>
      <c r="AS121" s="80"/>
      <c r="AT121" s="80"/>
      <c r="AU121" s="80"/>
      <c r="AV121" s="80"/>
      <c r="AW121" s="80"/>
      <c r="AX121" s="80"/>
      <c r="AY121" s="80"/>
    </row>
    <row r="122" spans="1:51" s="101" customFormat="1" ht="12.75" customHeight="1" x14ac:dyDescent="0.2">
      <c r="A122" s="533">
        <f>VLOOKUP(B122,Sheet1!$B$4:$C$25,2,FALSE)</f>
        <v>0</v>
      </c>
      <c r="B122" s="112" t="str">
        <f>Adoption!B87</f>
        <v>Reading</v>
      </c>
      <c r="C122" s="97"/>
      <c r="D122" s="182" t="e">
        <f>IF(AND(ISNUMBER(Adoption!Z87),ISNUMBER(Z122)),Z122/Adoption!Z87,NA())</f>
        <v>#N/A</v>
      </c>
      <c r="E122" s="182">
        <f>IF(AND(ISNUMBER(Adoption!AA87),ISNUMBER(AA122)),AA122/Adoption!AA87,NA())</f>
        <v>0</v>
      </c>
      <c r="F122" s="182">
        <f>IF(AND(ISNUMBER(Adoption!AB87),ISNUMBER(AB122)),AB122/Adoption!AB87,NA())</f>
        <v>8.1300813008130079E-2</v>
      </c>
      <c r="G122" s="182">
        <f>IF(AND(ISNUMBER(Adoption!AC87),ISNUMBER(AC122)),AC122/Adoption!AC87,NA())</f>
        <v>0</v>
      </c>
      <c r="H122" s="184" t="e">
        <f>IF(AND(ISNUMBER(Adoption!AD87),ISNUMBER(AD122)),AD122/Adoption!AD87,NA())</f>
        <v>#N/A</v>
      </c>
      <c r="I122" s="115"/>
      <c r="J122" s="115"/>
      <c r="K122" s="115"/>
      <c r="L122" s="186"/>
      <c r="M122" s="186"/>
      <c r="N122" s="186"/>
      <c r="O122" s="186"/>
      <c r="P122" s="186"/>
      <c r="Q122" s="186"/>
      <c r="R122" s="187"/>
      <c r="S122" s="186"/>
      <c r="T122" s="97"/>
      <c r="U122" s="97"/>
      <c r="V122" s="139"/>
      <c r="W122" s="152"/>
      <c r="X122" s="168"/>
      <c r="Y122" s="424" t="str">
        <f t="shared" si="23"/>
        <v>Reading</v>
      </c>
      <c r="Z122" s="424" t="str">
        <f>IF(Year1_Reading Year1_ROSGO_ceased_LAC_CAO="","",Year1_Reading Year1_ROSGO_ceased_LAC_CAO)</f>
        <v>x</v>
      </c>
      <c r="AA122" s="424">
        <f>IF(Year2_Reading Year2_ROSGO_ceased_LAC_CAO="","",Year2_Reading Year2_ROSGO_ceased_LAC_CAO)</f>
        <v>0</v>
      </c>
      <c r="AB122" s="424">
        <f>IF(Year3_Reading Year3_ROSGO_ceased_LAC_CAO="","",Year3_Reading Year3_ROSGO_ceased_LAC_CAO)</f>
        <v>10</v>
      </c>
      <c r="AC122" s="424">
        <f>IF(Year4_Reading Year4_ROSGO_ceased_LAC_CAO="","",Year4_Reading Year4_ROSGO_ceased_LAC_CAO)</f>
        <v>0</v>
      </c>
      <c r="AD122" s="424" t="str">
        <f>IF(Year5_Reading Year5_ROSGO_ceased_LAC_CAO="","",Year5_Reading Year5_ROSGO_ceased_LAC_CAO)</f>
        <v>x</v>
      </c>
      <c r="AE122" s="438"/>
      <c r="AF122" s="88"/>
      <c r="AG122" s="88"/>
      <c r="AH122" s="88"/>
      <c r="AI122" s="88"/>
      <c r="AJ122" s="88"/>
      <c r="AK122" s="175"/>
      <c r="AL122" s="80"/>
      <c r="AM122" s="80"/>
      <c r="AN122" s="80"/>
      <c r="AO122" s="80"/>
      <c r="AP122" s="80"/>
      <c r="AQ122" s="80"/>
      <c r="AR122" s="80"/>
      <c r="AS122" s="80"/>
      <c r="AT122" s="80"/>
      <c r="AU122" s="80"/>
      <c r="AV122" s="80"/>
      <c r="AW122" s="80"/>
      <c r="AX122" s="80"/>
      <c r="AY122" s="80"/>
    </row>
    <row r="123" spans="1:51" s="101" customFormat="1" ht="12.75" customHeight="1" x14ac:dyDescent="0.2">
      <c r="A123" s="533">
        <f>VLOOKUP(B123,Sheet1!$B$4:$C$25,2,FALSE)</f>
        <v>0</v>
      </c>
      <c r="B123" s="112" t="str">
        <f>Adoption!B88</f>
        <v>Slough</v>
      </c>
      <c r="C123" s="97"/>
      <c r="D123" s="182">
        <f>IF(AND(ISNUMBER(Adoption!Z88),ISNUMBER(Z123)),Z123/Adoption!Z88,NA())</f>
        <v>4.7619047619047616E-2</v>
      </c>
      <c r="E123" s="182" t="e">
        <f>IF(AND(ISNUMBER(Adoption!AA88),ISNUMBER(AA123)),AA123/Adoption!AA88,NA())</f>
        <v>#N/A</v>
      </c>
      <c r="F123" s="182">
        <f>IF(AND(ISNUMBER(Adoption!AB88),ISNUMBER(AB123)),AB123/Adoption!AB88,NA())</f>
        <v>6.4935064935064929E-2</v>
      </c>
      <c r="G123" s="182">
        <f>IF(AND(ISNUMBER(Adoption!AC88),ISNUMBER(AC123)),AC123/Adoption!AC88,NA())</f>
        <v>8.0357142857142863E-2</v>
      </c>
      <c r="H123" s="184" t="e">
        <f>IF(AND(ISNUMBER(Adoption!AD88),ISNUMBER(AD123)),AD123/Adoption!AD88,NA())</f>
        <v>#N/A</v>
      </c>
      <c r="I123" s="115"/>
      <c r="J123" s="115"/>
      <c r="K123" s="115"/>
      <c r="L123" s="186"/>
      <c r="M123" s="186"/>
      <c r="N123" s="186"/>
      <c r="O123" s="186"/>
      <c r="P123" s="186"/>
      <c r="Q123" s="186"/>
      <c r="R123" s="187"/>
      <c r="S123" s="186"/>
      <c r="T123" s="97"/>
      <c r="U123" s="97"/>
      <c r="V123" s="139"/>
      <c r="W123" s="152"/>
      <c r="X123" s="168"/>
      <c r="Y123" s="424" t="str">
        <f t="shared" si="23"/>
        <v>Slough</v>
      </c>
      <c r="Z123" s="424">
        <f>IF(Year1_Slough Year1_ROSGO_ceased_LAC_CAO="","",Year1_Slough Year1_ROSGO_ceased_LAC_CAO)</f>
        <v>5</v>
      </c>
      <c r="AA123" s="424" t="str">
        <f>IF(Year2_Slough Year2_ROSGO_ceased_LAC_CAO="","",Year2_Slough Year2_ROSGO_ceased_LAC_CAO)</f>
        <v>x</v>
      </c>
      <c r="AB123" s="424">
        <f>IF(Year3_Slough Year3_ROSGO_ceased_LAC_CAO="","",Year3_Slough Year3_ROSGO_ceased_LAC_CAO)</f>
        <v>10</v>
      </c>
      <c r="AC123" s="424">
        <f>IF(Year4_Slough Year4_ROSGO_ceased_LAC_CAO="","",Year4_Slough Year4_ROSGO_ceased_LAC_CAO)</f>
        <v>9</v>
      </c>
      <c r="AD123" s="424" t="str">
        <f>IF(Year5_Slough Year5_ROSGO_ceased_LAC_CAO="","",Year5_Slough Year5_ROSGO_ceased_LAC_CAO)</f>
        <v>x</v>
      </c>
      <c r="AE123" s="438"/>
      <c r="AF123" s="88"/>
      <c r="AG123" s="88"/>
      <c r="AH123" s="88"/>
      <c r="AI123" s="88"/>
      <c r="AJ123" s="88"/>
      <c r="AK123" s="175"/>
      <c r="AL123" s="80"/>
      <c r="AM123" s="80"/>
      <c r="AN123" s="80"/>
      <c r="AO123" s="80"/>
      <c r="AP123" s="80"/>
      <c r="AQ123" s="80"/>
      <c r="AR123" s="80"/>
      <c r="AS123" s="80"/>
      <c r="AT123" s="80"/>
      <c r="AU123" s="80"/>
      <c r="AV123" s="80"/>
      <c r="AW123" s="80"/>
      <c r="AX123" s="80"/>
      <c r="AY123" s="80"/>
    </row>
    <row r="124" spans="1:51" s="101" customFormat="1" ht="12.75" customHeight="1" x14ac:dyDescent="0.2">
      <c r="A124" s="533">
        <f>VLOOKUP(B124,Sheet1!$B$4:$C$25,2,FALSE)</f>
        <v>0</v>
      </c>
      <c r="B124" s="112" t="str">
        <f>Adoption!B89</f>
        <v>Somerset</v>
      </c>
      <c r="C124" s="97"/>
      <c r="D124" s="182">
        <f>IF(AND(ISNUMBER(Adoption!Z89),ISNUMBER(Z124)),Z124/Adoption!Z89,NA())</f>
        <v>4.9833887043189369E-2</v>
      </c>
      <c r="E124" s="182">
        <f>IF(AND(ISNUMBER(Adoption!AA89),ISNUMBER(AA124)),AA124/Adoption!AA89,NA())</f>
        <v>1.6722408026755852E-2</v>
      </c>
      <c r="F124" s="182" t="e">
        <f>IF(AND(ISNUMBER(Adoption!AB89),ISNUMBER(AB124)),AB124/Adoption!AB89,NA())</f>
        <v>#N/A</v>
      </c>
      <c r="G124" s="182">
        <f>IF(AND(ISNUMBER(Adoption!AC89),ISNUMBER(AC124)),AC124/Adoption!AC89,NA())</f>
        <v>4.5977011494252873E-2</v>
      </c>
      <c r="H124" s="184">
        <f>IF(AND(ISNUMBER(Adoption!AD89),ISNUMBER(AD124)),AD124/Adoption!AD89,NA())</f>
        <v>2.7522935779816515E-2</v>
      </c>
      <c r="I124" s="115"/>
      <c r="J124" s="115"/>
      <c r="K124" s="115"/>
      <c r="L124" s="186"/>
      <c r="M124" s="186"/>
      <c r="N124" s="186"/>
      <c r="O124" s="186"/>
      <c r="P124" s="186"/>
      <c r="Q124" s="186"/>
      <c r="R124" s="187"/>
      <c r="S124" s="186"/>
      <c r="T124" s="97"/>
      <c r="U124" s="97"/>
      <c r="V124" s="139"/>
      <c r="W124" s="152"/>
      <c r="X124" s="168"/>
      <c r="Y124" s="424" t="str">
        <f t="shared" si="23"/>
        <v>Somerset</v>
      </c>
      <c r="Z124" s="424">
        <f>IF(Year1_Somerset Year1_ROSGO_ceased_LAC_CAO="","",Year1_Somerset Year1_ROSGO_ceased_LAC_CAO)</f>
        <v>15</v>
      </c>
      <c r="AA124" s="424">
        <f>IF(Year2_Somerset Year2_ROSGO_ceased_LAC_CAO="","",Year2_Somerset Year2_ROSGO_ceased_LAC_CAO)</f>
        <v>5</v>
      </c>
      <c r="AB124" s="424" t="str">
        <f>IF(Year3_Somerset Year3_ROSGO_ceased_LAC_CAO="","",Year3_Somerset Year3_ROSGO_ceased_LAC_CAO)</f>
        <v>x</v>
      </c>
      <c r="AC124" s="424">
        <f>IF(Year4_Somerset Year4_ROSGO_ceased_LAC_CAO="","",Year4_Somerset Year4_ROSGO_ceased_LAC_CAO)</f>
        <v>12</v>
      </c>
      <c r="AD124" s="424">
        <f>IF(Year5_Somerset Year5_ROSGO_ceased_LAC_CAO="","",Year5_Somerset Year5_ROSGO_ceased_LAC_CAO)</f>
        <v>6</v>
      </c>
      <c r="AE124" s="438"/>
      <c r="AF124" s="88"/>
      <c r="AG124" s="88"/>
      <c r="AH124" s="88"/>
      <c r="AI124" s="88"/>
      <c r="AJ124" s="88"/>
      <c r="AK124" s="175"/>
      <c r="AL124" s="80"/>
      <c r="AM124" s="80"/>
      <c r="AN124" s="80"/>
      <c r="AO124" s="80"/>
      <c r="AP124" s="80"/>
      <c r="AQ124" s="80"/>
      <c r="AR124" s="80"/>
      <c r="AS124" s="80"/>
      <c r="AT124" s="80"/>
      <c r="AU124" s="80"/>
      <c r="AV124" s="80"/>
      <c r="AW124" s="80"/>
      <c r="AX124" s="80"/>
      <c r="AY124" s="80"/>
    </row>
    <row r="125" spans="1:51" s="101" customFormat="1" ht="12.75" customHeight="1" x14ac:dyDescent="0.2">
      <c r="A125" s="533">
        <f>VLOOKUP(B125,Sheet1!$B$4:$C$25,2,FALSE)</f>
        <v>0</v>
      </c>
      <c r="B125" s="112" t="str">
        <f>Adoption!B90</f>
        <v>Southampton</v>
      </c>
      <c r="C125" s="97"/>
      <c r="D125" s="182">
        <f>IF(AND(ISNUMBER(Adoption!Z90),ISNUMBER(Z125)),Z125/Adoption!Z90,NA())</f>
        <v>0.1358695652173913</v>
      </c>
      <c r="E125" s="182">
        <f>IF(AND(ISNUMBER(Adoption!AA90),ISNUMBER(AA125)),AA125/Adoption!AA90,NA())</f>
        <v>5.2083333333333336E-2</v>
      </c>
      <c r="F125" s="182" t="e">
        <f>IF(AND(ISNUMBER(Adoption!AB90),ISNUMBER(AB125)),AB125/Adoption!AB90,NA())</f>
        <v>#N/A</v>
      </c>
      <c r="G125" s="182" t="e">
        <f>IF(AND(ISNUMBER(Adoption!AC90),ISNUMBER(AC125)),AC125/Adoption!AC90,NA())</f>
        <v>#N/A</v>
      </c>
      <c r="H125" s="184">
        <f>IF(AND(ISNUMBER(Adoption!AD90),ISNUMBER(AD125)),AD125/Adoption!AD90,NA())</f>
        <v>6.5989847715736044E-2</v>
      </c>
      <c r="I125" s="115"/>
      <c r="J125" s="115"/>
      <c r="K125" s="115"/>
      <c r="L125" s="186"/>
      <c r="M125" s="186"/>
      <c r="N125" s="186"/>
      <c r="O125" s="186"/>
      <c r="P125" s="186"/>
      <c r="Q125" s="186"/>
      <c r="R125" s="187"/>
      <c r="S125" s="186"/>
      <c r="T125" s="97"/>
      <c r="U125" s="97"/>
      <c r="V125" s="139"/>
      <c r="W125" s="152"/>
      <c r="X125" s="168"/>
      <c r="Y125" s="424" t="str">
        <f t="shared" si="23"/>
        <v>Southampton</v>
      </c>
      <c r="Z125" s="424">
        <f>IF(Year1_Southampton Year1_ROSGO_ceased_LAC_CAO="","",Year1_Southampton Year1_ROSGO_ceased_LAC_CAO)</f>
        <v>25</v>
      </c>
      <c r="AA125" s="424">
        <f>IF(Year2_Southampton Year2_ROSGO_ceased_LAC_CAO="","",Year2_Southampton Year2_ROSGO_ceased_LAC_CAO)</f>
        <v>10</v>
      </c>
      <c r="AB125" s="424" t="str">
        <f>IF(Year3_Southampton Year3_ROSGO_ceased_LAC_CAO="","",Year3_Southampton Year3_ROSGO_ceased_LAC_CAO)</f>
        <v>x</v>
      </c>
      <c r="AC125" s="424" t="str">
        <f>IF(Year4_Southampton Year4_ROSGO_ceased_LAC_CAO="","",Year4_Southampton Year4_ROSGO_ceased_LAC_CAO)</f>
        <v>x</v>
      </c>
      <c r="AD125" s="424">
        <f>IF(Year5_Southampton Year5_ROSGO_ceased_LAC_CAO="","",Year5_Southampton Year5_ROSGO_ceased_LAC_CAO)</f>
        <v>13</v>
      </c>
      <c r="AE125" s="438"/>
      <c r="AF125" s="88"/>
      <c r="AG125" s="88"/>
      <c r="AH125" s="88"/>
      <c r="AI125" s="88"/>
      <c r="AJ125" s="88"/>
      <c r="AK125" s="175"/>
      <c r="AL125" s="80"/>
      <c r="AM125" s="80"/>
      <c r="AN125" s="80"/>
      <c r="AO125" s="80"/>
      <c r="AP125" s="80"/>
      <c r="AQ125" s="80"/>
      <c r="AR125" s="80"/>
      <c r="AS125" s="80"/>
      <c r="AT125" s="80"/>
      <c r="AU125" s="80"/>
      <c r="AV125" s="80"/>
      <c r="AW125" s="80"/>
      <c r="AX125" s="80"/>
      <c r="AY125" s="80"/>
    </row>
    <row r="126" spans="1:51" s="101" customFormat="1" ht="12.75" customHeight="1" x14ac:dyDescent="0.2">
      <c r="A126" s="533">
        <f>VLOOKUP(B126,Sheet1!$B$4:$C$25,2,FALSE)</f>
        <v>0</v>
      </c>
      <c r="B126" s="112" t="str">
        <f>Adoption!B91</f>
        <v>Surrey</v>
      </c>
      <c r="C126" s="97"/>
      <c r="D126" s="182">
        <f>IF(AND(ISNUMBER(Adoption!Z91),ISNUMBER(Z126)),Z126/Adoption!Z91,NA())</f>
        <v>7.1770334928229665E-2</v>
      </c>
      <c r="E126" s="182">
        <f>IF(AND(ISNUMBER(Adoption!AA91),ISNUMBER(AA126)),AA126/Adoption!AA91,NA())</f>
        <v>1.3368983957219251E-2</v>
      </c>
      <c r="F126" s="182">
        <f>IF(AND(ISNUMBER(Adoption!AB91),ISNUMBER(AB126)),AB126/Adoption!AB91,NA())</f>
        <v>3.7037037037037035E-2</v>
      </c>
      <c r="G126" s="182">
        <f>IF(AND(ISNUMBER(Adoption!AC91),ISNUMBER(AC126)),AC126/Adoption!AC91,NA())</f>
        <v>1.6706443914081145E-2</v>
      </c>
      <c r="H126" s="184">
        <f>IF(AND(ISNUMBER(Adoption!AD91),ISNUMBER(AD126)),AD126/Adoption!AD91,NA())</f>
        <v>3.1862745098039214E-2</v>
      </c>
      <c r="I126" s="115"/>
      <c r="J126" s="115"/>
      <c r="K126" s="115"/>
      <c r="L126" s="186"/>
      <c r="M126" s="186"/>
      <c r="N126" s="186"/>
      <c r="O126" s="186"/>
      <c r="P126" s="186"/>
      <c r="Q126" s="186"/>
      <c r="R126" s="187"/>
      <c r="S126" s="186"/>
      <c r="T126" s="97"/>
      <c r="U126" s="97"/>
      <c r="V126" s="139"/>
      <c r="W126" s="152"/>
      <c r="X126" s="168"/>
      <c r="Y126" s="424" t="str">
        <f t="shared" si="23"/>
        <v>Surrey</v>
      </c>
      <c r="Z126" s="424">
        <f>IF(Year1_Surrey Year1_ROSGO_ceased_LAC_CAO="","",Year1_Surrey Year1_ROSGO_ceased_LAC_CAO)</f>
        <v>30</v>
      </c>
      <c r="AA126" s="424">
        <f>IF(Year2_Surrey Year2_ROSGO_ceased_LAC_CAO="","",Year2_Surrey Year2_ROSGO_ceased_LAC_CAO)</f>
        <v>5</v>
      </c>
      <c r="AB126" s="424">
        <f>IF(Year3_Surrey Year3_ROSGO_ceased_LAC_CAO="","",Year3_Surrey Year3_ROSGO_ceased_LAC_CAO)</f>
        <v>15</v>
      </c>
      <c r="AC126" s="424">
        <f>IF(Year4_Surrey Year4_ROSGO_ceased_LAC_CAO="","",Year4_Surrey Year4_ROSGO_ceased_LAC_CAO)</f>
        <v>7</v>
      </c>
      <c r="AD126" s="424">
        <f>IF(Year5_Surrey Year5_ROSGO_ceased_LAC_CAO="","",Year5_Surrey Year5_ROSGO_ceased_LAC_CAO)</f>
        <v>13</v>
      </c>
      <c r="AE126" s="438"/>
      <c r="AF126" s="88"/>
      <c r="AG126" s="88"/>
      <c r="AH126" s="88"/>
      <c r="AI126" s="88"/>
      <c r="AJ126" s="88"/>
      <c r="AK126" s="175"/>
      <c r="AL126" s="80"/>
      <c r="AM126" s="80"/>
      <c r="AN126" s="80"/>
      <c r="AO126" s="80"/>
      <c r="AP126" s="80"/>
      <c r="AQ126" s="80"/>
      <c r="AR126" s="80"/>
      <c r="AS126" s="80"/>
      <c r="AT126" s="80"/>
      <c r="AU126" s="80"/>
      <c r="AV126" s="80"/>
      <c r="AW126" s="80"/>
      <c r="AX126" s="80"/>
      <c r="AY126" s="80"/>
    </row>
    <row r="127" spans="1:51" s="101" customFormat="1" ht="12.75" customHeight="1" x14ac:dyDescent="0.2">
      <c r="A127" s="533">
        <f>VLOOKUP(B127,Sheet1!$B$4:$C$25,2,FALSE)</f>
        <v>0</v>
      </c>
      <c r="B127" s="112" t="str">
        <f>Adoption!B92</f>
        <v>Swindon</v>
      </c>
      <c r="C127" s="97"/>
      <c r="D127" s="182">
        <f>IF(AND(ISNUMBER(Adoption!Z92),ISNUMBER(Z127)),Z127/Adoption!Z92,NA())</f>
        <v>3.7313432835820892E-2</v>
      </c>
      <c r="E127" s="182" t="e">
        <f>IF(AND(ISNUMBER(Adoption!AA92),ISNUMBER(AA127)),AA127/Adoption!AA92,NA())</f>
        <v>#N/A</v>
      </c>
      <c r="F127" s="182" t="e">
        <f>IF(AND(ISNUMBER(Adoption!AB92),ISNUMBER(AB127)),AB127/Adoption!AB92,NA())</f>
        <v>#N/A</v>
      </c>
      <c r="G127" s="182">
        <f>IF(AND(ISNUMBER(Adoption!AC92),ISNUMBER(AC127)),AC127/Adoption!AC92,NA())</f>
        <v>6.6666666666666666E-2</v>
      </c>
      <c r="H127" s="184">
        <f>IF(AND(ISNUMBER(Adoption!AD92),ISNUMBER(AD127)),AD127/Adoption!AD92,NA())</f>
        <v>5.1612903225806452E-2</v>
      </c>
      <c r="I127" s="115"/>
      <c r="J127" s="115"/>
      <c r="K127" s="115"/>
      <c r="L127" s="186"/>
      <c r="M127" s="186"/>
      <c r="N127" s="186"/>
      <c r="O127" s="186"/>
      <c r="P127" s="186"/>
      <c r="Q127" s="186"/>
      <c r="R127" s="187"/>
      <c r="S127" s="186"/>
      <c r="T127" s="97"/>
      <c r="U127" s="97"/>
      <c r="V127" s="139"/>
      <c r="W127" s="152"/>
      <c r="X127" s="168"/>
      <c r="Y127" s="424" t="str">
        <f t="shared" si="23"/>
        <v>Swindon</v>
      </c>
      <c r="Z127" s="424">
        <f>IF(Year1_Swindon Year1_ROSGO_ceased_LAC_CAO="","",Year1_Swindon Year1_ROSGO_ceased_LAC_CAO)</f>
        <v>5</v>
      </c>
      <c r="AA127" s="424" t="str">
        <f>IF(Year2_Swindon Year2_ROSGO_ceased_LAC_CAO="","",Year2_Swindon Year2_ROSGO_ceased_LAC_CAO)</f>
        <v>x</v>
      </c>
      <c r="AB127" s="424" t="str">
        <f>IF(Year3_Swindon Year3_ROSGO_ceased_LAC_CAO="","",Year3_Swindon Year3_ROSGO_ceased_LAC_CAO)</f>
        <v>x</v>
      </c>
      <c r="AC127" s="660">
        <f>IF(Year4_Swindon Year4_ROSGO_ceased_LAC_CAO="","",Year4_Swindon Year4_ROSGO_ceased_LAC_CAO)</f>
        <v>10</v>
      </c>
      <c r="AD127" s="660">
        <f>IF(Year5_Swindon Year5_ROSGO_ceased_LAC_CAO="","",Year5_Swindon Year5_ROSGO_ceased_LAC_CAO)</f>
        <v>8</v>
      </c>
      <c r="AE127" s="438"/>
      <c r="AF127" s="88"/>
      <c r="AG127" s="88"/>
      <c r="AH127" s="88"/>
      <c r="AI127" s="88"/>
      <c r="AJ127" s="88"/>
      <c r="AK127" s="175"/>
      <c r="AL127" s="80"/>
      <c r="AM127" s="80"/>
      <c r="AN127" s="80"/>
      <c r="AO127" s="80"/>
      <c r="AP127" s="80"/>
      <c r="AQ127" s="80"/>
      <c r="AR127" s="80"/>
      <c r="AS127" s="80"/>
      <c r="AT127" s="80"/>
      <c r="AU127" s="80"/>
      <c r="AV127" s="80"/>
      <c r="AW127" s="80"/>
      <c r="AX127" s="80"/>
      <c r="AY127" s="80"/>
    </row>
    <row r="128" spans="1:51" s="101" customFormat="1" ht="12.75" customHeight="1" x14ac:dyDescent="0.2">
      <c r="A128" s="533">
        <f>VLOOKUP(B128,Sheet1!$B$4:$C$25,2,FALSE)</f>
        <v>0</v>
      </c>
      <c r="B128" s="112" t="str">
        <f>Adoption!B93</f>
        <v>Torbay</v>
      </c>
      <c r="C128" s="97"/>
      <c r="D128" s="182">
        <f>IF(AND(ISNUMBER(Adoption!Z93),ISNUMBER(Z128)),Z128/Adoption!Z93,NA())</f>
        <v>6.4102564102564097E-2</v>
      </c>
      <c r="E128" s="182">
        <f>IF(AND(ISNUMBER(Adoption!AA93),ISNUMBER(AA128)),AA128/Adoption!AA93,NA())</f>
        <v>4.0322580645161289E-2</v>
      </c>
      <c r="F128" s="182">
        <f>IF(AND(ISNUMBER(Adoption!AB93),ISNUMBER(AB128)),AB128/Adoption!AB93,NA())</f>
        <v>0.04</v>
      </c>
      <c r="G128" s="182">
        <f>IF(AND(ISNUMBER(Adoption!AC93),ISNUMBER(AC128)),AC128/Adoption!AC93,NA())</f>
        <v>0.11009174311926606</v>
      </c>
      <c r="H128" s="184">
        <f>IF(AND(ISNUMBER(Adoption!AD93),ISNUMBER(AD128)),AD128/Adoption!AD93,NA())</f>
        <v>5.8823529411764705E-2</v>
      </c>
      <c r="I128" s="115"/>
      <c r="J128" s="115"/>
      <c r="K128" s="115"/>
      <c r="L128" s="186"/>
      <c r="M128" s="186"/>
      <c r="N128" s="186"/>
      <c r="O128" s="186"/>
      <c r="P128" s="186"/>
      <c r="Q128" s="186"/>
      <c r="R128" s="187"/>
      <c r="S128" s="186"/>
      <c r="T128" s="97"/>
      <c r="U128" s="97"/>
      <c r="V128" s="139"/>
      <c r="W128" s="152"/>
      <c r="X128" s="168"/>
      <c r="Y128" s="424" t="str">
        <f t="shared" si="23"/>
        <v>Torbay</v>
      </c>
      <c r="Z128" s="424">
        <f>IF(Year1_Torbay Year1_ROSGO_ceased_LAC_CAO="","",Year1_Torbay Year1_ROSGO_ceased_LAC_CAO)</f>
        <v>10</v>
      </c>
      <c r="AA128" s="424">
        <f>IF(Year2_Torbay Year2_ROSGO_ceased_LAC_CAO="","",Year2_Torbay Year2_ROSGO_ceased_LAC_CAO)</f>
        <v>5</v>
      </c>
      <c r="AB128" s="424">
        <f>IF(Year3_Torbay Year3_ROSGO_ceased_LAC_CAO="","",Year3_Torbay Year3_ROSGO_ceased_LAC_CAO)</f>
        <v>5</v>
      </c>
      <c r="AC128" s="660">
        <f>IF(Year4_Torbay Year4_ROSGO_ceased_LAC_CAO="","",Year4_Torbay Year4_ROSGO_ceased_LAC_CAO)</f>
        <v>12</v>
      </c>
      <c r="AD128" s="660">
        <f>IF(Year5_Torbay Year5_ROSGO_ceased_LAC_CAO="","",Year5_Torbay Year5_ROSGO_ceased_LAC_CAO)</f>
        <v>6</v>
      </c>
      <c r="AE128" s="438"/>
      <c r="AF128" s="88"/>
      <c r="AG128" s="88"/>
      <c r="AH128" s="88"/>
      <c r="AI128" s="88"/>
      <c r="AJ128" s="88"/>
      <c r="AK128" s="175"/>
      <c r="AL128" s="80"/>
      <c r="AM128" s="80"/>
      <c r="AN128" s="80"/>
      <c r="AO128" s="80"/>
      <c r="AP128" s="80"/>
      <c r="AQ128" s="80"/>
      <c r="AR128" s="80"/>
      <c r="AS128" s="80"/>
      <c r="AT128" s="80"/>
      <c r="AU128" s="80"/>
      <c r="AV128" s="80"/>
      <c r="AW128" s="80"/>
      <c r="AX128" s="80"/>
      <c r="AY128" s="80"/>
    </row>
    <row r="129" spans="1:51" s="101" customFormat="1" ht="12.75" customHeight="1" x14ac:dyDescent="0.2">
      <c r="A129" s="533">
        <f>VLOOKUP(B129,Sheet1!$B$4:$C$25,2,FALSE)</f>
        <v>0</v>
      </c>
      <c r="B129" s="112" t="str">
        <f>Adoption!B94</f>
        <v>West Berkshire</v>
      </c>
      <c r="C129" s="97"/>
      <c r="D129" s="182">
        <f>IF(AND(ISNUMBER(Adoption!Z94),ISNUMBER(Z129)),Z129/Adoption!Z94,NA())</f>
        <v>0</v>
      </c>
      <c r="E129" s="182">
        <f>IF(AND(ISNUMBER(Adoption!AA94),ISNUMBER(AA129)),AA129/Adoption!AA94,NA())</f>
        <v>7.6923076923076927E-2</v>
      </c>
      <c r="F129" s="182">
        <f>IF(AND(ISNUMBER(Adoption!AB94),ISNUMBER(AB129)),AB129/Adoption!AB94,NA())</f>
        <v>0.14492753623188406</v>
      </c>
      <c r="G129" s="182">
        <f>IF(AND(ISNUMBER(Adoption!AC94),ISNUMBER(AC129)),AC129/Adoption!AC94,NA())</f>
        <v>9.45945945945946E-2</v>
      </c>
      <c r="H129" s="184">
        <f>IF(AND(ISNUMBER(Adoption!AD94),ISNUMBER(AD129)),AD129/Adoption!AD94,NA())</f>
        <v>0.10465116279069768</v>
      </c>
      <c r="I129" s="115"/>
      <c r="J129" s="115"/>
      <c r="K129" s="115"/>
      <c r="L129" s="186"/>
      <c r="M129" s="186"/>
      <c r="N129" s="186"/>
      <c r="O129" s="186"/>
      <c r="P129" s="186"/>
      <c r="Q129" s="186"/>
      <c r="R129" s="187"/>
      <c r="S129" s="186"/>
      <c r="T129" s="97"/>
      <c r="U129" s="97"/>
      <c r="V129" s="139"/>
      <c r="W129" s="152"/>
      <c r="X129" s="168"/>
      <c r="Y129" s="424" t="str">
        <f t="shared" si="23"/>
        <v>West Berkshire</v>
      </c>
      <c r="Z129" s="424">
        <f>IF(Year1_West_Berkshire Year1_ROSGO_ceased_LAC_CAO="","",Year1_West_Berkshire Year1_ROSGO_ceased_LAC_CAO)</f>
        <v>0</v>
      </c>
      <c r="AA129" s="424">
        <f>IF(Year2_West_Berkshire Year2_ROSGO_ceased_LAC_CAO="","",Year2_West_Berkshire Year2_ROSGO_ceased_LAC_CAO)</f>
        <v>5</v>
      </c>
      <c r="AB129" s="424">
        <f>IF(Year3_West_Berkshire Year3_ROSGO_ceased_LAC_CAO="","",Year3_West_Berkshire Year3_ROSGO_ceased_LAC_CAO)</f>
        <v>10</v>
      </c>
      <c r="AC129" s="424">
        <f>IF(Year4_West_Berkshire Year4_ROSGO_ceased_LAC_CAO="","",Year4_West_Berkshire Year4_ROSGO_ceased_LAC_CAO)</f>
        <v>7</v>
      </c>
      <c r="AD129" s="424">
        <f>IF(Year5_West_Berkshire Year5_ROSGO_ceased_LAC_CAO="","",Year5_West_Berkshire Year5_ROSGO_ceased_LAC_CAO)</f>
        <v>9</v>
      </c>
      <c r="AE129" s="438"/>
      <c r="AF129" s="88"/>
      <c r="AG129" s="88"/>
      <c r="AH129" s="88"/>
      <c r="AI129" s="88"/>
      <c r="AJ129" s="88"/>
      <c r="AK129" s="175"/>
      <c r="AL129" s="80"/>
      <c r="AM129" s="80"/>
      <c r="AN129" s="80"/>
      <c r="AO129" s="80"/>
      <c r="AP129" s="80"/>
      <c r="AQ129" s="80"/>
      <c r="AR129" s="80"/>
      <c r="AS129" s="80"/>
      <c r="AT129" s="80"/>
      <c r="AU129" s="80"/>
      <c r="AV129" s="80"/>
      <c r="AW129" s="80"/>
      <c r="AX129" s="80"/>
      <c r="AY129" s="80"/>
    </row>
    <row r="130" spans="1:51" s="101" customFormat="1" ht="12.75" customHeight="1" x14ac:dyDescent="0.2">
      <c r="A130" s="533">
        <f>VLOOKUP(B130,Sheet1!$B$4:$C$25,2,FALSE)</f>
        <v>0</v>
      </c>
      <c r="B130" s="112" t="str">
        <f>Adoption!B95</f>
        <v>West Sussex</v>
      </c>
      <c r="C130" s="97"/>
      <c r="D130" s="182">
        <f>IF(AND(ISNUMBER(Adoption!Z95),ISNUMBER(Z130)),Z130/Adoption!Z95,NA())</f>
        <v>3.9473684210526314E-2</v>
      </c>
      <c r="E130" s="182">
        <f>IF(AND(ISNUMBER(Adoption!AA95),ISNUMBER(AA130)),AA130/Adoption!AA95,NA())</f>
        <v>0</v>
      </c>
      <c r="F130" s="182" t="e">
        <f>IF(AND(ISNUMBER(Adoption!AB95),ISNUMBER(AB130)),AB130/Adoption!AB95,NA())</f>
        <v>#N/A</v>
      </c>
      <c r="G130" s="182">
        <f>IF(AND(ISNUMBER(Adoption!AC95),ISNUMBER(AC130)),AC130/Adoption!AC95,NA())</f>
        <v>0</v>
      </c>
      <c r="H130" s="184">
        <f>IF(AND(ISNUMBER(Adoption!AD95),ISNUMBER(AD130)),AD130/Adoption!AD95,NA())</f>
        <v>0</v>
      </c>
      <c r="I130" s="115"/>
      <c r="J130" s="115"/>
      <c r="K130" s="115"/>
      <c r="L130" s="186"/>
      <c r="M130" s="186"/>
      <c r="N130" s="186"/>
      <c r="O130" s="186"/>
      <c r="P130" s="186"/>
      <c r="Q130" s="186"/>
      <c r="R130" s="187"/>
      <c r="S130" s="186"/>
      <c r="T130" s="97"/>
      <c r="U130" s="97"/>
      <c r="V130" s="139"/>
      <c r="W130" s="152"/>
      <c r="X130" s="168"/>
      <c r="Y130" s="424" t="str">
        <f t="shared" si="23"/>
        <v>West Sussex</v>
      </c>
      <c r="Z130" s="424">
        <f>IF(Year1_West_Sussex Year1_ROSGO_ceased_LAC_CAO="","",Year1_West_Sussex Year1_ROSGO_ceased_LAC_CAO)</f>
        <v>15</v>
      </c>
      <c r="AA130" s="424">
        <f>IF(Year2_West_Sussex Year2_ROSGO_ceased_LAC_CAO="","",Year2_West_Sussex Year2_ROSGO_ceased_LAC_CAO)</f>
        <v>0</v>
      </c>
      <c r="AB130" s="424" t="str">
        <f>IF(Year3_West_Sussex Year3_ROSGO_ceased_LAC_CAO="","",Year3_West_Sussex Year3_ROSGO_ceased_LAC_CAO)</f>
        <v>x</v>
      </c>
      <c r="AC130" s="424">
        <f>IF(Year4_West_Sussex Year4_ROSGO_ceased_LAC_CAO="","",Year4_West_Sussex Year4_ROSGO_ceased_LAC_CAO)</f>
        <v>0</v>
      </c>
      <c r="AD130" s="424">
        <f>IF(Year5_West_Sussex Year5_ROSGO_ceased_LAC_CAO="","",Year5_West_Sussex Year5_ROSGO_ceased_LAC_CAO)</f>
        <v>0</v>
      </c>
      <c r="AE130" s="438"/>
      <c r="AF130" s="88"/>
      <c r="AG130" s="88"/>
      <c r="AH130" s="88"/>
      <c r="AI130" s="88"/>
      <c r="AJ130" s="88"/>
      <c r="AK130" s="175"/>
      <c r="AL130" s="80"/>
      <c r="AM130" s="80"/>
      <c r="AN130" s="80"/>
      <c r="AO130" s="80"/>
      <c r="AP130" s="80"/>
      <c r="AQ130" s="80"/>
      <c r="AR130" s="80"/>
      <c r="AS130" s="80"/>
      <c r="AT130" s="80"/>
      <c r="AU130" s="80"/>
      <c r="AV130" s="80"/>
      <c r="AW130" s="80"/>
      <c r="AX130" s="80"/>
      <c r="AY130" s="80"/>
    </row>
    <row r="131" spans="1:51" s="101" customFormat="1" ht="12.75" customHeight="1" x14ac:dyDescent="0.2">
      <c r="A131" s="533">
        <f>VLOOKUP(B131,Sheet1!$B$4:$C$25,2,FALSE)</f>
        <v>0</v>
      </c>
      <c r="B131" s="112" t="str">
        <f>Adoption!B96</f>
        <v>Windsor &amp; Maidenhead</v>
      </c>
      <c r="C131" s="97"/>
      <c r="D131" s="182">
        <f>IF(AND(ISNUMBER(Adoption!Z96),ISNUMBER(Z131)),Z131/Adoption!Z96,NA())</f>
        <v>0.21276595744680851</v>
      </c>
      <c r="E131" s="182">
        <f>IF(AND(ISNUMBER(Adoption!AA96),ISNUMBER(AA131)),AA131/Adoption!AA96,NA())</f>
        <v>0</v>
      </c>
      <c r="F131" s="182" t="e">
        <f>IF(AND(ISNUMBER(Adoption!AB96),ISNUMBER(AB131)),AB131/Adoption!AB96,NA())</f>
        <v>#N/A</v>
      </c>
      <c r="G131" s="182" t="e">
        <f>IF(AND(ISNUMBER(Adoption!AC96),ISNUMBER(AC131)),AC131/Adoption!AC96,NA())</f>
        <v>#N/A</v>
      </c>
      <c r="H131" s="184" t="e">
        <f>IF(AND(ISNUMBER(Adoption!AD96),ISNUMBER(AD131)),AD131/Adoption!AD96,NA())</f>
        <v>#N/A</v>
      </c>
      <c r="I131" s="115"/>
      <c r="J131" s="115"/>
      <c r="K131" s="115"/>
      <c r="L131" s="186"/>
      <c r="M131" s="186"/>
      <c r="N131" s="186"/>
      <c r="O131" s="186"/>
      <c r="P131" s="186"/>
      <c r="Q131" s="186"/>
      <c r="R131" s="187"/>
      <c r="S131" s="186"/>
      <c r="T131" s="97"/>
      <c r="U131" s="97"/>
      <c r="V131" s="139"/>
      <c r="W131" s="152"/>
      <c r="X131" s="168"/>
      <c r="Y131" s="424" t="str">
        <f t="shared" si="23"/>
        <v>Windsor &amp; Maidenhead</v>
      </c>
      <c r="Z131" s="424">
        <f>IF(Year1_Windsor_Maidenhead Year1_ROSGO_ceased_LAC_CAO="","",Year1_Windsor_Maidenhead Year1_ROSGO_ceased_LAC_CAO)</f>
        <v>10</v>
      </c>
      <c r="AA131" s="424">
        <f>IF(Year2_Windsor_Maidenhead Year2_ROSGO_ceased_LAC_CAO="","",Year2_Windsor_Maidenhead Year2_ROSGO_ceased_LAC_CAO)</f>
        <v>0</v>
      </c>
      <c r="AB131" s="424" t="str">
        <f>IF(Year3_Windsor_Maidenhead Year3_ROSGO_ceased_LAC_CAO="","",Year3_Windsor_Maidenhead Year3_ROSGO_ceased_LAC_CAO)</f>
        <v>x</v>
      </c>
      <c r="AC131" s="424" t="str">
        <f>IF(Year4_Windsor_Maidenhead Year4_ROSGO_ceased_LAC_CAO="","",Year4_Windsor_Maidenhead Year4_ROSGO_ceased_LAC_CAO)</f>
        <v>x</v>
      </c>
      <c r="AD131" s="424" t="str">
        <f>IF(Year5_Windsor_Maidenhead Year5_ROSGO_ceased_LAC_CAO="","",Year5_Windsor_Maidenhead Year5_ROSGO_ceased_LAC_CAO)</f>
        <v>x</v>
      </c>
      <c r="AE131" s="438"/>
      <c r="AF131" s="88"/>
      <c r="AG131" s="88"/>
      <c r="AH131" s="88"/>
      <c r="AI131" s="88"/>
      <c r="AJ131" s="88"/>
      <c r="AK131" s="175"/>
      <c r="AL131" s="80"/>
      <c r="AM131" s="80"/>
      <c r="AN131" s="80"/>
      <c r="AO131" s="80"/>
      <c r="AP131" s="80"/>
      <c r="AQ131" s="80"/>
      <c r="AR131" s="80"/>
      <c r="AS131" s="80"/>
      <c r="AT131" s="80"/>
      <c r="AU131" s="80"/>
      <c r="AV131" s="80"/>
      <c r="AW131" s="80"/>
      <c r="AX131" s="80"/>
      <c r="AY131" s="80"/>
    </row>
    <row r="132" spans="1:51" s="101" customFormat="1" ht="12.75" customHeight="1" x14ac:dyDescent="0.2">
      <c r="A132" s="533">
        <f>VLOOKUP(B132,Sheet1!$B$4:$C$25,2,FALSE)</f>
        <v>0</v>
      </c>
      <c r="B132" s="112" t="str">
        <f>Adoption!B97</f>
        <v>Wokingham</v>
      </c>
      <c r="C132" s="97"/>
      <c r="D132" s="182" t="e">
        <f>IF(AND(ISNUMBER(Adoption!Z97),ISNUMBER(Z132)),Z132/Adoption!Z97,NA())</f>
        <v>#N/A</v>
      </c>
      <c r="E132" s="182" t="e">
        <f>IF(AND(ISNUMBER(Adoption!AA97),ISNUMBER(AA132)),AA132/Adoption!AA97,NA())</f>
        <v>#N/A</v>
      </c>
      <c r="F132" s="182">
        <f>IF(AND(ISNUMBER(Adoption!AB97),ISNUMBER(AB132)),AB132/Adoption!AB97,NA())</f>
        <v>0</v>
      </c>
      <c r="G132" s="182" t="e">
        <f>IF(AND(ISNUMBER(Adoption!AC97),ISNUMBER(AC132)),AC132/Adoption!AC97,NA())</f>
        <v>#N/A</v>
      </c>
      <c r="H132" s="184">
        <f>IF(AND(ISNUMBER(Adoption!AD97),ISNUMBER(AD132)),AD132/Adoption!AD97,NA())</f>
        <v>0</v>
      </c>
      <c r="I132" s="115"/>
      <c r="J132" s="115"/>
      <c r="K132" s="115"/>
      <c r="L132" s="186"/>
      <c r="M132" s="186"/>
      <c r="N132" s="186"/>
      <c r="O132" s="186"/>
      <c r="P132" s="186"/>
      <c r="Q132" s="186"/>
      <c r="R132" s="187"/>
      <c r="S132" s="186"/>
      <c r="T132" s="97"/>
      <c r="U132" s="97"/>
      <c r="V132" s="139"/>
      <c r="W132" s="152"/>
      <c r="X132" s="168"/>
      <c r="Y132" s="424" t="str">
        <f t="shared" si="23"/>
        <v>Wokingham</v>
      </c>
      <c r="Z132" s="424" t="str">
        <f>IF(Year1_Wokingham Year1_ROSGO_ceased_LAC_CAO="","",Year1_Wokingham Year1_ROSGO_ceased_LAC_CAO)</f>
        <v>x</v>
      </c>
      <c r="AA132" s="424" t="str">
        <f>IF(Year2_Wokingham Year2_ROSGO_ceased_LAC_CAO="","",Year2_Wokingham Year2_ROSGO_ceased_LAC_CAO)</f>
        <v>x</v>
      </c>
      <c r="AB132" s="424">
        <f>IF(Year3_Wokingham Year3_ROSGO_ceased_LAC_CAO="","",Year3_Wokingham Year3_ROSGO_ceased_LAC_CAO)</f>
        <v>0</v>
      </c>
      <c r="AC132" s="424" t="str">
        <f>IF(Year4_Wokingham Year4_ROSGO_ceased_LAC_CAO="","",Year4_Wokingham Year4_ROSGO_ceased_LAC_CAO)</f>
        <v>x</v>
      </c>
      <c r="AD132" s="424">
        <f>IF(Year5_Wokingham Year5_ROSGO_ceased_LAC_CAO="","",Year5_Wokingham Year5_ROSGO_ceased_LAC_CAO)</f>
        <v>0</v>
      </c>
      <c r="AE132" s="438"/>
      <c r="AF132" s="88"/>
      <c r="AG132" s="88"/>
      <c r="AH132" s="88"/>
      <c r="AI132" s="88"/>
      <c r="AJ132" s="88"/>
      <c r="AK132" s="175"/>
      <c r="AL132" s="80"/>
      <c r="AM132" s="80"/>
      <c r="AN132" s="80"/>
      <c r="AO132" s="80"/>
      <c r="AP132" s="80"/>
      <c r="AQ132" s="80"/>
      <c r="AR132" s="80"/>
      <c r="AS132" s="80"/>
      <c r="AT132" s="80"/>
      <c r="AU132" s="80"/>
      <c r="AV132" s="80"/>
      <c r="AW132" s="80"/>
      <c r="AX132" s="80"/>
      <c r="AY132" s="80"/>
    </row>
    <row r="133" spans="1:51" s="101" customFormat="1" ht="12.75" customHeight="1" x14ac:dyDescent="0.2">
      <c r="A133" s="138"/>
      <c r="B133" s="146" t="str">
        <f>Adoption!B98</f>
        <v>South East</v>
      </c>
      <c r="C133" s="97"/>
      <c r="D133" s="183">
        <f>IF(AND(ISNUMBER(Adoption!Z98),ISNUMBER(Z133)),Z133/Adoption!Z98,NA())</f>
        <v>5.6804149172635217E-2</v>
      </c>
      <c r="E133" s="183">
        <f>IF(AND(ISNUMBER(Adoption!AA98),ISNUMBER(AA133)),AA133/Adoption!AA98,NA())</f>
        <v>2.4449877750611249E-2</v>
      </c>
      <c r="F133" s="183">
        <f>IF(AND(ISNUMBER(Adoption!AB98),ISNUMBER(AB133)),AB133/Adoption!AB98,NA())</f>
        <v>2.8017241379310345E-2</v>
      </c>
      <c r="G133" s="183">
        <f>IF(AND(ISNUMBER(Adoption!AC98),ISNUMBER(AC133)),AC133/Adoption!AC98,NA())</f>
        <v>2.7956989247311829E-2</v>
      </c>
      <c r="H133" s="185">
        <f>IF(AND(ISNUMBER(Adoption!AD98),ISNUMBER(AD133)),AD133/Adoption!AD98,NA())</f>
        <v>2.7906976744186046E-2</v>
      </c>
      <c r="I133" s="115"/>
      <c r="J133" s="115"/>
      <c r="K133" s="115"/>
      <c r="L133" s="188"/>
      <c r="M133" s="188"/>
      <c r="N133" s="188"/>
      <c r="O133" s="188"/>
      <c r="P133" s="188"/>
      <c r="Q133" s="188"/>
      <c r="R133" s="189"/>
      <c r="S133" s="190"/>
      <c r="T133" s="97"/>
      <c r="U133" s="97"/>
      <c r="V133" s="139"/>
      <c r="W133" s="152"/>
      <c r="X133" s="168"/>
      <c r="Y133" s="424" t="str">
        <f t="shared" si="23"/>
        <v>South East</v>
      </c>
      <c r="Z133" s="719">
        <f>IF(Year1_SouthEast Year1_ROSGO_ceased_LAC_CAO=0,NA(),Year1_SouthEast Year1_ROSGO_ceased_LAC_CAO)</f>
        <v>230</v>
      </c>
      <c r="AA133" s="716">
        <f>IF(Year2_SouthEast Year2_ROSGO_ceased_LAC_CAO=0,NA(),Year2_SouthEast Year2_ROSGO_ceased_LAC_CAO)</f>
        <v>100</v>
      </c>
      <c r="AB133" s="716">
        <f>IF(Year3_SouthEast Year3_ROSGO_ceased_LAC_CAO=0,NA(),Year3_SouthEast Year3_ROSGO_ceased_LAC_CAO)</f>
        <v>130</v>
      </c>
      <c r="AC133" s="424">
        <f>IF(Year4_SouthEast Year4_ROSGO_ceased_LAC_CAO=0,NA(),Year4_SouthEast Year4_ROSGO_ceased_LAC_CAO)</f>
        <v>130</v>
      </c>
      <c r="AD133" s="424">
        <f>IF(Year5_SouthEast Year5_ROSGO_ceased_LAC_CAO=0,NA(),Year5_SouthEast Year5_ROSGO_ceased_LAC_CAO)</f>
        <v>120</v>
      </c>
      <c r="AE133" s="438"/>
      <c r="AF133" s="88"/>
      <c r="AG133" s="88"/>
      <c r="AH133" s="88"/>
      <c r="AI133" s="88"/>
      <c r="AJ133" s="88"/>
      <c r="AK133" s="175"/>
      <c r="AL133" s="80"/>
      <c r="AM133" s="80"/>
      <c r="AN133" s="80"/>
      <c r="AO133" s="80"/>
      <c r="AP133" s="80"/>
      <c r="AQ133" s="80"/>
      <c r="AR133" s="80"/>
      <c r="AS133" s="80"/>
      <c r="AT133" s="80"/>
      <c r="AU133" s="80"/>
      <c r="AV133" s="80"/>
      <c r="AW133" s="80"/>
      <c r="AX133" s="80"/>
      <c r="AY133" s="80"/>
    </row>
    <row r="134" spans="1:51" s="101" customFormat="1" ht="12.75" customHeight="1" x14ac:dyDescent="0.2">
      <c r="A134" s="138"/>
      <c r="B134" s="370" t="str">
        <f>Adoption!B99</f>
        <v>England</v>
      </c>
      <c r="C134" s="97"/>
      <c r="D134" s="401">
        <f>IF(AND(ISNUMBER(Adoption!Z99),ISNUMBER(Z134)),Z134/Adoption!Z99,NA())</f>
        <v>5.5228758169934639E-2</v>
      </c>
      <c r="E134" s="401">
        <f>IF(AND(ISNUMBER(Adoption!AA99),ISNUMBER(AA134)),AA134/Adoption!AA99,NA())</f>
        <v>3.2535885167464113E-2</v>
      </c>
      <c r="F134" s="401">
        <f>IF(AND(ISNUMBER(Adoption!AB99),ISNUMBER(AB134)),AB134/Adoption!AB99,NA())</f>
        <v>3.5164835164835165E-2</v>
      </c>
      <c r="G134" s="401">
        <f>IF(AND(ISNUMBER(Adoption!AC99),ISNUMBER(AC134)),AC134/Adoption!AC99,NA())</f>
        <v>3.8204393505253106E-2</v>
      </c>
      <c r="H134" s="402">
        <f>IF(AND(ISNUMBER(Adoption!AD99),ISNUMBER(AD134)),AD134/Adoption!AD99,NA())</f>
        <v>3.9182853315472201E-2</v>
      </c>
      <c r="I134" s="115"/>
      <c r="J134" s="115"/>
      <c r="K134" s="115"/>
      <c r="L134" s="188"/>
      <c r="M134" s="188"/>
      <c r="N134" s="188"/>
      <c r="O134" s="188"/>
      <c r="P134" s="188"/>
      <c r="Q134" s="188"/>
      <c r="R134" s="189"/>
      <c r="S134" s="190"/>
      <c r="T134" s="97"/>
      <c r="U134" s="97"/>
      <c r="V134" s="139"/>
      <c r="W134" s="152"/>
      <c r="X134" s="168"/>
      <c r="Y134" s="424" t="str">
        <f t="shared" si="23"/>
        <v>England</v>
      </c>
      <c r="Z134" s="719">
        <f>IF(Year1_England Year1_ROSGO_ceased_LAC_CAO=0,NA(),Year1_England Year1_ROSGO_ceased_LAC_CAO)</f>
        <v>1690</v>
      </c>
      <c r="AA134" s="716">
        <f>IF(Year2_England Year2_ROSGO_ceased_LAC_CAO=0,NA(),Year2_England Year2_ROSGO_ceased_LAC_CAO)</f>
        <v>1020</v>
      </c>
      <c r="AB134" s="716">
        <f>IF(Year3_England Year3_ROSGO_ceased_LAC_CAO=0,NA(),Year3_England Year3_ROSGO_ceased_LAC_CAO)</f>
        <v>1120</v>
      </c>
      <c r="AC134" s="424">
        <f>IF(Year4_England Year4_ROSGO_ceased_LAC_CAO=0,NA(),Year4_England Year4_ROSGO_ceased_LAC_CAO)</f>
        <v>1200</v>
      </c>
      <c r="AD134" s="424">
        <f>IF(Year5_England Year5_ROSGO_ceased_LAC_CAO=0,NA(),Year5_England Year5_ROSGO_ceased_LAC_CAO)</f>
        <v>1170</v>
      </c>
      <c r="AE134" s="438"/>
      <c r="AF134" s="88"/>
      <c r="AG134" s="88"/>
      <c r="AH134" s="88"/>
      <c r="AI134" s="88"/>
      <c r="AJ134" s="88"/>
      <c r="AK134" s="175"/>
      <c r="AL134" s="80"/>
      <c r="AM134" s="80"/>
      <c r="AN134" s="80"/>
      <c r="AO134" s="80"/>
      <c r="AP134" s="80"/>
      <c r="AQ134" s="80"/>
      <c r="AR134" s="80"/>
      <c r="AS134" s="80"/>
      <c r="AT134" s="80"/>
      <c r="AU134" s="80"/>
      <c r="AV134" s="80"/>
      <c r="AW134" s="80"/>
      <c r="AX134" s="80"/>
      <c r="AY134" s="80"/>
    </row>
    <row r="135" spans="1:51" s="101" customFormat="1" ht="7.5" customHeight="1" x14ac:dyDescent="0.2">
      <c r="A135" s="324"/>
      <c r="B135" s="115"/>
      <c r="C135" s="115"/>
      <c r="D135" s="115"/>
      <c r="E135" s="115"/>
      <c r="F135" s="115"/>
      <c r="G135" s="115"/>
      <c r="H135" s="115"/>
      <c r="I135" s="115"/>
      <c r="J135" s="115"/>
      <c r="K135" s="115"/>
      <c r="L135" s="188"/>
      <c r="M135" s="188"/>
      <c r="N135" s="188"/>
      <c r="O135" s="188"/>
      <c r="P135" s="188"/>
      <c r="Q135" s="188"/>
      <c r="R135" s="189"/>
      <c r="S135" s="190"/>
      <c r="T135" s="97"/>
      <c r="U135" s="97"/>
      <c r="V135" s="139"/>
      <c r="W135" s="152"/>
      <c r="X135" s="168"/>
      <c r="Y135" s="88"/>
      <c r="Z135" s="88"/>
      <c r="AC135" s="223"/>
      <c r="AD135" s="223"/>
      <c r="AE135" s="438"/>
      <c r="AF135" s="88"/>
      <c r="AG135" s="88"/>
      <c r="AH135" s="88"/>
      <c r="AI135" s="88"/>
      <c r="AJ135" s="88"/>
      <c r="AK135" s="175"/>
      <c r="AL135" s="80"/>
      <c r="AM135" s="80"/>
      <c r="AN135" s="80"/>
      <c r="AO135" s="80"/>
      <c r="AP135" s="80"/>
      <c r="AQ135" s="80"/>
      <c r="AR135" s="80"/>
      <c r="AS135" s="80"/>
      <c r="AT135" s="80"/>
      <c r="AU135" s="80"/>
      <c r="AV135" s="80"/>
      <c r="AW135" s="80"/>
      <c r="AX135" s="80"/>
      <c r="AY135" s="80"/>
    </row>
    <row r="136" spans="1:51" s="88" customFormat="1" ht="38.25" customHeight="1" x14ac:dyDescent="0.2">
      <c r="A136" s="249"/>
      <c r="B136" s="452"/>
      <c r="C136" s="452"/>
      <c r="D136" s="452"/>
      <c r="E136" s="452"/>
      <c r="F136" s="452"/>
      <c r="G136" s="452"/>
      <c r="H136" s="452"/>
      <c r="I136" s="452"/>
      <c r="J136" s="452"/>
      <c r="K136" s="192"/>
      <c r="L136" s="192"/>
      <c r="M136" s="192"/>
      <c r="N136" s="192"/>
      <c r="O136" s="192"/>
      <c r="P136" s="192"/>
      <c r="Q136" s="192"/>
      <c r="R136" s="151"/>
      <c r="S136" s="192"/>
      <c r="T136" s="9"/>
      <c r="U136" s="9"/>
      <c r="V136" s="134"/>
      <c r="W136" s="152"/>
      <c r="X136" s="168"/>
      <c r="Y136" s="670"/>
      <c r="Z136" s="209"/>
      <c r="AF136" s="224"/>
      <c r="AG136" s="226"/>
      <c r="AH136" s="210"/>
      <c r="AI136" s="210"/>
      <c r="AJ136" s="210"/>
      <c r="AK136" s="175"/>
      <c r="AL136" s="80"/>
      <c r="AM136" s="80"/>
      <c r="AN136" s="80"/>
      <c r="AO136" s="80"/>
      <c r="AP136" s="80"/>
      <c r="AQ136" s="80"/>
      <c r="AR136" s="80"/>
      <c r="AS136" s="80"/>
      <c r="AT136" s="80"/>
      <c r="AU136" s="80"/>
      <c r="AV136" s="80"/>
      <c r="AW136" s="80"/>
      <c r="AX136" s="80"/>
      <c r="AY136" s="80"/>
    </row>
    <row r="137" spans="1:51" s="88" customFormat="1" ht="39" customHeight="1" x14ac:dyDescent="0.2">
      <c r="A137" s="249"/>
      <c r="B137" s="452"/>
      <c r="C137" s="452"/>
      <c r="D137" s="452"/>
      <c r="E137" s="452"/>
      <c r="F137" s="452"/>
      <c r="G137" s="452"/>
      <c r="H137" s="452"/>
      <c r="I137" s="452"/>
      <c r="J137" s="452"/>
      <c r="K137" s="192"/>
      <c r="L137" s="192"/>
      <c r="M137" s="192"/>
      <c r="N137" s="192"/>
      <c r="O137" s="192"/>
      <c r="P137" s="192"/>
      <c r="Q137" s="192"/>
      <c r="R137" s="151"/>
      <c r="S137" s="192"/>
      <c r="T137" s="9"/>
      <c r="U137" s="9"/>
      <c r="V137" s="134"/>
      <c r="W137" s="152"/>
      <c r="X137" s="168"/>
      <c r="Y137" s="670"/>
      <c r="Z137" s="209"/>
      <c r="AB137" s="217"/>
      <c r="AG137" s="226"/>
      <c r="AH137" s="210"/>
      <c r="AI137" s="210"/>
      <c r="AJ137" s="210"/>
      <c r="AK137" s="175"/>
      <c r="AL137" s="80"/>
      <c r="AM137" s="80"/>
      <c r="AN137" s="80"/>
      <c r="AO137" s="80"/>
      <c r="AP137" s="80"/>
      <c r="AQ137" s="80"/>
      <c r="AR137" s="80"/>
      <c r="AS137" s="80"/>
      <c r="AT137" s="80"/>
      <c r="AU137" s="80"/>
      <c r="AV137" s="80"/>
      <c r="AW137" s="80"/>
      <c r="AX137" s="80"/>
      <c r="AY137" s="80"/>
    </row>
    <row r="138" spans="1:51" s="88" customFormat="1" ht="38.25" customHeight="1" x14ac:dyDescent="0.2">
      <c r="A138" s="249"/>
      <c r="B138" s="452"/>
      <c r="C138" s="452"/>
      <c r="D138" s="452"/>
      <c r="E138" s="452"/>
      <c r="F138" s="452"/>
      <c r="G138" s="452"/>
      <c r="H138" s="452"/>
      <c r="I138" s="452"/>
      <c r="J138" s="452"/>
      <c r="K138" s="192"/>
      <c r="L138" s="192"/>
      <c r="M138" s="192"/>
      <c r="N138" s="192"/>
      <c r="O138" s="192"/>
      <c r="P138" s="192"/>
      <c r="Q138" s="192"/>
      <c r="R138" s="151"/>
      <c r="S138" s="192"/>
      <c r="T138" s="9"/>
      <c r="U138" s="9"/>
      <c r="V138" s="134"/>
      <c r="W138" s="152"/>
      <c r="X138" s="168"/>
      <c r="Y138" s="670"/>
      <c r="Z138" s="209"/>
      <c r="AB138" s="217"/>
      <c r="AG138" s="226"/>
      <c r="AH138" s="210"/>
      <c r="AI138" s="210"/>
      <c r="AJ138" s="210"/>
      <c r="AK138" s="175"/>
      <c r="AL138" s="80"/>
      <c r="AM138" s="80"/>
      <c r="AN138" s="80"/>
      <c r="AO138" s="80"/>
      <c r="AP138" s="80"/>
      <c r="AQ138" s="80"/>
      <c r="AR138" s="80"/>
      <c r="AS138" s="80"/>
      <c r="AT138" s="80"/>
      <c r="AU138" s="80"/>
      <c r="AV138" s="80"/>
      <c r="AW138" s="80"/>
      <c r="AX138" s="80"/>
      <c r="AY138" s="80"/>
    </row>
    <row r="139" spans="1:51" s="88" customFormat="1" ht="7.5" customHeight="1" x14ac:dyDescent="0.2">
      <c r="A139" s="135"/>
      <c r="B139" s="18"/>
      <c r="C139" s="18"/>
      <c r="D139" s="17"/>
      <c r="E139" s="17"/>
      <c r="F139" s="17"/>
      <c r="G139" s="17"/>
      <c r="H139" s="17"/>
      <c r="I139" s="17"/>
      <c r="J139" s="17"/>
      <c r="K139" s="13"/>
      <c r="L139" s="19"/>
      <c r="M139" s="19"/>
      <c r="N139" s="19"/>
      <c r="O139" s="19"/>
      <c r="P139" s="19"/>
      <c r="Q139" s="19"/>
      <c r="R139" s="19"/>
      <c r="S139" s="20"/>
      <c r="T139" s="9"/>
      <c r="U139" s="9"/>
      <c r="V139" s="134"/>
      <c r="W139" s="152"/>
      <c r="X139" s="168"/>
      <c r="Y139" s="670"/>
      <c r="Z139" s="209"/>
      <c r="AB139" s="217"/>
      <c r="AK139" s="175"/>
      <c r="AL139" s="80"/>
      <c r="AM139" s="80"/>
      <c r="AN139" s="80"/>
      <c r="AO139" s="80"/>
      <c r="AP139" s="80"/>
      <c r="AQ139" s="80"/>
      <c r="AR139" s="80"/>
      <c r="AS139" s="80"/>
      <c r="AT139" s="80"/>
      <c r="AU139" s="80"/>
      <c r="AV139" s="80"/>
      <c r="AW139" s="80"/>
      <c r="AX139" s="80"/>
      <c r="AY139" s="80"/>
    </row>
    <row r="140" spans="1:51" s="88" customFormat="1" ht="15" customHeight="1" x14ac:dyDescent="0.2">
      <c r="A140" s="610"/>
      <c r="B140" s="611"/>
      <c r="C140" s="611"/>
      <c r="D140" s="611"/>
      <c r="E140" s="611"/>
      <c r="F140" s="611"/>
      <c r="G140" s="611"/>
      <c r="H140" s="611"/>
      <c r="I140" s="611"/>
      <c r="J140" s="611"/>
      <c r="K140" s="611"/>
      <c r="L140" s="611"/>
      <c r="M140" s="611"/>
      <c r="N140" s="611"/>
      <c r="O140" s="611"/>
      <c r="P140" s="611"/>
      <c r="Q140" s="611"/>
      <c r="R140" s="611"/>
      <c r="S140" s="611"/>
      <c r="T140" s="611"/>
      <c r="U140" s="611"/>
      <c r="V140" s="612"/>
      <c r="W140" s="152"/>
      <c r="X140" s="168"/>
      <c r="Y140" s="670"/>
      <c r="Z140" s="209"/>
      <c r="AK140" s="175"/>
      <c r="AL140" s="80"/>
      <c r="AM140" s="80"/>
      <c r="AN140" s="80"/>
      <c r="AO140" s="80"/>
      <c r="AP140" s="80"/>
      <c r="AQ140" s="80"/>
      <c r="AR140" s="80"/>
      <c r="AS140" s="80"/>
      <c r="AT140" s="80"/>
      <c r="AU140" s="80"/>
      <c r="AV140" s="80"/>
      <c r="AW140" s="80"/>
      <c r="AX140" s="80"/>
      <c r="AY140" s="80"/>
    </row>
    <row r="141" spans="1:51" s="88" customFormat="1" ht="11.25" customHeight="1" x14ac:dyDescent="0.2">
      <c r="A141" s="1066" t="str">
        <f>Home!$A$35</f>
        <v>LA's provide quarterly data on the condition that it is used by the benchmarking group for internal reporting only. Please DO NOT share other LA's data with any external partners or the public</v>
      </c>
      <c r="B141" s="1115"/>
      <c r="C141" s="1115"/>
      <c r="D141" s="1115"/>
      <c r="E141" s="1115"/>
      <c r="F141" s="1115"/>
      <c r="G141" s="1115"/>
      <c r="H141" s="1115"/>
      <c r="I141" s="1115"/>
      <c r="J141" s="1115"/>
      <c r="K141" s="1115"/>
      <c r="L141" s="1115"/>
      <c r="M141" s="1115"/>
      <c r="N141" s="1115"/>
      <c r="O141" s="1115"/>
      <c r="P141" s="1115"/>
      <c r="Q141" s="1115"/>
      <c r="R141" s="1115"/>
      <c r="S141" s="1115"/>
      <c r="T141" s="1115"/>
      <c r="U141" s="1115"/>
      <c r="V141" s="1116"/>
      <c r="W141" s="152"/>
      <c r="X141" s="168"/>
      <c r="Y141" s="670"/>
      <c r="Z141" s="209"/>
      <c r="AB141" s="217"/>
      <c r="AG141" s="226"/>
      <c r="AH141" s="210"/>
      <c r="AI141" s="210"/>
      <c r="AK141" s="175"/>
      <c r="AL141" s="80"/>
      <c r="AM141" s="80"/>
      <c r="AN141" s="80"/>
      <c r="AO141" s="80"/>
      <c r="AP141" s="80"/>
      <c r="AQ141" s="80"/>
      <c r="AR141" s="80"/>
      <c r="AS141" s="80"/>
      <c r="AT141" s="80"/>
      <c r="AU141" s="80"/>
      <c r="AV141" s="80"/>
      <c r="AW141" s="80"/>
      <c r="AX141" s="80"/>
      <c r="AY141" s="80"/>
    </row>
    <row r="142" spans="1:51" ht="11.25" customHeight="1" x14ac:dyDescent="0.2">
      <c r="A142" s="129"/>
      <c r="B142" s="130"/>
      <c r="C142" s="130"/>
      <c r="D142" s="130"/>
      <c r="E142" s="130"/>
      <c r="F142" s="130"/>
      <c r="G142" s="130"/>
      <c r="H142" s="130"/>
      <c r="I142" s="130"/>
      <c r="J142" s="130"/>
      <c r="K142" s="131"/>
      <c r="L142" s="130"/>
      <c r="M142" s="130"/>
      <c r="N142" s="130"/>
      <c r="O142" s="130"/>
      <c r="P142" s="130"/>
      <c r="Q142" s="130"/>
      <c r="R142" s="130"/>
      <c r="S142" s="130"/>
      <c r="T142" s="130"/>
      <c r="U142" s="130"/>
      <c r="V142" s="132"/>
      <c r="W142" s="152"/>
      <c r="X142" s="168"/>
      <c r="Y142" s="670"/>
      <c r="Z142" s="209"/>
      <c r="AA142" s="225"/>
      <c r="AB142" s="223"/>
      <c r="AC142" s="215"/>
      <c r="AJ142" s="88"/>
      <c r="AK142" s="175"/>
    </row>
    <row r="143" spans="1:51" s="82" customFormat="1" ht="15" customHeight="1" x14ac:dyDescent="0.2">
      <c r="A143" s="136"/>
      <c r="B143" s="1090" t="s">
        <v>267</v>
      </c>
      <c r="C143" s="1090"/>
      <c r="D143" s="1090"/>
      <c r="E143" s="1090"/>
      <c r="F143" s="1090"/>
      <c r="G143" s="1090"/>
      <c r="H143" s="1090"/>
      <c r="I143" s="1090"/>
      <c r="J143" s="256"/>
      <c r="K143" s="256"/>
      <c r="L143" s="70"/>
      <c r="M143" s="70"/>
      <c r="N143" s="70"/>
      <c r="O143" s="544"/>
      <c r="P143" s="70"/>
      <c r="Q143" s="70"/>
      <c r="R143" s="70"/>
      <c r="S143" s="70"/>
      <c r="T143" s="15"/>
      <c r="U143" s="15"/>
      <c r="V143" s="137"/>
      <c r="W143" s="152"/>
      <c r="X143" s="168"/>
      <c r="Y143" s="436" t="s">
        <v>268</v>
      </c>
      <c r="Z143" s="437"/>
      <c r="AC143" s="438"/>
      <c r="AD143" s="438"/>
      <c r="AE143" s="438"/>
      <c r="AF143" s="88"/>
      <c r="AG143" s="88"/>
      <c r="AH143" s="88"/>
      <c r="AI143" s="88"/>
      <c r="AJ143" s="88"/>
      <c r="AK143" s="175"/>
      <c r="AL143" s="80"/>
      <c r="AM143" s="80"/>
      <c r="AN143" s="80"/>
      <c r="AO143" s="80"/>
      <c r="AP143" s="80"/>
      <c r="AQ143" s="80"/>
      <c r="AR143" s="80"/>
      <c r="AS143" s="80"/>
      <c r="AT143" s="80"/>
      <c r="AU143" s="80"/>
      <c r="AV143" s="80"/>
      <c r="AW143" s="80"/>
      <c r="AX143" s="80"/>
      <c r="AY143" s="80"/>
    </row>
    <row r="144" spans="1:51" ht="15" customHeight="1" x14ac:dyDescent="0.2">
      <c r="A144" s="135"/>
      <c r="B144" s="1090"/>
      <c r="C144" s="1090"/>
      <c r="D144" s="1090"/>
      <c r="E144" s="1090"/>
      <c r="F144" s="1090"/>
      <c r="G144" s="1090"/>
      <c r="H144" s="1090"/>
      <c r="I144" s="1090"/>
      <c r="J144" s="256"/>
      <c r="K144" s="256"/>
      <c r="L144" s="70"/>
      <c r="M144" s="70"/>
      <c r="N144" s="70"/>
      <c r="O144" s="544"/>
      <c r="P144" s="70"/>
      <c r="Q144" s="70"/>
      <c r="R144" s="10"/>
      <c r="S144" s="70"/>
      <c r="T144" s="9"/>
      <c r="U144" s="9"/>
      <c r="V144" s="134"/>
      <c r="W144" s="152"/>
      <c r="X144" s="168"/>
      <c r="Y144" s="438"/>
      <c r="Z144" s="437"/>
      <c r="AA144" s="80"/>
      <c r="AB144" s="80"/>
      <c r="AC144" s="438"/>
      <c r="AD144" s="438"/>
      <c r="AE144" s="438"/>
      <c r="AJ144" s="88"/>
      <c r="AK144" s="175"/>
    </row>
    <row r="145" spans="1:51" s="101" customFormat="1" ht="27" customHeight="1" x14ac:dyDescent="0.2">
      <c r="A145" s="138"/>
      <c r="B145" s="540" t="s">
        <v>215</v>
      </c>
      <c r="C145" s="97"/>
      <c r="D145" s="393">
        <f>D110</f>
        <v>2014</v>
      </c>
      <c r="E145" s="393">
        <f t="shared" ref="E145:G145" si="24">E110</f>
        <v>2015</v>
      </c>
      <c r="F145" s="393">
        <f t="shared" si="24"/>
        <v>2016</v>
      </c>
      <c r="G145" s="393">
        <f t="shared" si="24"/>
        <v>2017</v>
      </c>
      <c r="H145" s="394">
        <f>H110</f>
        <v>2018</v>
      </c>
      <c r="I145" s="115"/>
      <c r="J145" s="115"/>
      <c r="K145" s="115"/>
      <c r="L145" s="62"/>
      <c r="M145" s="62"/>
      <c r="N145" s="62"/>
      <c r="O145" s="62"/>
      <c r="P145" s="62"/>
      <c r="Q145" s="546"/>
      <c r="R145" s="546"/>
      <c r="S145" s="547"/>
      <c r="T145" s="97"/>
      <c r="U145" s="97"/>
      <c r="V145" s="139"/>
      <c r="W145" s="152"/>
      <c r="X145" s="168"/>
      <c r="Y145" s="424"/>
      <c r="Z145" s="534">
        <f>D145</f>
        <v>2014</v>
      </c>
      <c r="AA145" s="534">
        <f>E145</f>
        <v>2015</v>
      </c>
      <c r="AB145" s="534">
        <f>F145</f>
        <v>2016</v>
      </c>
      <c r="AC145" s="534">
        <f>G145</f>
        <v>2017</v>
      </c>
      <c r="AD145" s="534">
        <f>H145</f>
        <v>2018</v>
      </c>
      <c r="AE145" s="438"/>
      <c r="AF145" s="88"/>
      <c r="AG145" s="88"/>
      <c r="AH145" s="88"/>
      <c r="AI145" s="88"/>
      <c r="AJ145" s="88"/>
      <c r="AK145" s="175"/>
      <c r="AL145" s="80"/>
      <c r="AM145" s="80"/>
      <c r="AN145" s="80"/>
      <c r="AO145" s="80"/>
      <c r="AP145" s="80"/>
      <c r="AQ145" s="80"/>
      <c r="AR145" s="80"/>
      <c r="AS145" s="80"/>
      <c r="AT145" s="80"/>
      <c r="AU145" s="80"/>
      <c r="AV145" s="80"/>
      <c r="AW145" s="80"/>
      <c r="AX145" s="80"/>
      <c r="AY145" s="80"/>
    </row>
    <row r="146" spans="1:51" s="101" customFormat="1" ht="12.75" customHeight="1" x14ac:dyDescent="0.2">
      <c r="A146" s="609">
        <f>VLOOKUP(B146,Sheet1!$B$4:$C$25,2,FALSE)</f>
        <v>0</v>
      </c>
      <c r="B146" s="112" t="str">
        <f>B111</f>
        <v>Bracknell Forest</v>
      </c>
      <c r="C146" s="97"/>
      <c r="D146" s="182" t="e">
        <f>IF(AND(ISNUMBER(Adoption!Z76),ISNUMBER(Z146)),Z146/Adoption!Z76,NA())</f>
        <v>#N/A</v>
      </c>
      <c r="E146" s="182">
        <f>IF(AND(ISNUMBER(Adoption!AA76),ISNUMBER(AA146)),AA146/Adoption!AA76,NA())</f>
        <v>0.17241379310344829</v>
      </c>
      <c r="F146" s="182">
        <f>IF(AND(ISNUMBER(Adoption!AB76),ISNUMBER(AB146)),AB146/Adoption!AB76,NA())</f>
        <v>0.14705882352941177</v>
      </c>
      <c r="G146" s="182">
        <f>IF(AND(ISNUMBER(Adoption!AC76),ISNUMBER(AC146)),AC146/Adoption!AC76,NA())</f>
        <v>0.20408163265306123</v>
      </c>
      <c r="H146" s="184" t="e">
        <f>IF(AND(ISNUMBER(Adoption!AD76),ISNUMBER(AD146)),AD146/Adoption!AD76,NA())</f>
        <v>#N/A</v>
      </c>
      <c r="I146" s="115"/>
      <c r="J146" s="115"/>
      <c r="K146" s="115"/>
      <c r="L146" s="186"/>
      <c r="M146" s="186"/>
      <c r="N146" s="186"/>
      <c r="O146" s="186"/>
      <c r="P146" s="186"/>
      <c r="Q146" s="186"/>
      <c r="R146" s="187"/>
      <c r="S146" s="186"/>
      <c r="T146" s="97"/>
      <c r="U146" s="97"/>
      <c r="V146" s="139"/>
      <c r="W146" s="152"/>
      <c r="X146" s="168"/>
      <c r="Y146" s="424" t="str">
        <f>Y111</f>
        <v>Bracknell Forest</v>
      </c>
      <c r="Z146" s="424" t="str">
        <f>IF(Year1_Bracknell_Forest Year1_ROSGO_ceased_LAC_SGO="","",Year1_Bracknell_Forest Year1_ROSGO_ceased_LAC_SGO)</f>
        <v>-</v>
      </c>
      <c r="AA146" s="424">
        <f>IF(Year2_Bracknell_Forest Year2_ROSGO_ceased_LAC_SGO="","",Year2_Bracknell_Forest Year2_ROSGO_ceased_LAC_SGO)</f>
        <v>10</v>
      </c>
      <c r="AB146" s="424">
        <f>IF(Year3_Bracknell_Forest Year3_ROSGO_ceased_LAC_SGO="","",Year3_Bracknell_Forest Year3_ROSGO_ceased_LAC_SGO)</f>
        <v>10</v>
      </c>
      <c r="AC146" s="424">
        <f>IF(Year4_Bracknell_Forest Year4_ROSGO_ceased_LAC_SGO="","",Year4_Bracknell_Forest Year4_ROSGO_ceased_LAC_SGO)</f>
        <v>10</v>
      </c>
      <c r="AD146" s="424" t="str">
        <f>IF(Year5_Bracknell_Forest Year5_ROSGO_ceased_LAC_SGO="","",Year5_Bracknell_Forest Year5_ROSGO_ceased_LAC_SGO)</f>
        <v>x</v>
      </c>
      <c r="AE146" s="438"/>
      <c r="AF146" s="88"/>
      <c r="AG146" s="88"/>
      <c r="AH146" s="88"/>
      <c r="AI146" s="88"/>
      <c r="AJ146" s="88"/>
      <c r="AK146" s="175"/>
      <c r="AL146" s="80"/>
      <c r="AM146" s="80"/>
      <c r="AN146" s="80"/>
      <c r="AO146" s="80"/>
      <c r="AP146" s="80"/>
      <c r="AQ146" s="80"/>
      <c r="AR146" s="80"/>
      <c r="AS146" s="80"/>
      <c r="AT146" s="80"/>
      <c r="AU146" s="80"/>
      <c r="AV146" s="80"/>
      <c r="AW146" s="80"/>
      <c r="AX146" s="80"/>
      <c r="AY146" s="80"/>
    </row>
    <row r="147" spans="1:51" s="101" customFormat="1" ht="12.75" customHeight="1" x14ac:dyDescent="0.2">
      <c r="A147" s="609">
        <f>VLOOKUP(B147,Sheet1!$B$4:$C$25,2,FALSE)</f>
        <v>0</v>
      </c>
      <c r="B147" s="112" t="str">
        <f t="shared" ref="B147:B169" si="25">B112</f>
        <v>Brighton &amp; Hove</v>
      </c>
      <c r="C147" s="97"/>
      <c r="D147" s="182">
        <f>IF(AND(ISNUMBER(Adoption!Z77),ISNUMBER(Z147)),Z147/Adoption!Z77,NA())</f>
        <v>8.3333333333333329E-2</v>
      </c>
      <c r="E147" s="182">
        <f>IF(AND(ISNUMBER(Adoption!AA77),ISNUMBER(AA147)),AA147/Adoption!AA77,NA())</f>
        <v>0.13020833333333334</v>
      </c>
      <c r="F147" s="182">
        <f>IF(AND(ISNUMBER(Adoption!AB77),ISNUMBER(AB147)),AB147/Adoption!AB77,NA())</f>
        <v>0.16326530612244897</v>
      </c>
      <c r="G147" s="182">
        <f>IF(AND(ISNUMBER(Adoption!AC77),ISNUMBER(AC147)),AC147/Adoption!AC77,NA())</f>
        <v>9.4972067039106142E-2</v>
      </c>
      <c r="H147" s="184">
        <f>IF(AND(ISNUMBER(Adoption!AD77),ISNUMBER(AD147)),AD147/Adoption!AD77,NA())</f>
        <v>0.14204545454545456</v>
      </c>
      <c r="I147" s="115"/>
      <c r="J147" s="115"/>
      <c r="K147" s="115"/>
      <c r="L147" s="186"/>
      <c r="M147" s="186"/>
      <c r="N147" s="186"/>
      <c r="O147" s="186"/>
      <c r="P147" s="186"/>
      <c r="Q147" s="186"/>
      <c r="R147" s="187"/>
      <c r="S147" s="186"/>
      <c r="T147" s="97"/>
      <c r="U147" s="97"/>
      <c r="V147" s="139"/>
      <c r="W147" s="152"/>
      <c r="X147" s="168"/>
      <c r="Y147" s="424" t="str">
        <f t="shared" ref="Y147:Y169" si="26">Y112</f>
        <v>Brighton &amp; Hove</v>
      </c>
      <c r="Z147" s="424">
        <f>IF(Year1_Brighton_Hove Year1_ROSGO_ceased_LAC_SGO="","",Year1_Brighton_Hove Year1_ROSGO_ceased_LAC_SGO)</f>
        <v>15</v>
      </c>
      <c r="AA147" s="424">
        <f>IF(Year2_Brighton_Hove Year2_ROSGO_ceased_LAC_SGO="","",Year2_Brighton_Hove Year2_ROSGO_ceased_LAC_SGO)</f>
        <v>25</v>
      </c>
      <c r="AB147" s="424">
        <f>IF(Year3_Brighton_Hove Year3_ROSGO_ceased_LAC_SGO="","",Year3_Brighton_Hove Year3_ROSGO_ceased_LAC_SGO)</f>
        <v>40</v>
      </c>
      <c r="AC147" s="424">
        <f>IF(Year4_Brighton_Hove Year4_ROSGO_ceased_LAC_SGO="","",Year4_Brighton_Hove Year4_ROSGO_ceased_LAC_SGO)</f>
        <v>17</v>
      </c>
      <c r="AD147" s="424">
        <f>IF(Year5_Brighton_Hove Year5_ROSGO_ceased_LAC_SGO="","",Year5_Brighton_Hove Year5_ROSGO_ceased_LAC_SGO)</f>
        <v>25</v>
      </c>
      <c r="AE147" s="438"/>
      <c r="AF147" s="88"/>
      <c r="AG147" s="88"/>
      <c r="AH147" s="88"/>
      <c r="AI147" s="88"/>
      <c r="AJ147" s="88"/>
      <c r="AK147" s="175"/>
      <c r="AL147" s="80"/>
      <c r="AM147" s="80"/>
      <c r="AN147" s="80"/>
      <c r="AO147" s="80"/>
      <c r="AP147" s="80"/>
      <c r="AQ147" s="80"/>
      <c r="AR147" s="80"/>
      <c r="AS147" s="80"/>
      <c r="AT147" s="80"/>
      <c r="AU147" s="80"/>
      <c r="AV147" s="80"/>
      <c r="AW147" s="80"/>
      <c r="AX147" s="80"/>
      <c r="AY147" s="80"/>
    </row>
    <row r="148" spans="1:51" s="101" customFormat="1" ht="12.75" customHeight="1" x14ac:dyDescent="0.2">
      <c r="A148" s="609">
        <f>VLOOKUP(B148,Sheet1!$B$4:$C$25,2,FALSE)</f>
        <v>0</v>
      </c>
      <c r="B148" s="112" t="str">
        <f t="shared" si="25"/>
        <v>Buckinghamshire</v>
      </c>
      <c r="C148" s="97"/>
      <c r="D148" s="182">
        <f>IF(AND(ISNUMBER(Adoption!Z78),ISNUMBER(Z148)),Z148/Adoption!Z78,NA())</f>
        <v>0.11363636363636363</v>
      </c>
      <c r="E148" s="182">
        <f>IF(AND(ISNUMBER(Adoption!AA78),ISNUMBER(AA148)),AA148/Adoption!AA78,NA())</f>
        <v>0.12345679012345678</v>
      </c>
      <c r="F148" s="182">
        <f>IF(AND(ISNUMBER(Adoption!AB78),ISNUMBER(AB148)),AB148/Adoption!AB78,NA())</f>
        <v>8.8105726872246701E-2</v>
      </c>
      <c r="G148" s="182">
        <f>IF(AND(ISNUMBER(Adoption!AC78),ISNUMBER(AC148)),AC148/Adoption!AC78,NA())</f>
        <v>8.3720930232558138E-2</v>
      </c>
      <c r="H148" s="184">
        <f>IF(AND(ISNUMBER(Adoption!AD78),ISNUMBER(AD148)),AD148/Adoption!AD78,NA())</f>
        <v>0.17127071823204421</v>
      </c>
      <c r="I148" s="115"/>
      <c r="J148" s="115"/>
      <c r="K148" s="115"/>
      <c r="L148" s="186"/>
      <c r="M148" s="186"/>
      <c r="N148" s="186"/>
      <c r="O148" s="186"/>
      <c r="P148" s="186"/>
      <c r="Q148" s="186"/>
      <c r="R148" s="187"/>
      <c r="S148" s="186"/>
      <c r="T148" s="97"/>
      <c r="U148" s="97"/>
      <c r="V148" s="139"/>
      <c r="W148" s="152"/>
      <c r="X148" s="168"/>
      <c r="Y148" s="424" t="str">
        <f t="shared" si="26"/>
        <v>Buckinghamshire</v>
      </c>
      <c r="Z148" s="424">
        <f>IF(Year1_Buckinghamshire Year1_ROSGO_ceased_LAC_SGO="","",Year1_Buckinghamshire Year1_ROSGO_ceased_LAC_SGO)</f>
        <v>15</v>
      </c>
      <c r="AA148" s="424">
        <f>IF(Year2_Buckinghamshire Year2_ROSGO_ceased_LAC_SGO="","",Year2_Buckinghamshire Year2_ROSGO_ceased_LAC_SGO)</f>
        <v>20</v>
      </c>
      <c r="AB148" s="424">
        <f>IF(Year3_Buckinghamshire Year3_ROSGO_ceased_LAC_SGO="","",Year3_Buckinghamshire Year3_ROSGO_ceased_LAC_SGO)</f>
        <v>20</v>
      </c>
      <c r="AC148" s="424">
        <f>IF(Year4_Buckinghamshire Year4_ROSGO_ceased_LAC_SGO="","",Year4_Buckinghamshire Year4_ROSGO_ceased_LAC_SGO)</f>
        <v>18</v>
      </c>
      <c r="AD148" s="424">
        <f>IF(Year5_Buckinghamshire Year5_ROSGO_ceased_LAC_SGO="","",Year5_Buckinghamshire Year5_ROSGO_ceased_LAC_SGO)</f>
        <v>31</v>
      </c>
      <c r="AE148" s="438"/>
      <c r="AF148" s="88"/>
      <c r="AG148" s="88"/>
      <c r="AH148" s="88"/>
      <c r="AI148" s="88"/>
      <c r="AJ148" s="88"/>
      <c r="AK148" s="175"/>
      <c r="AL148" s="80"/>
      <c r="AM148" s="80"/>
      <c r="AN148" s="80"/>
      <c r="AO148" s="80"/>
      <c r="AP148" s="80"/>
      <c r="AQ148" s="80"/>
      <c r="AR148" s="80"/>
      <c r="AS148" s="80"/>
      <c r="AT148" s="80"/>
      <c r="AU148" s="80"/>
      <c r="AV148" s="80"/>
      <c r="AW148" s="80"/>
      <c r="AX148" s="80"/>
      <c r="AY148" s="80"/>
    </row>
    <row r="149" spans="1:51" s="101" customFormat="1" ht="12.75" customHeight="1" x14ac:dyDescent="0.2">
      <c r="A149" s="609">
        <f>VLOOKUP(B149,Sheet1!$B$4:$C$25,2,FALSE)</f>
        <v>0</v>
      </c>
      <c r="B149" s="112" t="str">
        <f t="shared" si="25"/>
        <v>East Sussex</v>
      </c>
      <c r="C149" s="97"/>
      <c r="D149" s="182">
        <f>IF(AND(ISNUMBER(Adoption!Z79),ISNUMBER(Z149)),Z149/Adoption!Z79,NA())</f>
        <v>0.16203703703703703</v>
      </c>
      <c r="E149" s="182">
        <f>IF(AND(ISNUMBER(Adoption!AA79),ISNUMBER(AA149)),AA149/Adoption!AA79,NA())</f>
        <v>7.9365079365079361E-2</v>
      </c>
      <c r="F149" s="182">
        <f>IF(AND(ISNUMBER(Adoption!AB79),ISNUMBER(AB149)),AB149/Adoption!AB79,NA())</f>
        <v>0.10416666666666667</v>
      </c>
      <c r="G149" s="182">
        <f>IF(AND(ISNUMBER(Adoption!AC79),ISNUMBER(AC149)),AC149/Adoption!AC79,NA())</f>
        <v>0.16216216216216217</v>
      </c>
      <c r="H149" s="184">
        <f>IF(AND(ISNUMBER(Adoption!AD79),ISNUMBER(AD149)),AD149/Adoption!AD79,NA())</f>
        <v>0.11180124223602485</v>
      </c>
      <c r="I149" s="115"/>
      <c r="J149" s="115"/>
      <c r="K149" s="115"/>
      <c r="L149" s="186"/>
      <c r="M149" s="186"/>
      <c r="N149" s="186"/>
      <c r="O149" s="186"/>
      <c r="P149" s="186"/>
      <c r="Q149" s="186"/>
      <c r="R149" s="187"/>
      <c r="S149" s="186"/>
      <c r="T149" s="97"/>
      <c r="U149" s="97"/>
      <c r="V149" s="139"/>
      <c r="W149" s="152"/>
      <c r="X149" s="168"/>
      <c r="Y149" s="424" t="str">
        <f t="shared" si="26"/>
        <v>East Sussex</v>
      </c>
      <c r="Z149" s="424">
        <f>IF(Year1_East_Sussex Year1_ROSGO_ceased_LAC_SGO="","",Year1_East_Sussex Year1_ROSGO_ceased_LAC_SGO)</f>
        <v>35</v>
      </c>
      <c r="AA149" s="424">
        <f>IF(Year2_East_Sussex Year2_ROSGO_ceased_LAC_SGO="","",Year2_East_Sussex Year2_ROSGO_ceased_LAC_SGO)</f>
        <v>15</v>
      </c>
      <c r="AB149" s="424">
        <f>IF(Year3_East_Sussex Year3_ROSGO_ceased_LAC_SGO="","",Year3_East_Sussex Year3_ROSGO_ceased_LAC_SGO)</f>
        <v>20</v>
      </c>
      <c r="AC149" s="424">
        <f>IF(Year4_East_Sussex Year4_ROSGO_ceased_LAC_SGO="","",Year4_East_Sussex Year4_ROSGO_ceased_LAC_SGO)</f>
        <v>30</v>
      </c>
      <c r="AD149" s="424">
        <f>IF(Year5_East_Sussex Year5_ROSGO_ceased_LAC_SGO="","",Year5_East_Sussex Year5_ROSGO_ceased_LAC_SGO)</f>
        <v>18</v>
      </c>
      <c r="AE149" s="438"/>
      <c r="AF149" s="88"/>
      <c r="AG149" s="88"/>
      <c r="AH149" s="88"/>
      <c r="AI149" s="88"/>
      <c r="AJ149" s="88"/>
      <c r="AK149" s="175"/>
      <c r="AL149" s="80"/>
      <c r="AM149" s="80"/>
      <c r="AN149" s="80"/>
      <c r="AO149" s="80"/>
      <c r="AP149" s="80"/>
      <c r="AQ149" s="80"/>
      <c r="AR149" s="80"/>
      <c r="AS149" s="80"/>
      <c r="AT149" s="80"/>
      <c r="AU149" s="80"/>
      <c r="AV149" s="80"/>
      <c r="AW149" s="80"/>
      <c r="AX149" s="80"/>
      <c r="AY149" s="80"/>
    </row>
    <row r="150" spans="1:51" s="101" customFormat="1" ht="12.75" customHeight="1" x14ac:dyDescent="0.2">
      <c r="A150" s="533">
        <f>VLOOKUP(B150,Sheet1!$B$4:$C$25,2,FALSE)</f>
        <v>0</v>
      </c>
      <c r="B150" s="112" t="str">
        <f t="shared" si="25"/>
        <v>Hampshire</v>
      </c>
      <c r="C150" s="97"/>
      <c r="D150" s="182">
        <f>IF(AND(ISNUMBER(Adoption!Z80),ISNUMBER(Z150)),Z150/Adoption!Z80,NA())</f>
        <v>9.3457943925233641E-2</v>
      </c>
      <c r="E150" s="182">
        <f>IF(AND(ISNUMBER(Adoption!AA80),ISNUMBER(AA150)),AA150/Adoption!AA80,NA())</f>
        <v>7.3260073260073263E-2</v>
      </c>
      <c r="F150" s="182">
        <f>IF(AND(ISNUMBER(Adoption!AB80),ISNUMBER(AB150)),AB150/Adoption!AB80,NA())</f>
        <v>8.2568807339449546E-2</v>
      </c>
      <c r="G150" s="182">
        <f>IF(AND(ISNUMBER(Adoption!AC80),ISNUMBER(AC150)),AC150/Adoption!AC80,NA())</f>
        <v>9.5864661654135333E-2</v>
      </c>
      <c r="H150" s="184">
        <f>IF(AND(ISNUMBER(Adoption!AD80),ISNUMBER(AD150)),AD150/Adoption!AD80,NA())</f>
        <v>0.1154639175257732</v>
      </c>
      <c r="I150" s="115"/>
      <c r="J150" s="115"/>
      <c r="K150" s="115"/>
      <c r="L150" s="186"/>
      <c r="M150" s="186"/>
      <c r="N150" s="186"/>
      <c r="O150" s="186"/>
      <c r="P150" s="186"/>
      <c r="Q150" s="186"/>
      <c r="R150" s="187"/>
      <c r="S150" s="186"/>
      <c r="T150" s="97"/>
      <c r="U150" s="97"/>
      <c r="V150" s="139"/>
      <c r="W150" s="152"/>
      <c r="X150" s="168"/>
      <c r="Y150" s="424" t="str">
        <f t="shared" si="26"/>
        <v>Hampshire</v>
      </c>
      <c r="Z150" s="424">
        <f>IF(Year1_Hampshire Year1_ROSGO_ceased_LAC_SGO="","",Year1_Hampshire Year1_ROSGO_ceased_LAC_SGO)</f>
        <v>40</v>
      </c>
      <c r="AA150" s="424">
        <f>IF(Year2_Hampshire Year2_ROSGO_ceased_LAC_SGO="","",Year2_Hampshire Year2_ROSGO_ceased_LAC_SGO)</f>
        <v>40</v>
      </c>
      <c r="AB150" s="424">
        <f>IF(Year3_Hampshire Year3_ROSGO_ceased_LAC_SGO="","",Year3_Hampshire Year3_ROSGO_ceased_LAC_SGO)</f>
        <v>45</v>
      </c>
      <c r="AC150" s="424">
        <f>IF(Year4_Hampshire Year4_ROSGO_ceased_LAC_SGO="","",Year4_Hampshire Year4_ROSGO_ceased_LAC_SGO)</f>
        <v>51</v>
      </c>
      <c r="AD150" s="424">
        <f>IF(Year5_Hampshire Year5_ROSGO_ceased_LAC_SGO="","",Year5_Hampshire Year5_ROSGO_ceased_LAC_SGO)</f>
        <v>56</v>
      </c>
      <c r="AE150" s="438"/>
      <c r="AF150" s="88"/>
      <c r="AG150" s="88"/>
      <c r="AH150" s="88"/>
      <c r="AI150" s="88"/>
      <c r="AJ150" s="88"/>
      <c r="AK150" s="175"/>
      <c r="AL150" s="80"/>
      <c r="AM150" s="80"/>
      <c r="AN150" s="80"/>
      <c r="AO150" s="80"/>
      <c r="AP150" s="80"/>
      <c r="AQ150" s="80"/>
      <c r="AR150" s="80"/>
      <c r="AS150" s="80"/>
      <c r="AT150" s="80"/>
      <c r="AU150" s="80"/>
      <c r="AV150" s="80"/>
      <c r="AW150" s="80"/>
      <c r="AX150" s="80"/>
      <c r="AY150" s="80"/>
    </row>
    <row r="151" spans="1:51" s="101" customFormat="1" ht="12.75" customHeight="1" x14ac:dyDescent="0.2">
      <c r="A151" s="533">
        <f>VLOOKUP(B151,Sheet1!$B$4:$C$25,2,FALSE)</f>
        <v>0</v>
      </c>
      <c r="B151" s="112" t="str">
        <f t="shared" si="25"/>
        <v>Isle of Wight</v>
      </c>
      <c r="C151" s="97"/>
      <c r="D151" s="182">
        <f>IF(AND(ISNUMBER(Adoption!Z81),ISNUMBER(Z151)),Z151/Adoption!Z81,NA())</f>
        <v>0.16129032258064516</v>
      </c>
      <c r="E151" s="182">
        <f>IF(AND(ISNUMBER(Adoption!AA81),ISNUMBER(AA151)),AA151/Adoption!AA81,NA())</f>
        <v>6.3291139240506333E-2</v>
      </c>
      <c r="F151" s="182">
        <f>IF(AND(ISNUMBER(Adoption!AB81),ISNUMBER(AB151)),AB151/Adoption!AB81,NA())</f>
        <v>0.13698630136986301</v>
      </c>
      <c r="G151" s="182" t="e">
        <f>IF(AND(ISNUMBER(Adoption!AC81),ISNUMBER(AC151)),AC151/Adoption!AC81,NA())</f>
        <v>#N/A</v>
      </c>
      <c r="H151" s="184" t="e">
        <f>IF(AND(ISNUMBER(Adoption!AD81),ISNUMBER(AD151)),AD151/Adoption!AD81,NA())</f>
        <v>#N/A</v>
      </c>
      <c r="I151" s="115"/>
      <c r="J151" s="115"/>
      <c r="K151" s="115"/>
      <c r="L151" s="186"/>
      <c r="M151" s="186"/>
      <c r="N151" s="186"/>
      <c r="O151" s="186"/>
      <c r="P151" s="186"/>
      <c r="Q151" s="186"/>
      <c r="R151" s="187"/>
      <c r="S151" s="186"/>
      <c r="T151" s="97"/>
      <c r="U151" s="97"/>
      <c r="V151" s="139"/>
      <c r="W151" s="152"/>
      <c r="X151" s="168"/>
      <c r="Y151" s="424" t="str">
        <f t="shared" si="26"/>
        <v>Isle of Wight</v>
      </c>
      <c r="Z151" s="424">
        <f>IF(Year1_Isle_of_Wight Year1_ROSGO_ceased_LAC_SGO="","",Year1_Isle_of_Wight Year1_ROSGO_ceased_LAC_SGO)</f>
        <v>15</v>
      </c>
      <c r="AA151" s="424">
        <f>IF(Year2_Isle_of_Wight Year2_ROSGO_ceased_LAC_SGO="","",Year2_Isle_of_Wight Year2_ROSGO_ceased_LAC_SGO)</f>
        <v>5</v>
      </c>
      <c r="AB151" s="424">
        <f>IF(Year3_Isle_of_Wight Year3_ROSGO_ceased_LAC_SGO="","",Year3_Isle_of_Wight Year3_ROSGO_ceased_LAC_SGO)</f>
        <v>10</v>
      </c>
      <c r="AC151" s="424" t="str">
        <f>IF(Year4_Isle_of_Wight Year4_ROSGO_ceased_LAC_SGO="","",Year4_Isle_of_Wight Year4_ROSGO_ceased_LAC_SGO)</f>
        <v>x</v>
      </c>
      <c r="AD151" s="424" t="str">
        <f>IF(Year5_Isle_of_Wight Year5_ROSGO_ceased_LAC_SGO="","",Year5_Isle_of_Wight Year5_ROSGO_ceased_LAC_SGO)</f>
        <v>x</v>
      </c>
      <c r="AE151" s="438"/>
      <c r="AF151" s="88"/>
      <c r="AG151" s="88"/>
      <c r="AH151" s="88"/>
      <c r="AI151" s="88"/>
      <c r="AJ151" s="88"/>
      <c r="AK151" s="175"/>
      <c r="AL151" s="80"/>
      <c r="AM151" s="80"/>
      <c r="AN151" s="80"/>
      <c r="AO151" s="80"/>
      <c r="AP151" s="80"/>
      <c r="AQ151" s="80"/>
      <c r="AR151" s="80"/>
      <c r="AS151" s="80"/>
      <c r="AT151" s="80"/>
      <c r="AU151" s="80"/>
      <c r="AV151" s="80"/>
      <c r="AW151" s="80"/>
      <c r="AX151" s="80"/>
      <c r="AY151" s="80"/>
    </row>
    <row r="152" spans="1:51" s="101" customFormat="1" ht="12.75" customHeight="1" x14ac:dyDescent="0.2">
      <c r="A152" s="533">
        <f>VLOOKUP(B152,Sheet1!$B$4:$C$25,2,FALSE)</f>
        <v>0</v>
      </c>
      <c r="B152" s="112" t="str">
        <f t="shared" si="25"/>
        <v>Kent</v>
      </c>
      <c r="C152" s="97"/>
      <c r="D152" s="182">
        <f>IF(AND(ISNUMBER(Adoption!Z82),ISNUMBER(Z152)),Z152/Adoption!Z82,NA())</f>
        <v>6.8649885583524028E-2</v>
      </c>
      <c r="E152" s="182">
        <f>IF(AND(ISNUMBER(Adoption!AA82),ISNUMBER(AA152)),AA152/Adoption!AA82,NA())</f>
        <v>6.2713797035347782E-2</v>
      </c>
      <c r="F152" s="182">
        <f>IF(AND(ISNUMBER(Adoption!AB82),ISNUMBER(AB152)),AB152/Adoption!AB82,NA())</f>
        <v>4.1938490214352281E-2</v>
      </c>
      <c r="G152" s="182">
        <f>IF(AND(ISNUMBER(Adoption!AC82),ISNUMBER(AC152)),AC152/Adoption!AC82,NA())</f>
        <v>4.1064638783269963E-2</v>
      </c>
      <c r="H152" s="184">
        <f>IF(AND(ISNUMBER(Adoption!AD82),ISNUMBER(AD152)),AD152/Adoption!AD82,NA())</f>
        <v>4.1108986615678779E-2</v>
      </c>
      <c r="I152" s="115"/>
      <c r="J152" s="115"/>
      <c r="K152" s="115"/>
      <c r="L152" s="186"/>
      <c r="M152" s="186"/>
      <c r="N152" s="186"/>
      <c r="O152" s="186"/>
      <c r="P152" s="186"/>
      <c r="Q152" s="186"/>
      <c r="R152" s="187"/>
      <c r="S152" s="186"/>
      <c r="T152" s="97"/>
      <c r="U152" s="97"/>
      <c r="V152" s="139"/>
      <c r="W152" s="152"/>
      <c r="X152" s="168"/>
      <c r="Y152" s="424" t="str">
        <f t="shared" si="26"/>
        <v>Kent</v>
      </c>
      <c r="Z152" s="424">
        <f>IF(Year1_Kent Year1_ROSGO_ceased_LAC_SGO="","",Year1_Kent Year1_ROSGO_ceased_LAC_SGO)</f>
        <v>60</v>
      </c>
      <c r="AA152" s="424">
        <f>IF(Year2_Kent Year2_ROSGO_ceased_LAC_SGO="","",Year2_Kent Year2_ROSGO_ceased_LAC_SGO)</f>
        <v>55</v>
      </c>
      <c r="AB152" s="424">
        <f>IF(Year3_Kent Year3_ROSGO_ceased_LAC_SGO="","",Year3_Kent Year3_ROSGO_ceased_LAC_SGO)</f>
        <v>45</v>
      </c>
      <c r="AC152" s="424">
        <f>IF(Year4_Kent Year4_ROSGO_ceased_LAC_SGO="","",Year4_Kent Year4_ROSGO_ceased_LAC_SGO)</f>
        <v>54</v>
      </c>
      <c r="AD152" s="424">
        <f>IF(Year5_Kent Year5_ROSGO_ceased_LAC_SGO="","",Year5_Kent Year5_ROSGO_ceased_LAC_SGO)</f>
        <v>43</v>
      </c>
      <c r="AE152" s="438"/>
      <c r="AF152" s="88"/>
      <c r="AG152" s="88"/>
      <c r="AH152" s="88"/>
      <c r="AI152" s="88"/>
      <c r="AJ152" s="88"/>
      <c r="AK152" s="175"/>
      <c r="AL152" s="80"/>
      <c r="AM152" s="80"/>
      <c r="AN152" s="80"/>
      <c r="AO152" s="80"/>
      <c r="AP152" s="80"/>
      <c r="AQ152" s="80"/>
      <c r="AR152" s="80"/>
      <c r="AS152" s="80"/>
      <c r="AT152" s="80"/>
      <c r="AU152" s="80"/>
      <c r="AV152" s="80"/>
      <c r="AW152" s="80"/>
      <c r="AX152" s="80"/>
      <c r="AY152" s="80"/>
    </row>
    <row r="153" spans="1:51" s="101" customFormat="1" ht="12.75" customHeight="1" x14ac:dyDescent="0.2">
      <c r="A153" s="533">
        <f>VLOOKUP(B153,Sheet1!$B$4:$C$25,2,FALSE)</f>
        <v>0</v>
      </c>
      <c r="B153" s="112" t="str">
        <f t="shared" si="25"/>
        <v>Medway</v>
      </c>
      <c r="C153" s="97"/>
      <c r="D153" s="182">
        <f>IF(AND(ISNUMBER(Adoption!Z83),ISNUMBER(Z153)),Z153/Adoption!Z83,NA())</f>
        <v>8.3333333333333329E-2</v>
      </c>
      <c r="E153" s="182">
        <f>IF(AND(ISNUMBER(Adoption!AA83),ISNUMBER(AA153)),AA153/Adoption!AA83,NA())</f>
        <v>5.128205128205128E-2</v>
      </c>
      <c r="F153" s="182">
        <f>IF(AND(ISNUMBER(Adoption!AB83),ISNUMBER(AB153)),AB153/Adoption!AB83,NA())</f>
        <v>0.11904761904761904</v>
      </c>
      <c r="G153" s="182">
        <f>IF(AND(ISNUMBER(Adoption!AC83),ISNUMBER(AC153)),AC153/Adoption!AC83,NA())</f>
        <v>0.1497326203208556</v>
      </c>
      <c r="H153" s="184">
        <f>IF(AND(ISNUMBER(Adoption!AD83),ISNUMBER(AD153)),AD153/Adoption!AD83,NA())</f>
        <v>0.11949685534591195</v>
      </c>
      <c r="I153" s="115"/>
      <c r="J153" s="115"/>
      <c r="K153" s="115"/>
      <c r="L153" s="186"/>
      <c r="M153" s="186"/>
      <c r="N153" s="186"/>
      <c r="O153" s="186"/>
      <c r="P153" s="186"/>
      <c r="Q153" s="186"/>
      <c r="R153" s="187"/>
      <c r="S153" s="186"/>
      <c r="T153" s="97"/>
      <c r="U153" s="97"/>
      <c r="V153" s="139"/>
      <c r="W153" s="152"/>
      <c r="X153" s="168"/>
      <c r="Y153" s="424" t="str">
        <f t="shared" si="26"/>
        <v>Medway</v>
      </c>
      <c r="Z153" s="424">
        <f>IF(Year1_Medway Year1_ROSGO_ceased_LAC_SGO="","",Year1_Medway Year1_ROSGO_ceased_LAC_SGO)</f>
        <v>15</v>
      </c>
      <c r="AA153" s="424">
        <f>IF(Year2_Medway Year2_ROSGO_ceased_LAC_SGO="","",Year2_Medway Year2_ROSGO_ceased_LAC_SGO)</f>
        <v>10</v>
      </c>
      <c r="AB153" s="424">
        <f>IF(Year3_Medway Year3_ROSGO_ceased_LAC_SGO="","",Year3_Medway Year3_ROSGO_ceased_LAC_SGO)</f>
        <v>25</v>
      </c>
      <c r="AC153" s="424">
        <f>IF(Year4_Medway Year4_ROSGO_ceased_LAC_SGO="","",Year4_Medway Year4_ROSGO_ceased_LAC_SGO)</f>
        <v>28</v>
      </c>
      <c r="AD153" s="424">
        <f>IF(Year5_Medway Year5_ROSGO_ceased_LAC_SGO="","",Year5_Medway Year5_ROSGO_ceased_LAC_SGO)</f>
        <v>19</v>
      </c>
      <c r="AE153" s="438"/>
      <c r="AF153" s="88"/>
      <c r="AG153" s="88"/>
      <c r="AH153" s="88"/>
      <c r="AI153" s="88"/>
      <c r="AJ153" s="88"/>
      <c r="AK153" s="175"/>
      <c r="AL153" s="80"/>
      <c r="AM153" s="80"/>
      <c r="AN153" s="80"/>
      <c r="AO153" s="80"/>
      <c r="AP153" s="80"/>
      <c r="AQ153" s="80"/>
      <c r="AR153" s="80"/>
      <c r="AS153" s="80"/>
      <c r="AT153" s="80"/>
      <c r="AU153" s="80"/>
      <c r="AV153" s="80"/>
      <c r="AW153" s="80"/>
      <c r="AX153" s="80"/>
      <c r="AY153" s="80"/>
    </row>
    <row r="154" spans="1:51" s="101" customFormat="1" ht="12.75" customHeight="1" x14ac:dyDescent="0.2">
      <c r="A154" s="533">
        <f>VLOOKUP(B154,Sheet1!$B$4:$C$25,2,FALSE)</f>
        <v>0</v>
      </c>
      <c r="B154" s="112" t="str">
        <f t="shared" si="25"/>
        <v>Milton Keynes</v>
      </c>
      <c r="C154" s="97"/>
      <c r="D154" s="182">
        <f>IF(AND(ISNUMBER(Adoption!Z84),ISNUMBER(Z154)),Z154/Adoption!Z84,NA())</f>
        <v>0.12903225806451613</v>
      </c>
      <c r="E154" s="182">
        <f>IF(AND(ISNUMBER(Adoption!AA84),ISNUMBER(AA154)),AA154/Adoption!AA84,NA())</f>
        <v>0.10948905109489052</v>
      </c>
      <c r="F154" s="182">
        <f>IF(AND(ISNUMBER(Adoption!AB84),ISNUMBER(AB154)),AB154/Adoption!AB84,NA())</f>
        <v>0.10752688172043011</v>
      </c>
      <c r="G154" s="182">
        <f>IF(AND(ISNUMBER(Adoption!AC84),ISNUMBER(AC154)),AC154/Adoption!AC84,NA())</f>
        <v>0.17763157894736842</v>
      </c>
      <c r="H154" s="184">
        <f>IF(AND(ISNUMBER(Adoption!AD84),ISNUMBER(AD154)),AD154/Adoption!AD84,NA())</f>
        <v>0.25</v>
      </c>
      <c r="I154" s="115"/>
      <c r="J154" s="115"/>
      <c r="K154" s="115"/>
      <c r="L154" s="186"/>
      <c r="M154" s="186"/>
      <c r="N154" s="186"/>
      <c r="O154" s="186"/>
      <c r="P154" s="186"/>
      <c r="Q154" s="186"/>
      <c r="R154" s="187"/>
      <c r="S154" s="186"/>
      <c r="T154" s="97"/>
      <c r="U154" s="97"/>
      <c r="V154" s="139"/>
      <c r="W154" s="152"/>
      <c r="X154" s="168"/>
      <c r="Y154" s="424" t="str">
        <f t="shared" si="26"/>
        <v>Milton Keynes</v>
      </c>
      <c r="Z154" s="424">
        <f>IF(Year1_Milton_Keynes Year1_ROSGO_ceased_LAC_SGO="","",Year1_Milton_Keynes Year1_ROSGO_ceased_LAC_SGO)</f>
        <v>20</v>
      </c>
      <c r="AA154" s="424">
        <f>IF(Year2_Milton_Keynes Year2_ROSGO_ceased_LAC_SGO="","",Year2_Milton_Keynes Year2_ROSGO_ceased_LAC_SGO)</f>
        <v>15</v>
      </c>
      <c r="AB154" s="424">
        <f>IF(Year3_Milton_Keynes Year3_ROSGO_ceased_LAC_SGO="","",Year3_Milton_Keynes Year3_ROSGO_ceased_LAC_SGO)</f>
        <v>20</v>
      </c>
      <c r="AC154" s="424">
        <f>IF(Year4_Milton_Keynes Year4_ROSGO_ceased_LAC_SGO="","",Year4_Milton_Keynes Year4_ROSGO_ceased_LAC_SGO)</f>
        <v>27</v>
      </c>
      <c r="AD154" s="424">
        <f>IF(Year5_Milton_Keynes Year5_ROSGO_ceased_LAC_SGO="","",Year5_Milton_Keynes Year5_ROSGO_ceased_LAC_SGO)</f>
        <v>36</v>
      </c>
      <c r="AE154" s="438"/>
      <c r="AF154" s="88"/>
      <c r="AG154" s="88"/>
      <c r="AH154" s="88"/>
      <c r="AI154" s="88"/>
      <c r="AJ154" s="88"/>
      <c r="AK154" s="175"/>
      <c r="AL154" s="80"/>
      <c r="AM154" s="80"/>
      <c r="AN154" s="80"/>
      <c r="AO154" s="80"/>
      <c r="AP154" s="80"/>
      <c r="AQ154" s="80"/>
      <c r="AR154" s="80"/>
      <c r="AS154" s="80"/>
      <c r="AT154" s="80"/>
      <c r="AU154" s="80"/>
      <c r="AV154" s="80"/>
      <c r="AW154" s="80"/>
      <c r="AX154" s="80"/>
      <c r="AY154" s="80"/>
    </row>
    <row r="155" spans="1:51" s="101" customFormat="1" ht="12.75" customHeight="1" x14ac:dyDescent="0.2">
      <c r="A155" s="533">
        <f>VLOOKUP(B155,Sheet1!$B$4:$C$25,2,FALSE)</f>
        <v>0</v>
      </c>
      <c r="B155" s="112" t="str">
        <f t="shared" si="25"/>
        <v>Oxfordshire</v>
      </c>
      <c r="C155" s="97"/>
      <c r="D155" s="182">
        <f>IF(AND(ISNUMBER(Adoption!Z85),ISNUMBER(Z155)),Z155/Adoption!Z85,NA())</f>
        <v>0.13409961685823754</v>
      </c>
      <c r="E155" s="182">
        <f>IF(AND(ISNUMBER(Adoption!AA85),ISNUMBER(AA155)),AA155/Adoption!AA85,NA())</f>
        <v>0.1606425702811245</v>
      </c>
      <c r="F155" s="182">
        <f>IF(AND(ISNUMBER(Adoption!AB85),ISNUMBER(AB155)),AB155/Adoption!AB85,NA())</f>
        <v>0.10714285714285714</v>
      </c>
      <c r="G155" s="182">
        <f>IF(AND(ISNUMBER(Adoption!AC85),ISNUMBER(AC155)),AC155/Adoption!AC85,NA())</f>
        <v>5.5944055944055944E-2</v>
      </c>
      <c r="H155" s="184">
        <f>IF(AND(ISNUMBER(Adoption!AD85),ISNUMBER(AD155)),AD155/Adoption!AD85,NA())</f>
        <v>0.14814814814814814</v>
      </c>
      <c r="I155" s="115"/>
      <c r="J155" s="115"/>
      <c r="K155" s="115"/>
      <c r="L155" s="186"/>
      <c r="M155" s="186"/>
      <c r="N155" s="186"/>
      <c r="O155" s="186"/>
      <c r="P155" s="186"/>
      <c r="Q155" s="186"/>
      <c r="R155" s="187"/>
      <c r="S155" s="186"/>
      <c r="T155" s="97"/>
      <c r="U155" s="97"/>
      <c r="V155" s="139"/>
      <c r="W155" s="152"/>
      <c r="X155" s="168"/>
      <c r="Y155" s="424" t="str">
        <f t="shared" si="26"/>
        <v>Oxfordshire</v>
      </c>
      <c r="Z155" s="424">
        <f>IF(Year1_Oxfordshire Year1_ROSGO_ceased_LAC_SGO="","",Year1_Oxfordshire Year1_ROSGO_ceased_LAC_SGO)</f>
        <v>35</v>
      </c>
      <c r="AA155" s="424">
        <f>IF(Year2_Oxfordshire Year2_ROSGO_ceased_LAC_SGO="","",Year2_Oxfordshire Year2_ROSGO_ceased_LAC_SGO)</f>
        <v>40</v>
      </c>
      <c r="AB155" s="424">
        <f>IF(Year3_Oxfordshire Year3_ROSGO_ceased_LAC_SGO="","",Year3_Oxfordshire Year3_ROSGO_ceased_LAC_SGO)</f>
        <v>30</v>
      </c>
      <c r="AC155" s="424">
        <f>IF(Year4_Oxfordshire Year4_ROSGO_ceased_LAC_SGO="","",Year4_Oxfordshire Year4_ROSGO_ceased_LAC_SGO)</f>
        <v>16</v>
      </c>
      <c r="AD155" s="424">
        <f>IF(Year5_Oxfordshire Year5_ROSGO_ceased_LAC_SGO="","",Year5_Oxfordshire Year5_ROSGO_ceased_LAC_SGO)</f>
        <v>44</v>
      </c>
      <c r="AE155" s="438"/>
      <c r="AF155" s="88"/>
      <c r="AG155" s="88"/>
      <c r="AH155" s="88"/>
      <c r="AI155" s="88"/>
      <c r="AJ155" s="88"/>
      <c r="AK155" s="175"/>
      <c r="AL155" s="80"/>
      <c r="AM155" s="80"/>
      <c r="AN155" s="80"/>
      <c r="AO155" s="80"/>
      <c r="AP155" s="80"/>
      <c r="AQ155" s="80"/>
      <c r="AR155" s="80"/>
      <c r="AS155" s="80"/>
      <c r="AT155" s="80"/>
      <c r="AU155" s="80"/>
      <c r="AV155" s="80"/>
      <c r="AW155" s="80"/>
      <c r="AX155" s="80"/>
      <c r="AY155" s="80"/>
    </row>
    <row r="156" spans="1:51" s="101" customFormat="1" ht="12.75" customHeight="1" x14ac:dyDescent="0.2">
      <c r="A156" s="533">
        <f>VLOOKUP(B156,Sheet1!$B$4:$C$25,2,FALSE)</f>
        <v>0</v>
      </c>
      <c r="B156" s="112" t="str">
        <f t="shared" si="25"/>
        <v>Portsmouth</v>
      </c>
      <c r="C156" s="97"/>
      <c r="D156" s="182">
        <f>IF(AND(ISNUMBER(Adoption!Z86),ISNUMBER(Z156)),Z156/Adoption!Z86,NA())</f>
        <v>0.16891891891891891</v>
      </c>
      <c r="E156" s="182">
        <f>IF(AND(ISNUMBER(Adoption!AA86),ISNUMBER(AA156)),AA156/Adoption!AA86,NA())</f>
        <v>9.1463414634146339E-2</v>
      </c>
      <c r="F156" s="182">
        <f>IF(AND(ISNUMBER(Adoption!AB86),ISNUMBER(AB156)),AB156/Adoption!AB86,NA())</f>
        <v>0.11904761904761904</v>
      </c>
      <c r="G156" s="182">
        <f>IF(AND(ISNUMBER(Adoption!AC86),ISNUMBER(AC156)),AC156/Adoption!AC86,NA())</f>
        <v>9.7560975609756101E-2</v>
      </c>
      <c r="H156" s="184">
        <f>IF(AND(ISNUMBER(Adoption!AD86),ISNUMBER(AD156)),AD156/Adoption!AD86,NA())</f>
        <v>0.11764705882352941</v>
      </c>
      <c r="I156" s="115"/>
      <c r="J156" s="115"/>
      <c r="K156" s="115"/>
      <c r="L156" s="186"/>
      <c r="M156" s="186"/>
      <c r="N156" s="186"/>
      <c r="O156" s="186"/>
      <c r="P156" s="186"/>
      <c r="Q156" s="186"/>
      <c r="R156" s="187"/>
      <c r="S156" s="186"/>
      <c r="T156" s="97"/>
      <c r="U156" s="97"/>
      <c r="V156" s="139"/>
      <c r="W156" s="152"/>
      <c r="X156" s="168"/>
      <c r="Y156" s="424" t="str">
        <f t="shared" si="26"/>
        <v>Portsmouth</v>
      </c>
      <c r="Z156" s="424">
        <f>IF(Year1_Portsmouth Year1_ROSGO_ceased_LAC_SGO="","",Year1_Portsmouth Year1_ROSGO_ceased_LAC_SGO)</f>
        <v>25</v>
      </c>
      <c r="AA156" s="424">
        <f>IF(Year2_Portsmouth Year2_ROSGO_ceased_LAC_SGO="","",Year2_Portsmouth Year2_ROSGO_ceased_LAC_SGO)</f>
        <v>15</v>
      </c>
      <c r="AB156" s="424">
        <f>IF(Year3_Portsmouth Year3_ROSGO_ceased_LAC_SGO="","",Year3_Portsmouth Year3_ROSGO_ceased_LAC_SGO)</f>
        <v>15</v>
      </c>
      <c r="AC156" s="424">
        <f>IF(Year4_Portsmouth Year4_ROSGO_ceased_LAC_SGO="","",Year4_Portsmouth Year4_ROSGO_ceased_LAC_SGO)</f>
        <v>12</v>
      </c>
      <c r="AD156" s="424">
        <f>IF(Year5_Portsmouth Year5_ROSGO_ceased_LAC_SGO="","",Year5_Portsmouth Year5_ROSGO_ceased_LAC_SGO)</f>
        <v>22</v>
      </c>
      <c r="AE156" s="438"/>
      <c r="AF156" s="88"/>
      <c r="AG156" s="88"/>
      <c r="AH156" s="88"/>
      <c r="AI156" s="88"/>
      <c r="AJ156" s="88"/>
      <c r="AK156" s="175"/>
      <c r="AL156" s="80"/>
      <c r="AM156" s="80"/>
      <c r="AN156" s="80"/>
      <c r="AO156" s="80"/>
      <c r="AP156" s="80"/>
      <c r="AQ156" s="80"/>
      <c r="AR156" s="80"/>
      <c r="AS156" s="80"/>
      <c r="AT156" s="80"/>
      <c r="AU156" s="80"/>
      <c r="AV156" s="80"/>
      <c r="AW156" s="80"/>
      <c r="AX156" s="80"/>
      <c r="AY156" s="80"/>
    </row>
    <row r="157" spans="1:51" s="101" customFormat="1" ht="12.75" customHeight="1" x14ac:dyDescent="0.2">
      <c r="A157" s="533">
        <f>VLOOKUP(B157,Sheet1!$B$4:$C$25,2,FALSE)</f>
        <v>0</v>
      </c>
      <c r="B157" s="112" t="str">
        <f t="shared" si="25"/>
        <v>Reading</v>
      </c>
      <c r="C157" s="97"/>
      <c r="D157" s="182">
        <f>IF(AND(ISNUMBER(Adoption!Z87),ISNUMBER(Z157)),Z157/Adoption!Z87,NA())</f>
        <v>0.15789473684210525</v>
      </c>
      <c r="E157" s="182">
        <f>IF(AND(ISNUMBER(Adoption!AA87),ISNUMBER(AA157)),AA157/Adoption!AA87,NA())</f>
        <v>0.17857142857142858</v>
      </c>
      <c r="F157" s="182">
        <f>IF(AND(ISNUMBER(Adoption!AB87),ISNUMBER(AB157)),AB157/Adoption!AB87,NA())</f>
        <v>0.16260162601626016</v>
      </c>
      <c r="G157" s="182">
        <f>IF(AND(ISNUMBER(Adoption!AC87),ISNUMBER(AC157)),AC157/Adoption!AC87,NA())</f>
        <v>0.08</v>
      </c>
      <c r="H157" s="184">
        <f>IF(AND(ISNUMBER(Adoption!AD87),ISNUMBER(AD157)),AD157/Adoption!AD87,NA())</f>
        <v>0.15053763440860216</v>
      </c>
      <c r="I157" s="115"/>
      <c r="J157" s="115"/>
      <c r="K157" s="115"/>
      <c r="L157" s="186"/>
      <c r="M157" s="186"/>
      <c r="N157" s="186"/>
      <c r="O157" s="186"/>
      <c r="P157" s="186"/>
      <c r="Q157" s="186"/>
      <c r="R157" s="187"/>
      <c r="S157" s="186"/>
      <c r="T157" s="97"/>
      <c r="U157" s="97"/>
      <c r="V157" s="139"/>
      <c r="W157" s="152"/>
      <c r="X157" s="168"/>
      <c r="Y157" s="424" t="str">
        <f t="shared" si="26"/>
        <v>Reading</v>
      </c>
      <c r="Z157" s="424">
        <f>IF(Year1_Reading Year1_ROSGO_ceased_LAC_SGO="","",Year1_Reading Year1_ROSGO_ceased_LAC_SGO)</f>
        <v>15</v>
      </c>
      <c r="AA157" s="424">
        <f>IF(Year2_Reading Year2_ROSGO_ceased_LAC_SGO="","",Year2_Reading Year2_ROSGO_ceased_LAC_SGO)</f>
        <v>15</v>
      </c>
      <c r="AB157" s="424">
        <f>IF(Year3_Reading Year3_ROSGO_ceased_LAC_SGO="","",Year3_Reading Year3_ROSGO_ceased_LAC_SGO)</f>
        <v>20</v>
      </c>
      <c r="AC157" s="424">
        <f>IF(Year4_Reading Year4_ROSGO_ceased_LAC_SGO="","",Year4_Reading Year4_ROSGO_ceased_LAC_SGO)</f>
        <v>8</v>
      </c>
      <c r="AD157" s="424">
        <f>IF(Year5_Reading Year5_ROSGO_ceased_LAC_SGO="","",Year5_Reading Year5_ROSGO_ceased_LAC_SGO)</f>
        <v>14</v>
      </c>
      <c r="AE157" s="438"/>
      <c r="AF157" s="88"/>
      <c r="AG157" s="88"/>
      <c r="AH157" s="88"/>
      <c r="AI157" s="88"/>
      <c r="AJ157" s="88"/>
      <c r="AK157" s="175"/>
      <c r="AL157" s="80"/>
      <c r="AM157" s="80"/>
      <c r="AN157" s="80"/>
      <c r="AO157" s="80"/>
      <c r="AP157" s="80"/>
      <c r="AQ157" s="80"/>
      <c r="AR157" s="80"/>
      <c r="AS157" s="80"/>
      <c r="AT157" s="80"/>
      <c r="AU157" s="80"/>
      <c r="AV157" s="80"/>
      <c r="AW157" s="80"/>
      <c r="AX157" s="80"/>
      <c r="AY157" s="80"/>
    </row>
    <row r="158" spans="1:51" s="101" customFormat="1" ht="12.75" customHeight="1" x14ac:dyDescent="0.2">
      <c r="A158" s="533">
        <f>VLOOKUP(B158,Sheet1!$B$4:$C$25,2,FALSE)</f>
        <v>0</v>
      </c>
      <c r="B158" s="112" t="str">
        <f t="shared" si="25"/>
        <v>Slough</v>
      </c>
      <c r="C158" s="97"/>
      <c r="D158" s="182">
        <f>IF(AND(ISNUMBER(Adoption!Z88),ISNUMBER(Z158)),Z158/Adoption!Z88,NA())</f>
        <v>0.14285714285714285</v>
      </c>
      <c r="E158" s="182">
        <f>IF(AND(ISNUMBER(Adoption!AA88),ISNUMBER(AA158)),AA158/Adoption!AA88,NA())</f>
        <v>4.4247787610619468E-2</v>
      </c>
      <c r="F158" s="182">
        <f>IF(AND(ISNUMBER(Adoption!AB88),ISNUMBER(AB158)),AB158/Adoption!AB88,NA())</f>
        <v>0.16233766233766234</v>
      </c>
      <c r="G158" s="182">
        <f>IF(AND(ISNUMBER(Adoption!AC88),ISNUMBER(AC158)),AC158/Adoption!AC88,NA())</f>
        <v>8.9285714285714288E-2</v>
      </c>
      <c r="H158" s="184">
        <f>IF(AND(ISNUMBER(Adoption!AD88),ISNUMBER(AD158)),AD158/Adoption!AD88,NA())</f>
        <v>0.125</v>
      </c>
      <c r="I158" s="115"/>
      <c r="J158" s="115"/>
      <c r="K158" s="115"/>
      <c r="L158" s="186"/>
      <c r="M158" s="186"/>
      <c r="N158" s="186"/>
      <c r="O158" s="186"/>
      <c r="P158" s="186"/>
      <c r="Q158" s="186"/>
      <c r="R158" s="187"/>
      <c r="S158" s="186"/>
      <c r="T158" s="97"/>
      <c r="U158" s="97"/>
      <c r="V158" s="139"/>
      <c r="W158" s="152"/>
      <c r="X158" s="168"/>
      <c r="Y158" s="424" t="str">
        <f t="shared" si="26"/>
        <v>Slough</v>
      </c>
      <c r="Z158" s="424">
        <f>IF(Year1_Slough Year1_ROSGO_ceased_LAC_SGO="","",Year1_Slough Year1_ROSGO_ceased_LAC_SGO)</f>
        <v>15</v>
      </c>
      <c r="AA158" s="424">
        <f>IF(Year2_Slough Year2_ROSGO_ceased_LAC_SGO="","",Year2_Slough Year2_ROSGO_ceased_LAC_SGO)</f>
        <v>5</v>
      </c>
      <c r="AB158" s="424">
        <f>IF(Year3_Slough Year3_ROSGO_ceased_LAC_SGO="","",Year3_Slough Year3_ROSGO_ceased_LAC_SGO)</f>
        <v>25</v>
      </c>
      <c r="AC158" s="424">
        <f>IF(Year4_Slough Year4_ROSGO_ceased_LAC_SGO="","",Year4_Slough Year4_ROSGO_ceased_LAC_SGO)</f>
        <v>10</v>
      </c>
      <c r="AD158" s="424">
        <f>IF(Year5_Slough Year5_ROSGO_ceased_LAC_SGO="","",Year5_Slough Year5_ROSGO_ceased_LAC_SGO)</f>
        <v>14</v>
      </c>
      <c r="AE158" s="438"/>
      <c r="AF158" s="88"/>
      <c r="AG158" s="88"/>
      <c r="AH158" s="88"/>
      <c r="AI158" s="88"/>
      <c r="AJ158" s="88"/>
      <c r="AK158" s="175"/>
      <c r="AL158" s="80"/>
      <c r="AM158" s="80"/>
      <c r="AN158" s="80"/>
      <c r="AO158" s="80"/>
      <c r="AP158" s="80"/>
      <c r="AQ158" s="80"/>
      <c r="AR158" s="80"/>
      <c r="AS158" s="80"/>
      <c r="AT158" s="80"/>
      <c r="AU158" s="80"/>
      <c r="AV158" s="80"/>
      <c r="AW158" s="80"/>
      <c r="AX158" s="80"/>
      <c r="AY158" s="80"/>
    </row>
    <row r="159" spans="1:51" s="101" customFormat="1" ht="12.75" customHeight="1" x14ac:dyDescent="0.2">
      <c r="A159" s="533">
        <f>VLOOKUP(B159,Sheet1!$B$4:$C$25,2,FALSE)</f>
        <v>0</v>
      </c>
      <c r="B159" s="112" t="str">
        <f t="shared" si="25"/>
        <v>Somerset</v>
      </c>
      <c r="C159" s="97"/>
      <c r="D159" s="182">
        <f>IF(AND(ISNUMBER(Adoption!Z89),ISNUMBER(Z159)),Z159/Adoption!Z89,NA())</f>
        <v>3.3222591362126248E-2</v>
      </c>
      <c r="E159" s="182">
        <f>IF(AND(ISNUMBER(Adoption!AA89),ISNUMBER(AA159)),AA159/Adoption!AA89,NA())</f>
        <v>5.016722408026756E-2</v>
      </c>
      <c r="F159" s="182">
        <f>IF(AND(ISNUMBER(Adoption!AB89),ISNUMBER(AB159)),AB159/Adoption!AB89,NA())</f>
        <v>6.5502183406113537E-2</v>
      </c>
      <c r="G159" s="182">
        <f>IF(AND(ISNUMBER(Adoption!AC89),ISNUMBER(AC159)),AC159/Adoption!AC89,NA())</f>
        <v>0.11494252873563218</v>
      </c>
      <c r="H159" s="184">
        <f>IF(AND(ISNUMBER(Adoption!AD89),ISNUMBER(AD159)),AD159/Adoption!AD89,NA())</f>
        <v>0.12844036697247707</v>
      </c>
      <c r="I159" s="115"/>
      <c r="J159" s="115"/>
      <c r="K159" s="115"/>
      <c r="L159" s="186"/>
      <c r="M159" s="186"/>
      <c r="N159" s="186"/>
      <c r="O159" s="186"/>
      <c r="P159" s="186"/>
      <c r="Q159" s="186"/>
      <c r="R159" s="187"/>
      <c r="S159" s="186"/>
      <c r="T159" s="97"/>
      <c r="U159" s="97"/>
      <c r="V159" s="139"/>
      <c r="W159" s="152"/>
      <c r="X159" s="168"/>
      <c r="Y159" s="424" t="str">
        <f t="shared" si="26"/>
        <v>Somerset</v>
      </c>
      <c r="Z159" s="424">
        <f>IF(Year1_Somerset Year1_ROSGO_ceased_LAC_SGO="","",Year1_Somerset Year1_ROSGO_ceased_LAC_SGO)</f>
        <v>10</v>
      </c>
      <c r="AA159" s="424">
        <f>IF(Year2_Somerset Year2_ROSGO_ceased_LAC_SGO="","",Year2_Somerset Year2_ROSGO_ceased_LAC_SGO)</f>
        <v>15</v>
      </c>
      <c r="AB159" s="424">
        <f>IF(Year3_Somerset Year3_ROSGO_ceased_LAC_SGO="","",Year3_Somerset Year3_ROSGO_ceased_LAC_SGO)</f>
        <v>15</v>
      </c>
      <c r="AC159" s="424">
        <f>IF(Year4_Somerset Year4_ROSGO_ceased_LAC_SGO="","",Year4_Somerset Year4_ROSGO_ceased_LAC_SGO)</f>
        <v>30</v>
      </c>
      <c r="AD159" s="424">
        <f>IF(Year5_Somerset Year5_ROSGO_ceased_LAC_SGO="","",Year5_Somerset Year5_ROSGO_ceased_LAC_SGO)</f>
        <v>28</v>
      </c>
      <c r="AE159" s="438"/>
      <c r="AF159" s="88"/>
      <c r="AG159" s="88"/>
      <c r="AH159" s="88"/>
      <c r="AI159" s="88"/>
      <c r="AJ159" s="88"/>
      <c r="AK159" s="175"/>
      <c r="AL159" s="80"/>
      <c r="AM159" s="80"/>
      <c r="AN159" s="80"/>
      <c r="AO159" s="80"/>
      <c r="AP159" s="80"/>
      <c r="AQ159" s="80"/>
      <c r="AR159" s="80"/>
      <c r="AS159" s="80"/>
      <c r="AT159" s="80"/>
      <c r="AU159" s="80"/>
      <c r="AV159" s="80"/>
      <c r="AW159" s="80"/>
      <c r="AX159" s="80"/>
      <c r="AY159" s="80"/>
    </row>
    <row r="160" spans="1:51" s="101" customFormat="1" ht="12.75" customHeight="1" x14ac:dyDescent="0.2">
      <c r="A160" s="533">
        <f>VLOOKUP(B160,Sheet1!$B$4:$C$25,2,FALSE)</f>
        <v>0</v>
      </c>
      <c r="B160" s="112" t="str">
        <f t="shared" si="25"/>
        <v>Southampton</v>
      </c>
      <c r="C160" s="97"/>
      <c r="D160" s="182">
        <f>IF(AND(ISNUMBER(Adoption!Z90),ISNUMBER(Z160)),Z160/Adoption!Z90,NA())</f>
        <v>0.10869565217391304</v>
      </c>
      <c r="E160" s="182">
        <f>IF(AND(ISNUMBER(Adoption!AA90),ISNUMBER(AA160)),AA160/Adoption!AA90,NA())</f>
        <v>5.2083333333333336E-2</v>
      </c>
      <c r="F160" s="182">
        <f>IF(AND(ISNUMBER(Adoption!AB90),ISNUMBER(AB160)),AB160/Adoption!AB90,NA())</f>
        <v>0.14634146341463414</v>
      </c>
      <c r="G160" s="182">
        <f>IF(AND(ISNUMBER(Adoption!AC90),ISNUMBER(AC160)),AC160/Adoption!AC90,NA())</f>
        <v>0.15837104072398189</v>
      </c>
      <c r="H160" s="184">
        <f>IF(AND(ISNUMBER(Adoption!AD90),ISNUMBER(AD160)),AD160/Adoption!AD90,NA())</f>
        <v>0.19796954314720813</v>
      </c>
      <c r="I160" s="115"/>
      <c r="J160" s="115"/>
      <c r="K160" s="115"/>
      <c r="L160" s="186"/>
      <c r="M160" s="186"/>
      <c r="N160" s="186"/>
      <c r="O160" s="186"/>
      <c r="P160" s="186"/>
      <c r="Q160" s="186"/>
      <c r="R160" s="187"/>
      <c r="S160" s="186"/>
      <c r="T160" s="97"/>
      <c r="U160" s="97"/>
      <c r="V160" s="139"/>
      <c r="W160" s="152"/>
      <c r="X160" s="168"/>
      <c r="Y160" s="424" t="str">
        <f t="shared" si="26"/>
        <v>Southampton</v>
      </c>
      <c r="Z160" s="424">
        <f>IF(Year1_Southampton Year1_ROSGO_ceased_LAC_SGO="","",Year1_Southampton Year1_ROSGO_ceased_LAC_SGO)</f>
        <v>20</v>
      </c>
      <c r="AA160" s="424">
        <f>IF(Year2_Southampton Year2_ROSGO_ceased_LAC_SGO="","",Year2_Southampton Year2_ROSGO_ceased_LAC_SGO)</f>
        <v>10</v>
      </c>
      <c r="AB160" s="424">
        <f>IF(Year3_Southampton Year3_ROSGO_ceased_LAC_SGO="","",Year3_Southampton Year3_ROSGO_ceased_LAC_SGO)</f>
        <v>30</v>
      </c>
      <c r="AC160" s="424">
        <f>IF(Year4_Southampton Year4_ROSGO_ceased_LAC_SGO="","",Year4_Southampton Year4_ROSGO_ceased_LAC_SGO)</f>
        <v>35</v>
      </c>
      <c r="AD160" s="424">
        <f>IF(Year5_Southampton Year5_ROSGO_ceased_LAC_SGO="","",Year5_Southampton Year5_ROSGO_ceased_LAC_SGO)</f>
        <v>39</v>
      </c>
      <c r="AE160" s="438"/>
      <c r="AF160" s="88"/>
      <c r="AG160" s="88"/>
      <c r="AH160" s="88"/>
      <c r="AI160" s="88"/>
      <c r="AJ160" s="88"/>
      <c r="AK160" s="175"/>
      <c r="AL160" s="80"/>
      <c r="AM160" s="80"/>
      <c r="AN160" s="80"/>
      <c r="AO160" s="80"/>
      <c r="AP160" s="80"/>
      <c r="AQ160" s="80"/>
      <c r="AR160" s="80"/>
      <c r="AS160" s="80"/>
      <c r="AT160" s="80"/>
      <c r="AU160" s="80"/>
      <c r="AV160" s="80"/>
      <c r="AW160" s="80"/>
      <c r="AX160" s="80"/>
      <c r="AY160" s="80"/>
    </row>
    <row r="161" spans="1:51" s="101" customFormat="1" ht="12.75" customHeight="1" x14ac:dyDescent="0.2">
      <c r="A161" s="533">
        <f>VLOOKUP(B161,Sheet1!$B$4:$C$25,2,FALSE)</f>
        <v>0</v>
      </c>
      <c r="B161" s="112" t="str">
        <f t="shared" si="25"/>
        <v>Surrey</v>
      </c>
      <c r="C161" s="97"/>
      <c r="D161" s="182">
        <f>IF(AND(ISNUMBER(Adoption!Z91),ISNUMBER(Z161)),Z161/Adoption!Z91,NA())</f>
        <v>0.15550239234449761</v>
      </c>
      <c r="E161" s="182">
        <f>IF(AND(ISNUMBER(Adoption!AA91),ISNUMBER(AA161)),AA161/Adoption!AA91,NA())</f>
        <v>0.13368983957219252</v>
      </c>
      <c r="F161" s="182">
        <f>IF(AND(ISNUMBER(Adoption!AB91),ISNUMBER(AB161)),AB161/Adoption!AB91,NA())</f>
        <v>9.8765432098765427E-2</v>
      </c>
      <c r="G161" s="182">
        <f>IF(AND(ISNUMBER(Adoption!AC91),ISNUMBER(AC161)),AC161/Adoption!AC91,NA())</f>
        <v>0.13365155131264916</v>
      </c>
      <c r="H161" s="184">
        <f>IF(AND(ISNUMBER(Adoption!AD91),ISNUMBER(AD161)),AD161/Adoption!AD91,NA())</f>
        <v>0.125</v>
      </c>
      <c r="I161" s="115"/>
      <c r="J161" s="115"/>
      <c r="K161" s="115"/>
      <c r="L161" s="186"/>
      <c r="M161" s="186"/>
      <c r="N161" s="186"/>
      <c r="O161" s="186"/>
      <c r="P161" s="186"/>
      <c r="Q161" s="186"/>
      <c r="R161" s="187"/>
      <c r="S161" s="186"/>
      <c r="T161" s="97"/>
      <c r="U161" s="97"/>
      <c r="V161" s="139"/>
      <c r="W161" s="152"/>
      <c r="X161" s="168"/>
      <c r="Y161" s="424" t="str">
        <f t="shared" si="26"/>
        <v>Surrey</v>
      </c>
      <c r="Z161" s="424">
        <f>IF(Year1_Surrey Year1_ROSGO_ceased_LAC_SGO="","",Year1_Surrey Year1_ROSGO_ceased_LAC_SGO)</f>
        <v>65</v>
      </c>
      <c r="AA161" s="424">
        <f>IF(Year2_Surrey Year2_ROSGO_ceased_LAC_SGO="","",Year2_Surrey Year2_ROSGO_ceased_LAC_SGO)</f>
        <v>50</v>
      </c>
      <c r="AB161" s="424">
        <f>IF(Year3_Surrey Year3_ROSGO_ceased_LAC_SGO="","",Year3_Surrey Year3_ROSGO_ceased_LAC_SGO)</f>
        <v>40</v>
      </c>
      <c r="AC161" s="424">
        <f>IF(Year4_Surrey Year4_ROSGO_ceased_LAC_SGO="","",Year4_Surrey Year4_ROSGO_ceased_LAC_SGO)</f>
        <v>56</v>
      </c>
      <c r="AD161" s="424">
        <f>IF(Year5_Surrey Year5_ROSGO_ceased_LAC_SGO="","",Year5_Surrey Year5_ROSGO_ceased_LAC_SGO)</f>
        <v>51</v>
      </c>
      <c r="AE161" s="438"/>
      <c r="AF161" s="88"/>
      <c r="AG161" s="88"/>
      <c r="AH161" s="88"/>
      <c r="AI161" s="88"/>
      <c r="AJ161" s="88"/>
      <c r="AK161" s="175"/>
      <c r="AL161" s="80"/>
      <c r="AM161" s="80"/>
      <c r="AN161" s="80"/>
      <c r="AO161" s="80"/>
      <c r="AP161" s="80"/>
      <c r="AQ161" s="80"/>
      <c r="AR161" s="80"/>
      <c r="AS161" s="80"/>
      <c r="AT161" s="80"/>
      <c r="AU161" s="80"/>
      <c r="AV161" s="80"/>
      <c r="AW161" s="80"/>
      <c r="AX161" s="80"/>
      <c r="AY161" s="80"/>
    </row>
    <row r="162" spans="1:51" s="101" customFormat="1" ht="12.75" customHeight="1" x14ac:dyDescent="0.2">
      <c r="A162" s="533">
        <f>VLOOKUP(B162,Sheet1!$B$4:$C$25,2,FALSE)</f>
        <v>0</v>
      </c>
      <c r="B162" s="112" t="str">
        <f t="shared" si="25"/>
        <v>Swindon</v>
      </c>
      <c r="C162" s="97"/>
      <c r="D162" s="182">
        <f>IF(AND(ISNUMBER(Adoption!Z92),ISNUMBER(Z162)),Z162/Adoption!Z92,NA())</f>
        <v>3.7313432835820892E-2</v>
      </c>
      <c r="E162" s="182">
        <f>IF(AND(ISNUMBER(Adoption!AA92),ISNUMBER(AA162)),AA162/Adoption!AA92,NA())</f>
        <v>7.407407407407407E-2</v>
      </c>
      <c r="F162" s="182">
        <f>IF(AND(ISNUMBER(Adoption!AB92),ISNUMBER(AB162)),AB162/Adoption!AB92,NA())</f>
        <v>7.1942446043165464E-2</v>
      </c>
      <c r="G162" s="182">
        <f>IF(AND(ISNUMBER(Adoption!AC92),ISNUMBER(AC162)),AC162/Adoption!AC92,NA())</f>
        <v>0.12666666666666668</v>
      </c>
      <c r="H162" s="184">
        <f>IF(AND(ISNUMBER(Adoption!AD92),ISNUMBER(AD162)),AD162/Adoption!AD92,NA())</f>
        <v>0.18064516129032257</v>
      </c>
      <c r="I162" s="115"/>
      <c r="J162" s="115"/>
      <c r="K162" s="115"/>
      <c r="L162" s="186"/>
      <c r="M162" s="186"/>
      <c r="N162" s="186"/>
      <c r="O162" s="186"/>
      <c r="P162" s="186"/>
      <c r="Q162" s="186"/>
      <c r="R162" s="187"/>
      <c r="S162" s="186"/>
      <c r="T162" s="97"/>
      <c r="U162" s="97"/>
      <c r="V162" s="139"/>
      <c r="W162" s="152"/>
      <c r="X162" s="168"/>
      <c r="Y162" s="424" t="str">
        <f t="shared" si="26"/>
        <v>Swindon</v>
      </c>
      <c r="Z162" s="424">
        <f>IF(Year1_Swindon Year1_ROSGO_ceased_LAC_SGO="","",Year1_Swindon Year1_ROSGO_ceased_LAC_SGO)</f>
        <v>5</v>
      </c>
      <c r="AA162" s="424">
        <f>IF(Year2_Swindon Year2_ROSGO_ceased_LAC_SGO="","",Year2_Swindon Year2_ROSGO_ceased_LAC_SGO)</f>
        <v>10</v>
      </c>
      <c r="AB162" s="424">
        <f>IF(Year3_Swindon Year3_ROSGO_ceased_LAC_SGO="","",Year3_Swindon Year3_ROSGO_ceased_LAC_SGO)</f>
        <v>10</v>
      </c>
      <c r="AC162" s="660">
        <f>IF(Year4_Swindon Year4_ROSGO_ceased_LAC_SGO="","",Year4_Swindon Year4_ROSGO_ceased_LAC_SGO)</f>
        <v>19</v>
      </c>
      <c r="AD162" s="660">
        <f>IF(Year5_Swindon Year5_ROSGO_ceased_LAC_SGO="","",Year5_Swindon Year5_ROSGO_ceased_LAC_SGO)</f>
        <v>28</v>
      </c>
      <c r="AE162" s="438"/>
      <c r="AF162" s="88"/>
      <c r="AG162" s="88"/>
      <c r="AH162" s="88"/>
      <c r="AI162" s="88"/>
      <c r="AJ162" s="88"/>
      <c r="AK162" s="175"/>
      <c r="AL162" s="80"/>
      <c r="AM162" s="80"/>
      <c r="AN162" s="80"/>
      <c r="AO162" s="80"/>
      <c r="AP162" s="80"/>
      <c r="AQ162" s="80"/>
      <c r="AR162" s="80"/>
      <c r="AS162" s="80"/>
      <c r="AT162" s="80"/>
      <c r="AU162" s="80"/>
      <c r="AV162" s="80"/>
      <c r="AW162" s="80"/>
      <c r="AX162" s="80"/>
      <c r="AY162" s="80"/>
    </row>
    <row r="163" spans="1:51" s="101" customFormat="1" ht="12.75" customHeight="1" x14ac:dyDescent="0.2">
      <c r="A163" s="533">
        <f>VLOOKUP(B163,Sheet1!$B$4:$C$25,2,FALSE)</f>
        <v>0</v>
      </c>
      <c r="B163" s="112" t="str">
        <f t="shared" si="25"/>
        <v>Torbay</v>
      </c>
      <c r="C163" s="97"/>
      <c r="D163" s="182">
        <f>IF(AND(ISNUMBER(Adoption!Z93),ISNUMBER(Z163)),Z163/Adoption!Z93,NA())</f>
        <v>9.6153846153846159E-2</v>
      </c>
      <c r="E163" s="182">
        <f>IF(AND(ISNUMBER(Adoption!AA93),ISNUMBER(AA163)),AA163/Adoption!AA93,NA())</f>
        <v>8.0645161290322578E-2</v>
      </c>
      <c r="F163" s="182">
        <f>IF(AND(ISNUMBER(Adoption!AB93),ISNUMBER(AB163)),AB163/Adoption!AB93,NA())</f>
        <v>0.08</v>
      </c>
      <c r="G163" s="182">
        <f>IF(AND(ISNUMBER(Adoption!AC93),ISNUMBER(AC163)),AC163/Adoption!AC93,NA())</f>
        <v>0.14678899082568808</v>
      </c>
      <c r="H163" s="184">
        <f>IF(AND(ISNUMBER(Adoption!AD93),ISNUMBER(AD163)),AD163/Adoption!AD93,NA())</f>
        <v>9.8039215686274508E-2</v>
      </c>
      <c r="I163" s="115"/>
      <c r="J163" s="115"/>
      <c r="K163" s="115"/>
      <c r="L163" s="186"/>
      <c r="M163" s="186"/>
      <c r="N163" s="186"/>
      <c r="O163" s="186"/>
      <c r="P163" s="186"/>
      <c r="Q163" s="186"/>
      <c r="R163" s="187"/>
      <c r="S163" s="186"/>
      <c r="T163" s="97"/>
      <c r="U163" s="97"/>
      <c r="V163" s="139"/>
      <c r="W163" s="152"/>
      <c r="X163" s="168"/>
      <c r="Y163" s="424" t="str">
        <f t="shared" si="26"/>
        <v>Torbay</v>
      </c>
      <c r="Z163" s="424">
        <f>IF(Year1_Torbay Year1_ROSGO_ceased_LAC_SGO="","",Year1_Torbay Year1_ROSGO_ceased_LAC_SGO)</f>
        <v>15</v>
      </c>
      <c r="AA163" s="424">
        <f>IF(Year2_Torbay Year2_ROSGO_ceased_LAC_SGO="","",Year2_Torbay Year2_ROSGO_ceased_LAC_SGO)</f>
        <v>10</v>
      </c>
      <c r="AB163" s="424">
        <f>IF(Year3_Torbay Year3_ROSGO_ceased_LAC_SGO="","",Year3_Torbay Year3_ROSGO_ceased_LAC_SGO)</f>
        <v>10</v>
      </c>
      <c r="AC163" s="660">
        <f>IF(Year4_Torbay Year4_ROSGO_ceased_LAC_SGO="","",Year4_Torbay Year4_ROSGO_ceased_LAC_SGO)</f>
        <v>16</v>
      </c>
      <c r="AD163" s="660">
        <f>IF(Year5_Torbay Year5_ROSGO_ceased_LAC_SGO="","",Year5_Torbay Year5_ROSGO_ceased_LAC_SGO)</f>
        <v>10</v>
      </c>
      <c r="AE163" s="438"/>
      <c r="AF163" s="88"/>
      <c r="AG163" s="88"/>
      <c r="AH163" s="88"/>
      <c r="AI163" s="88"/>
      <c r="AJ163" s="88"/>
      <c r="AK163" s="175"/>
      <c r="AL163" s="80"/>
      <c r="AM163" s="80"/>
      <c r="AN163" s="80"/>
      <c r="AO163" s="80"/>
      <c r="AP163" s="80"/>
      <c r="AQ163" s="80"/>
      <c r="AR163" s="80"/>
      <c r="AS163" s="80"/>
      <c r="AT163" s="80"/>
      <c r="AU163" s="80"/>
      <c r="AV163" s="80"/>
      <c r="AW163" s="80"/>
      <c r="AX163" s="80"/>
      <c r="AY163" s="80"/>
    </row>
    <row r="164" spans="1:51" s="101" customFormat="1" ht="12.75" customHeight="1" x14ac:dyDescent="0.2">
      <c r="A164" s="533">
        <f>VLOOKUP(B164,Sheet1!$B$4:$C$25,2,FALSE)</f>
        <v>0</v>
      </c>
      <c r="B164" s="112" t="str">
        <f t="shared" si="25"/>
        <v>West Berkshire</v>
      </c>
      <c r="C164" s="97"/>
      <c r="D164" s="182">
        <f>IF(AND(ISNUMBER(Adoption!Z94),ISNUMBER(Z164)),Z164/Adoption!Z94,NA())</f>
        <v>0.14705882352941177</v>
      </c>
      <c r="E164" s="182">
        <f>IF(AND(ISNUMBER(Adoption!AA94),ISNUMBER(AA164)),AA164/Adoption!AA94,NA())</f>
        <v>0.15384615384615385</v>
      </c>
      <c r="F164" s="182">
        <f>IF(AND(ISNUMBER(Adoption!AB94),ISNUMBER(AB164)),AB164/Adoption!AB94,NA())</f>
        <v>0.14492753623188406</v>
      </c>
      <c r="G164" s="182" t="e">
        <f>IF(AND(ISNUMBER(Adoption!AC94),ISNUMBER(AC164)),AC164/Adoption!AC94,NA())</f>
        <v>#N/A</v>
      </c>
      <c r="H164" s="184">
        <f>IF(AND(ISNUMBER(Adoption!AD94),ISNUMBER(AD164)),AD164/Adoption!AD94,NA())</f>
        <v>0.23255813953488372</v>
      </c>
      <c r="I164" s="115"/>
      <c r="J164" s="115"/>
      <c r="K164" s="115"/>
      <c r="L164" s="186"/>
      <c r="M164" s="186"/>
      <c r="N164" s="186"/>
      <c r="O164" s="186"/>
      <c r="P164" s="186"/>
      <c r="Q164" s="186"/>
      <c r="R164" s="187"/>
      <c r="S164" s="186"/>
      <c r="T164" s="97"/>
      <c r="U164" s="97"/>
      <c r="V164" s="139"/>
      <c r="W164" s="152"/>
      <c r="X164" s="168"/>
      <c r="Y164" s="424" t="str">
        <f t="shared" si="26"/>
        <v>West Berkshire</v>
      </c>
      <c r="Z164" s="424">
        <f>IF(Year1_West_Berkshire Year1_ROSGO_ceased_LAC_SGO="","",Year1_West_Berkshire Year1_ROSGO_ceased_LAC_SGO)</f>
        <v>10</v>
      </c>
      <c r="AA164" s="424">
        <f>IF(Year2_West_Berkshire Year2_ROSGO_ceased_LAC_SGO="","",Year2_West_Berkshire Year2_ROSGO_ceased_LAC_SGO)</f>
        <v>10</v>
      </c>
      <c r="AB164" s="424">
        <f>IF(Year3_West_Berkshire Year3_ROSGO_ceased_LAC_SGO="","",Year3_West_Berkshire Year3_ROSGO_ceased_LAC_SGO)</f>
        <v>10</v>
      </c>
      <c r="AC164" s="424" t="str">
        <f>IF(Year4_West_Berkshire Year4_ROSGO_ceased_LAC_SGO="","",Year4_West_Berkshire Year4_ROSGO_ceased_LAC_SGO)</f>
        <v>x</v>
      </c>
      <c r="AD164" s="424">
        <f>IF(Year5_West_Berkshire Year5_ROSGO_ceased_LAC_SGO="","",Year5_West_Berkshire Year5_ROSGO_ceased_LAC_SGO)</f>
        <v>20</v>
      </c>
      <c r="AE164" s="438"/>
      <c r="AF164" s="88"/>
      <c r="AG164" s="88"/>
      <c r="AH164" s="88"/>
      <c r="AI164" s="88"/>
      <c r="AJ164" s="88"/>
      <c r="AK164" s="175"/>
      <c r="AL164" s="80"/>
      <c r="AM164" s="80"/>
      <c r="AN164" s="80"/>
      <c r="AO164" s="80"/>
      <c r="AP164" s="80"/>
      <c r="AQ164" s="80"/>
      <c r="AR164" s="80"/>
      <c r="AS164" s="80"/>
      <c r="AT164" s="80"/>
      <c r="AU164" s="80"/>
      <c r="AV164" s="80"/>
      <c r="AW164" s="80"/>
      <c r="AX164" s="80"/>
      <c r="AY164" s="80"/>
    </row>
    <row r="165" spans="1:51" s="101" customFormat="1" ht="12.75" customHeight="1" x14ac:dyDescent="0.2">
      <c r="A165" s="533">
        <f>VLOOKUP(B165,Sheet1!$B$4:$C$25,2,FALSE)</f>
        <v>0</v>
      </c>
      <c r="B165" s="112" t="str">
        <f t="shared" si="25"/>
        <v>West Sussex</v>
      </c>
      <c r="C165" s="97"/>
      <c r="D165" s="182">
        <f>IF(AND(ISNUMBER(Adoption!Z95),ISNUMBER(Z165)),Z165/Adoption!Z95,NA())</f>
        <v>9.2105263157894732E-2</v>
      </c>
      <c r="E165" s="182">
        <f>IF(AND(ISNUMBER(Adoption!AA95),ISNUMBER(AA165)),AA165/Adoption!AA95,NA())</f>
        <v>6.097560975609756E-2</v>
      </c>
      <c r="F165" s="182">
        <f>IF(AND(ISNUMBER(Adoption!AB95),ISNUMBER(AB165)),AB165/Adoption!AB95,NA())</f>
        <v>0.11658031088082901</v>
      </c>
      <c r="G165" s="182">
        <f>IF(AND(ISNUMBER(Adoption!AC95),ISNUMBER(AC165)),AC165/Adoption!AC95,NA())</f>
        <v>8.4033613445378158E-2</v>
      </c>
      <c r="H165" s="184">
        <f>IF(AND(ISNUMBER(Adoption!AD95),ISNUMBER(AD165)),AD165/Adoption!AD95,NA())</f>
        <v>0.10946745562130178</v>
      </c>
      <c r="I165" s="115"/>
      <c r="J165" s="115"/>
      <c r="K165" s="115"/>
      <c r="L165" s="186"/>
      <c r="M165" s="186"/>
      <c r="N165" s="186"/>
      <c r="O165" s="186"/>
      <c r="P165" s="186"/>
      <c r="Q165" s="186"/>
      <c r="R165" s="187"/>
      <c r="S165" s="186"/>
      <c r="T165" s="97"/>
      <c r="U165" s="97"/>
      <c r="V165" s="139"/>
      <c r="W165" s="152"/>
      <c r="X165" s="168"/>
      <c r="Y165" s="424" t="str">
        <f t="shared" si="26"/>
        <v>West Sussex</v>
      </c>
      <c r="Z165" s="424">
        <f>IF(Year1_West_Sussex Year1_ROSGO_ceased_LAC_SGO="","",Year1_West_Sussex Year1_ROSGO_ceased_LAC_SGO)</f>
        <v>35</v>
      </c>
      <c r="AA165" s="424">
        <f>IF(Year2_West_Sussex Year2_ROSGO_ceased_LAC_SGO="","",Year2_West_Sussex Year2_ROSGO_ceased_LAC_SGO)</f>
        <v>20</v>
      </c>
      <c r="AB165" s="424">
        <f>IF(Year3_West_Sussex Year3_ROSGO_ceased_LAC_SGO="","",Year3_West_Sussex Year3_ROSGO_ceased_LAC_SGO)</f>
        <v>45</v>
      </c>
      <c r="AC165" s="424">
        <f>IF(Year4_West_Sussex Year4_ROSGO_ceased_LAC_SGO="","",Year4_West_Sussex Year4_ROSGO_ceased_LAC_SGO)</f>
        <v>30</v>
      </c>
      <c r="AD165" s="424">
        <f>IF(Year5_West_Sussex Year5_ROSGO_ceased_LAC_SGO="","",Year5_West_Sussex Year5_ROSGO_ceased_LAC_SGO)</f>
        <v>37</v>
      </c>
      <c r="AE165" s="438"/>
      <c r="AF165" s="88"/>
      <c r="AG165" s="88"/>
      <c r="AH165" s="88"/>
      <c r="AI165" s="88"/>
      <c r="AJ165" s="88"/>
      <c r="AK165" s="175"/>
      <c r="AL165" s="80"/>
      <c r="AM165" s="80"/>
      <c r="AN165" s="80"/>
      <c r="AO165" s="80"/>
      <c r="AP165" s="80"/>
      <c r="AQ165" s="80"/>
      <c r="AR165" s="80"/>
      <c r="AS165" s="80"/>
      <c r="AT165" s="80"/>
      <c r="AU165" s="80"/>
      <c r="AV165" s="80"/>
      <c r="AW165" s="80"/>
      <c r="AX165" s="80"/>
      <c r="AY165" s="80"/>
    </row>
    <row r="166" spans="1:51" s="101" customFormat="1" ht="12.75" customHeight="1" x14ac:dyDescent="0.2">
      <c r="A166" s="533">
        <f>VLOOKUP(B166,Sheet1!$B$4:$C$25,2,FALSE)</f>
        <v>0</v>
      </c>
      <c r="B166" s="112" t="str">
        <f t="shared" si="25"/>
        <v>Windsor &amp; Maidenhead</v>
      </c>
      <c r="C166" s="97"/>
      <c r="D166" s="182" t="e">
        <f>IF(AND(ISNUMBER(Adoption!Z96),ISNUMBER(Z166)),Z166/Adoption!Z96,NA())</f>
        <v>#N/A</v>
      </c>
      <c r="E166" s="182">
        <f>IF(AND(ISNUMBER(Adoption!AA96),ISNUMBER(AA166)),AA166/Adoption!AA96,NA())</f>
        <v>0.21276595744680851</v>
      </c>
      <c r="F166" s="182" t="e">
        <f>IF(AND(ISNUMBER(Adoption!AB96),ISNUMBER(AB166)),AB166/Adoption!AB96,NA())</f>
        <v>#N/A</v>
      </c>
      <c r="G166" s="182" t="e">
        <f>IF(AND(ISNUMBER(Adoption!AC96),ISNUMBER(AC166)),AC166/Adoption!AC96,NA())</f>
        <v>#N/A</v>
      </c>
      <c r="H166" s="184" t="e">
        <f>IF(AND(ISNUMBER(Adoption!AD96),ISNUMBER(AD166)),AD166/Adoption!AD96,NA())</f>
        <v>#N/A</v>
      </c>
      <c r="I166" s="115"/>
      <c r="J166" s="115"/>
      <c r="K166" s="115"/>
      <c r="L166" s="186"/>
      <c r="M166" s="186"/>
      <c r="N166" s="186"/>
      <c r="O166" s="186"/>
      <c r="P166" s="186"/>
      <c r="Q166" s="186"/>
      <c r="R166" s="187"/>
      <c r="S166" s="186"/>
      <c r="T166" s="97"/>
      <c r="U166" s="97"/>
      <c r="V166" s="139"/>
      <c r="W166" s="152"/>
      <c r="X166" s="168"/>
      <c r="Y166" s="424" t="str">
        <f t="shared" si="26"/>
        <v>Windsor &amp; Maidenhead</v>
      </c>
      <c r="Z166" s="424" t="str">
        <f>IF(Year1_Windsor_Maidenhead Year1_ROSGO_ceased_LAC_SGO="","",Year1_Windsor_Maidenhead Year1_ROSGO_ceased_LAC_SGO)</f>
        <v>-</v>
      </c>
      <c r="AA166" s="424">
        <f>IF(Year2_Windsor_Maidenhead Year2_ROSGO_ceased_LAC_SGO="","",Year2_Windsor_Maidenhead Year2_ROSGO_ceased_LAC_SGO)</f>
        <v>10</v>
      </c>
      <c r="AB166" s="424" t="str">
        <f>IF(Year3_Windsor_Maidenhead Year3_ROSGO_ceased_LAC_SGO="","",Year3_Windsor_Maidenhead Year3_ROSGO_ceased_LAC_SGO)</f>
        <v>-</v>
      </c>
      <c r="AC166" s="424" t="str">
        <f>IF(Year4_Windsor_Maidenhead Year4_ROSGO_ceased_LAC_SGO="","",Year4_Windsor_Maidenhead Year4_ROSGO_ceased_LAC_SGO)</f>
        <v>x</v>
      </c>
      <c r="AD166" s="424" t="str">
        <f>IF(Year5_Windsor_Maidenhead Year5_ROSGO_ceased_LAC_SGO="","",Year5_Windsor_Maidenhead Year5_ROSGO_ceased_LAC_SGO)</f>
        <v>x</v>
      </c>
      <c r="AE166" s="438"/>
      <c r="AF166" s="88"/>
      <c r="AG166" s="88"/>
      <c r="AH166" s="88"/>
      <c r="AI166" s="88"/>
      <c r="AJ166" s="88"/>
      <c r="AK166" s="175"/>
      <c r="AL166" s="80"/>
      <c r="AM166" s="80"/>
      <c r="AN166" s="80"/>
      <c r="AO166" s="80"/>
      <c r="AP166" s="80"/>
      <c r="AQ166" s="80"/>
      <c r="AR166" s="80"/>
      <c r="AS166" s="80"/>
      <c r="AT166" s="80"/>
      <c r="AU166" s="80"/>
      <c r="AV166" s="80"/>
      <c r="AW166" s="80"/>
      <c r="AX166" s="80"/>
      <c r="AY166" s="80"/>
    </row>
    <row r="167" spans="1:51" s="101" customFormat="1" ht="12.75" customHeight="1" x14ac:dyDescent="0.2">
      <c r="A167" s="533">
        <f>VLOOKUP(B167,Sheet1!$B$4:$C$25,2,FALSE)</f>
        <v>0</v>
      </c>
      <c r="B167" s="112" t="str">
        <f t="shared" si="25"/>
        <v>Wokingham</v>
      </c>
      <c r="C167" s="97"/>
      <c r="D167" s="182">
        <f>IF(AND(ISNUMBER(Adoption!Z97),ISNUMBER(Z167)),Z167/Adoption!Z97,NA())</f>
        <v>0.27027027027027029</v>
      </c>
      <c r="E167" s="182" t="e">
        <f>IF(AND(ISNUMBER(Adoption!AA97),ISNUMBER(AA167)),AA167/Adoption!AA97,NA())</f>
        <v>#N/A</v>
      </c>
      <c r="F167" s="182" t="e">
        <f>IF(AND(ISNUMBER(Adoption!AB97),ISNUMBER(AB167)),AB167/Adoption!AB97,NA())</f>
        <v>#N/A</v>
      </c>
      <c r="G167" s="182" t="e">
        <f>IF(AND(ISNUMBER(Adoption!AC97),ISNUMBER(AC167)),AC167/Adoption!AC97,NA())</f>
        <v>#N/A</v>
      </c>
      <c r="H167" s="184" t="e">
        <f>IF(AND(ISNUMBER(Adoption!AD97),ISNUMBER(AD167)),AD167/Adoption!AD97,NA())</f>
        <v>#N/A</v>
      </c>
      <c r="I167" s="115"/>
      <c r="J167" s="115"/>
      <c r="K167" s="115"/>
      <c r="L167" s="186"/>
      <c r="M167" s="186"/>
      <c r="N167" s="186"/>
      <c r="O167" s="186"/>
      <c r="P167" s="186"/>
      <c r="Q167" s="186"/>
      <c r="R167" s="187"/>
      <c r="S167" s="186"/>
      <c r="T167" s="97"/>
      <c r="U167" s="97"/>
      <c r="V167" s="139"/>
      <c r="W167" s="152"/>
      <c r="X167" s="168"/>
      <c r="Y167" s="424" t="str">
        <f t="shared" si="26"/>
        <v>Wokingham</v>
      </c>
      <c r="Z167" s="424">
        <f>IF(Year1_Wokingham Year1_ROSGO_ceased_LAC_SGO="","",Year1_Wokingham Year1_ROSGO_ceased_LAC_SGO)</f>
        <v>10</v>
      </c>
      <c r="AA167" s="424" t="str">
        <f>IF(Year2_Wokingham Year2_ROSGO_ceased_LAC_SGO="","",Year2_Wokingham Year2_ROSGO_ceased_LAC_SGO)</f>
        <v>-</v>
      </c>
      <c r="AB167" s="424" t="str">
        <f>IF(Year3_Wokingham Year3_ROSGO_ceased_LAC_SGO="","",Year3_Wokingham Year3_ROSGO_ceased_LAC_SGO)</f>
        <v>-</v>
      </c>
      <c r="AC167" s="424" t="str">
        <f>IF(Year4_Wokingham Year4_ROSGO_ceased_LAC_SGO="","",Year4_Wokingham Year4_ROSGO_ceased_LAC_SGO)</f>
        <v>x</v>
      </c>
      <c r="AD167" s="424" t="str">
        <f>IF(Year5_Wokingham Year5_ROSGO_ceased_LAC_SGO="","",Year5_Wokingham Year5_ROSGO_ceased_LAC_SGO)</f>
        <v>x</v>
      </c>
      <c r="AE167" s="438"/>
      <c r="AF167" s="88"/>
      <c r="AG167" s="88"/>
      <c r="AH167" s="88"/>
      <c r="AI167" s="88"/>
      <c r="AJ167" s="88"/>
      <c r="AK167" s="175"/>
      <c r="AL167" s="80"/>
      <c r="AM167" s="80"/>
      <c r="AN167" s="80"/>
      <c r="AO167" s="80"/>
      <c r="AP167" s="80"/>
      <c r="AQ167" s="80"/>
      <c r="AR167" s="80"/>
      <c r="AS167" s="80"/>
      <c r="AT167" s="80"/>
      <c r="AU167" s="80"/>
      <c r="AV167" s="80"/>
      <c r="AW167" s="80"/>
      <c r="AX167" s="80"/>
      <c r="AY167" s="80"/>
    </row>
    <row r="168" spans="1:51" s="101" customFormat="1" ht="12.75" customHeight="1" x14ac:dyDescent="0.2">
      <c r="A168" s="138"/>
      <c r="B168" s="146" t="str">
        <f t="shared" si="25"/>
        <v>South East</v>
      </c>
      <c r="C168" s="97"/>
      <c r="D168" s="183">
        <f>IF(AND(ISNUMBER(Adoption!Z98),ISNUMBER(Z168)),Z168/Adoption!Z98,NA())</f>
        <v>0.10990367992096814</v>
      </c>
      <c r="E168" s="183">
        <f>IF(AND(ISNUMBER(Adoption!AA98),ISNUMBER(AA168)),AA168/Adoption!AA98,NA())</f>
        <v>9.2909535452322736E-2</v>
      </c>
      <c r="F168" s="183">
        <f>IF(AND(ISNUMBER(Adoption!AB98),ISNUMBER(AB168)),AB168/Adoption!AB98,NA())</f>
        <v>9.6982758620689655E-2</v>
      </c>
      <c r="G168" s="183">
        <f>IF(AND(ISNUMBER(Adoption!AC98),ISNUMBER(AC168)),AC168/Adoption!AC98,NA())</f>
        <v>9.8924731182795697E-2</v>
      </c>
      <c r="H168" s="185">
        <f>IF(AND(ISNUMBER(Adoption!AD98),ISNUMBER(AD168)),AD168/Adoption!AD98,NA())</f>
        <v>0.11627906976744186</v>
      </c>
      <c r="I168" s="115"/>
      <c r="J168" s="115"/>
      <c r="K168" s="115"/>
      <c r="L168" s="188"/>
      <c r="M168" s="188"/>
      <c r="N168" s="188"/>
      <c r="O168" s="188"/>
      <c r="P168" s="188"/>
      <c r="Q168" s="188"/>
      <c r="R168" s="189"/>
      <c r="S168" s="190"/>
      <c r="T168" s="97"/>
      <c r="U168" s="97"/>
      <c r="V168" s="139"/>
      <c r="W168" s="152"/>
      <c r="X168" s="168"/>
      <c r="Y168" s="424" t="str">
        <f t="shared" si="26"/>
        <v>South East</v>
      </c>
      <c r="Z168" s="719">
        <f>IF(Year1_SouthEast Year1_ROSGO_ceased_LAC_SGO=0,NA(),Year1_SouthEast Year1_ROSGO_ceased_LAC_SGO)</f>
        <v>445</v>
      </c>
      <c r="AA168" s="716">
        <f>IF(Year2_SouthEast Year2_ROSGO_ceased_LAC_SGO=0,NA(),Year2_SouthEast Year2_ROSGO_ceased_LAC_SGO)</f>
        <v>380</v>
      </c>
      <c r="AB168" s="716">
        <f>IF(Year3_SouthEast Year3_ROSGO_ceased_LAC_SGO=0,NA(),Year3_SouthEast Year3_ROSGO_ceased_LAC_SGO)</f>
        <v>450</v>
      </c>
      <c r="AC168" s="424">
        <f>IF(Year4_SouthEast Year4_ROSGO_ceased_LAC_SGO=0,NA(),Year4_SouthEast Year4_ROSGO_ceased_LAC_SGO)</f>
        <v>460</v>
      </c>
      <c r="AD168" s="424">
        <f>IF(Year5_SouthEast Year5_ROSGO_ceased_LAC_SGO=0,NA(),Year5_SouthEast Year5_ROSGO_ceased_LAC_SGO)</f>
        <v>500</v>
      </c>
      <c r="AE168" s="438"/>
      <c r="AF168" s="88"/>
      <c r="AG168" s="88"/>
      <c r="AH168" s="88"/>
      <c r="AI168" s="88"/>
      <c r="AJ168" s="88"/>
      <c r="AK168" s="175"/>
      <c r="AL168" s="80"/>
      <c r="AM168" s="80"/>
      <c r="AN168" s="80"/>
      <c r="AO168" s="80"/>
      <c r="AP168" s="80"/>
      <c r="AQ168" s="80"/>
      <c r="AR168" s="80"/>
      <c r="AS168" s="80"/>
      <c r="AT168" s="80"/>
      <c r="AU168" s="80"/>
      <c r="AV168" s="80"/>
      <c r="AW168" s="80"/>
      <c r="AX168" s="80"/>
      <c r="AY168" s="80"/>
    </row>
    <row r="169" spans="1:51" s="101" customFormat="1" ht="12.75" customHeight="1" x14ac:dyDescent="0.2">
      <c r="A169" s="138"/>
      <c r="B169" s="370" t="str">
        <f t="shared" si="25"/>
        <v>England</v>
      </c>
      <c r="C169" s="97"/>
      <c r="D169" s="401">
        <f>IF(AND(ISNUMBER(Adoption!Z99),ISNUMBER(Z169)),Z169/Adoption!Z99,NA())</f>
        <v>0.10980392156862745</v>
      </c>
      <c r="E169" s="401">
        <f>IF(AND(ISNUMBER(Adoption!AA99),ISNUMBER(AA169)),AA169/Adoption!AA99,NA())</f>
        <v>0.11323763955342903</v>
      </c>
      <c r="F169" s="401">
        <f>IF(AND(ISNUMBER(Adoption!AB99),ISNUMBER(AB169)),AB169/Adoption!AB99,NA())</f>
        <v>0.12119309262166406</v>
      </c>
      <c r="G169" s="401">
        <f>IF(AND(ISNUMBER(Adoption!AC99),ISNUMBER(AC169)),AC169/Adoption!AC99,NA())</f>
        <v>0.1174785100286533</v>
      </c>
      <c r="H169" s="402">
        <f>IF(AND(ISNUMBER(Adoption!AD99),ISNUMBER(AD169)),AD169/Adoption!AD99,NA())</f>
        <v>0.11486939048894843</v>
      </c>
      <c r="I169" s="115"/>
      <c r="J169" s="115"/>
      <c r="K169" s="115"/>
      <c r="L169" s="188"/>
      <c r="M169" s="188"/>
      <c r="N169" s="188"/>
      <c r="O169" s="188"/>
      <c r="P169" s="188"/>
      <c r="Q169" s="188"/>
      <c r="R169" s="189"/>
      <c r="S169" s="190"/>
      <c r="T169" s="97"/>
      <c r="U169" s="97"/>
      <c r="V169" s="139"/>
      <c r="W169" s="152"/>
      <c r="X169" s="168"/>
      <c r="Y169" s="424" t="str">
        <f t="shared" si="26"/>
        <v>England</v>
      </c>
      <c r="Z169" s="719">
        <f>IF(Year1_England Year1_ROSGO_ceased_LAC_SGO="","",Year1_England Year1_ROSGO_ceased_LAC_SGO)</f>
        <v>3360</v>
      </c>
      <c r="AA169" s="716">
        <f>IF(Year2_England Year2_ROSGO_ceased_LAC_SGO="","",Year2_England Year2_ROSGO_ceased_LAC_SGO)</f>
        <v>3550</v>
      </c>
      <c r="AB169" s="716">
        <f>IF(Year3_England Year3_ROSGO_ceased_LAC_SGO="","",Year3_England Year3_ROSGO_ceased_LAC_SGO)</f>
        <v>3860</v>
      </c>
      <c r="AC169" s="424">
        <f>IF(Year4_England Year4_ROSGO_ceased_LAC_SGO="","",Year4_England Year4_ROSGO_ceased_LAC_SGO)</f>
        <v>3690</v>
      </c>
      <c r="AD169" s="424">
        <f>IF(Year5_England Year5_ROSGO_ceased_LAC_SGO="","",Year5_England Year5_ROSGO_ceased_LAC_SGO)</f>
        <v>3430</v>
      </c>
      <c r="AE169" s="438"/>
      <c r="AF169" s="88"/>
      <c r="AG169" s="88"/>
      <c r="AH169" s="88"/>
      <c r="AI169" s="88"/>
      <c r="AJ169" s="88"/>
      <c r="AK169" s="175"/>
      <c r="AL169" s="80"/>
      <c r="AM169" s="80"/>
      <c r="AN169" s="80"/>
      <c r="AO169" s="80"/>
      <c r="AP169" s="80"/>
      <c r="AQ169" s="80"/>
      <c r="AR169" s="80"/>
      <c r="AS169" s="80"/>
      <c r="AT169" s="80"/>
      <c r="AU169" s="80"/>
      <c r="AV169" s="80"/>
      <c r="AW169" s="80"/>
      <c r="AX169" s="80"/>
      <c r="AY169" s="80"/>
    </row>
    <row r="170" spans="1:51" s="101" customFormat="1" ht="7.5" customHeight="1" x14ac:dyDescent="0.2">
      <c r="A170" s="324"/>
      <c r="B170" s="115"/>
      <c r="C170" s="115"/>
      <c r="D170" s="115"/>
      <c r="E170" s="115"/>
      <c r="F170" s="115"/>
      <c r="G170" s="115"/>
      <c r="H170" s="115"/>
      <c r="I170" s="115"/>
      <c r="J170" s="115"/>
      <c r="K170" s="115"/>
      <c r="L170" s="188"/>
      <c r="M170" s="188"/>
      <c r="N170" s="188"/>
      <c r="O170" s="188"/>
      <c r="P170" s="188"/>
      <c r="Q170" s="188"/>
      <c r="R170" s="189"/>
      <c r="S170" s="190"/>
      <c r="T170" s="97"/>
      <c r="U170" s="97"/>
      <c r="V170" s="139"/>
      <c r="W170" s="152"/>
      <c r="X170" s="168"/>
      <c r="Y170" s="88"/>
      <c r="Z170" s="88"/>
      <c r="AC170" s="223"/>
      <c r="AD170" s="223"/>
      <c r="AE170" s="438"/>
      <c r="AF170" s="88"/>
      <c r="AG170" s="88"/>
      <c r="AH170" s="88"/>
      <c r="AI170" s="88"/>
      <c r="AJ170" s="88"/>
      <c r="AK170" s="175"/>
      <c r="AL170" s="80"/>
      <c r="AM170" s="80"/>
      <c r="AN170" s="80"/>
      <c r="AO170" s="80"/>
      <c r="AP170" s="80"/>
      <c r="AQ170" s="80"/>
      <c r="AR170" s="80"/>
      <c r="AS170" s="80"/>
      <c r="AT170" s="80"/>
      <c r="AU170" s="80"/>
      <c r="AV170" s="80"/>
      <c r="AW170" s="80"/>
      <c r="AX170" s="80"/>
      <c r="AY170" s="80"/>
    </row>
    <row r="171" spans="1:51" s="88" customFormat="1" ht="38.25" customHeight="1" x14ac:dyDescent="0.2">
      <c r="A171" s="249"/>
      <c r="B171" s="452"/>
      <c r="C171" s="452"/>
      <c r="D171" s="452"/>
      <c r="E171" s="452"/>
      <c r="F171" s="452"/>
      <c r="G171" s="452"/>
      <c r="H171" s="452"/>
      <c r="I171" s="452"/>
      <c r="J171" s="452"/>
      <c r="K171" s="192"/>
      <c r="L171" s="192"/>
      <c r="M171" s="192"/>
      <c r="N171" s="192"/>
      <c r="O171" s="192"/>
      <c r="P171" s="192"/>
      <c r="Q171" s="192"/>
      <c r="R171" s="151"/>
      <c r="S171" s="192"/>
      <c r="T171" s="9"/>
      <c r="U171" s="9"/>
      <c r="V171" s="134"/>
      <c r="W171" s="152"/>
      <c r="X171" s="168"/>
      <c r="Y171" s="87"/>
      <c r="Z171" s="87"/>
      <c r="AF171" s="224"/>
      <c r="AG171" s="226"/>
      <c r="AH171" s="210"/>
      <c r="AI171" s="210"/>
      <c r="AJ171" s="210"/>
      <c r="AK171" s="175"/>
      <c r="AL171" s="80"/>
      <c r="AM171" s="80"/>
      <c r="AN171" s="80"/>
      <c r="AO171" s="80"/>
      <c r="AP171" s="80"/>
      <c r="AQ171" s="80"/>
      <c r="AR171" s="80"/>
      <c r="AS171" s="80"/>
      <c r="AT171" s="80"/>
      <c r="AU171" s="80"/>
      <c r="AV171" s="80"/>
      <c r="AW171" s="80"/>
      <c r="AX171" s="80"/>
      <c r="AY171" s="80"/>
    </row>
    <row r="172" spans="1:51" s="88" customFormat="1" ht="39" customHeight="1" x14ac:dyDescent="0.2">
      <c r="A172" s="249"/>
      <c r="B172" s="452"/>
      <c r="C172" s="452"/>
      <c r="D172" s="452"/>
      <c r="E172" s="452"/>
      <c r="F172" s="452"/>
      <c r="G172" s="452"/>
      <c r="H172" s="452"/>
      <c r="I172" s="452"/>
      <c r="J172" s="452"/>
      <c r="K172" s="192"/>
      <c r="L172" s="192"/>
      <c r="M172" s="192"/>
      <c r="N172" s="192"/>
      <c r="O172" s="192"/>
      <c r="P172" s="192"/>
      <c r="Q172" s="192"/>
      <c r="R172" s="151"/>
      <c r="S172" s="192"/>
      <c r="T172" s="9"/>
      <c r="U172" s="9"/>
      <c r="V172" s="134"/>
      <c r="W172" s="152"/>
      <c r="X172" s="168"/>
      <c r="Y172" s="87"/>
      <c r="Z172" s="87"/>
      <c r="AB172" s="217"/>
      <c r="AG172" s="226"/>
      <c r="AH172" s="210"/>
      <c r="AI172" s="210"/>
      <c r="AJ172" s="210"/>
      <c r="AK172" s="175"/>
      <c r="AL172" s="80"/>
      <c r="AM172" s="80"/>
      <c r="AN172" s="80"/>
      <c r="AO172" s="80"/>
      <c r="AP172" s="80"/>
      <c r="AQ172" s="80"/>
      <c r="AR172" s="80"/>
      <c r="AS172" s="80"/>
      <c r="AT172" s="80"/>
      <c r="AU172" s="80"/>
      <c r="AV172" s="80"/>
      <c r="AW172" s="80"/>
      <c r="AX172" s="80"/>
      <c r="AY172" s="80"/>
    </row>
    <row r="173" spans="1:51" s="88" customFormat="1" ht="38.25" customHeight="1" x14ac:dyDescent="0.2">
      <c r="A173" s="249"/>
      <c r="B173" s="452"/>
      <c r="C173" s="452"/>
      <c r="D173" s="452"/>
      <c r="E173" s="452"/>
      <c r="F173" s="452"/>
      <c r="G173" s="452"/>
      <c r="H173" s="452"/>
      <c r="I173" s="452"/>
      <c r="J173" s="452"/>
      <c r="K173" s="192"/>
      <c r="L173" s="192"/>
      <c r="M173" s="192"/>
      <c r="N173" s="192"/>
      <c r="O173" s="192"/>
      <c r="P173" s="192"/>
      <c r="Q173" s="192"/>
      <c r="R173" s="151"/>
      <c r="S173" s="192"/>
      <c r="T173" s="9"/>
      <c r="U173" s="9"/>
      <c r="V173" s="134"/>
      <c r="W173" s="152"/>
      <c r="X173" s="168"/>
      <c r="Y173" s="87"/>
      <c r="Z173" s="87"/>
      <c r="AB173" s="217"/>
      <c r="AG173" s="226"/>
      <c r="AH173" s="210"/>
      <c r="AI173" s="210"/>
      <c r="AJ173" s="210"/>
      <c r="AK173" s="175"/>
      <c r="AL173" s="80"/>
      <c r="AM173" s="80"/>
      <c r="AN173" s="80"/>
      <c r="AO173" s="80"/>
      <c r="AP173" s="80"/>
      <c r="AQ173" s="80"/>
      <c r="AR173" s="80"/>
      <c r="AS173" s="80"/>
      <c r="AT173" s="80"/>
      <c r="AU173" s="80"/>
      <c r="AV173" s="80"/>
      <c r="AW173" s="80"/>
      <c r="AX173" s="80"/>
      <c r="AY173" s="80"/>
    </row>
    <row r="174" spans="1:51" s="88" customFormat="1" ht="7.5" customHeight="1" x14ac:dyDescent="0.2">
      <c r="A174" s="135"/>
      <c r="B174" s="18"/>
      <c r="C174" s="18"/>
      <c r="D174" s="17"/>
      <c r="E174" s="17"/>
      <c r="F174" s="17"/>
      <c r="G174" s="17"/>
      <c r="H174" s="17"/>
      <c r="I174" s="17"/>
      <c r="J174" s="17"/>
      <c r="K174" s="13"/>
      <c r="L174" s="19"/>
      <c r="M174" s="19"/>
      <c r="N174" s="19"/>
      <c r="O174" s="19"/>
      <c r="P174" s="19"/>
      <c r="Q174" s="19"/>
      <c r="R174" s="19"/>
      <c r="S174" s="20"/>
      <c r="T174" s="9"/>
      <c r="U174" s="9"/>
      <c r="V174" s="134"/>
      <c r="W174" s="152"/>
      <c r="X174" s="168"/>
      <c r="Y174" s="87"/>
      <c r="Z174" s="87"/>
      <c r="AB174" s="217"/>
      <c r="AK174" s="175"/>
      <c r="AL174" s="80"/>
      <c r="AM174" s="80"/>
      <c r="AN174" s="80"/>
      <c r="AO174" s="80"/>
      <c r="AP174" s="80"/>
      <c r="AQ174" s="80"/>
      <c r="AR174" s="80"/>
      <c r="AS174" s="80"/>
      <c r="AT174" s="80"/>
      <c r="AU174" s="80"/>
      <c r="AV174" s="80"/>
      <c r="AW174" s="80"/>
      <c r="AX174" s="80"/>
      <c r="AY174" s="80"/>
    </row>
    <row r="175" spans="1:51" s="88" customFormat="1" ht="15" customHeight="1" x14ac:dyDescent="0.2">
      <c r="A175" s="610"/>
      <c r="B175" s="611"/>
      <c r="C175" s="611"/>
      <c r="D175" s="611"/>
      <c r="E175" s="611"/>
      <c r="F175" s="611"/>
      <c r="G175" s="611"/>
      <c r="H175" s="611"/>
      <c r="I175" s="611"/>
      <c r="J175" s="611"/>
      <c r="K175" s="611"/>
      <c r="L175" s="611"/>
      <c r="M175" s="611"/>
      <c r="N175" s="611"/>
      <c r="O175" s="611"/>
      <c r="P175" s="611"/>
      <c r="Q175" s="611"/>
      <c r="R175" s="611"/>
      <c r="S175" s="611"/>
      <c r="T175" s="611"/>
      <c r="U175" s="611"/>
      <c r="V175" s="612"/>
      <c r="W175" s="152"/>
      <c r="X175" s="168"/>
      <c r="Y175" s="87"/>
      <c r="Z175" s="87"/>
      <c r="AK175" s="175"/>
      <c r="AL175" s="80"/>
      <c r="AM175" s="80"/>
      <c r="AN175" s="80"/>
      <c r="AO175" s="80"/>
      <c r="AP175" s="80"/>
      <c r="AQ175" s="80"/>
      <c r="AR175" s="80"/>
      <c r="AS175" s="80"/>
      <c r="AT175" s="80"/>
      <c r="AU175" s="80"/>
      <c r="AV175" s="80"/>
      <c r="AW175" s="80"/>
      <c r="AX175" s="80"/>
      <c r="AY175" s="80"/>
    </row>
    <row r="176" spans="1:51" s="88" customFormat="1" ht="11.25" customHeight="1" x14ac:dyDescent="0.2">
      <c r="A176" s="1066" t="str">
        <f>Home!$A$35</f>
        <v>LA's provide quarterly data on the condition that it is used by the benchmarking group for internal reporting only. Please DO NOT share other LA's data with any external partners or the public</v>
      </c>
      <c r="B176" s="1115"/>
      <c r="C176" s="1115"/>
      <c r="D176" s="1115"/>
      <c r="E176" s="1115"/>
      <c r="F176" s="1115"/>
      <c r="G176" s="1115"/>
      <c r="H176" s="1115"/>
      <c r="I176" s="1115"/>
      <c r="J176" s="1115"/>
      <c r="K176" s="1115"/>
      <c r="L176" s="1115"/>
      <c r="M176" s="1115"/>
      <c r="N176" s="1115"/>
      <c r="O176" s="1115"/>
      <c r="P176" s="1115"/>
      <c r="Q176" s="1115"/>
      <c r="R176" s="1115"/>
      <c r="S176" s="1115"/>
      <c r="T176" s="1115"/>
      <c r="U176" s="1115"/>
      <c r="V176" s="1116"/>
      <c r="W176" s="152"/>
      <c r="X176" s="168"/>
      <c r="Y176" s="87"/>
      <c r="Z176" s="87"/>
      <c r="AB176" s="217"/>
      <c r="AG176" s="226"/>
      <c r="AH176" s="210"/>
      <c r="AI176" s="210"/>
      <c r="AK176" s="175"/>
      <c r="AL176" s="80"/>
      <c r="AM176" s="80"/>
      <c r="AN176" s="80"/>
      <c r="AO176" s="80"/>
      <c r="AP176" s="80"/>
      <c r="AQ176" s="80"/>
      <c r="AR176" s="80"/>
      <c r="AS176" s="80"/>
      <c r="AT176" s="80"/>
      <c r="AU176" s="80"/>
      <c r="AV176" s="80"/>
      <c r="AW176" s="80"/>
      <c r="AX176" s="80"/>
      <c r="AY176" s="80"/>
    </row>
    <row r="177" spans="1:61" ht="11.25" customHeight="1" x14ac:dyDescent="0.2">
      <c r="A177" s="157"/>
      <c r="B177" s="130"/>
      <c r="C177" s="130"/>
      <c r="D177" s="130"/>
      <c r="E177" s="130"/>
      <c r="F177" s="130"/>
      <c r="G177" s="130"/>
      <c r="H177" s="130"/>
      <c r="I177" s="130"/>
      <c r="J177" s="131"/>
      <c r="K177" s="130"/>
      <c r="L177" s="130"/>
      <c r="M177" s="130"/>
      <c r="N177" s="130"/>
      <c r="O177" s="130"/>
      <c r="P177" s="130"/>
      <c r="Q177" s="130"/>
      <c r="R177" s="130"/>
      <c r="S177" s="130"/>
      <c r="T177" s="130"/>
      <c r="U177" s="130"/>
      <c r="V177" s="130"/>
      <c r="W177" s="279"/>
      <c r="X177" s="168"/>
      <c r="Y177" s="87"/>
      <c r="Z177" s="87"/>
      <c r="AH177" s="89"/>
      <c r="AJ177" s="88"/>
      <c r="AK177" s="175"/>
      <c r="AU177" s="88"/>
      <c r="AV177" s="88"/>
      <c r="AW177" s="88"/>
      <c r="AX177" s="88"/>
      <c r="AY177" s="88"/>
      <c r="AZ177" s="88"/>
      <c r="BA177" s="88"/>
      <c r="BB177" s="88"/>
      <c r="BC177" s="88"/>
      <c r="BD177" s="88"/>
      <c r="BE177" s="88"/>
      <c r="BF177" s="88"/>
      <c r="BG177" s="88"/>
      <c r="BH177" s="88"/>
      <c r="BI177" s="88"/>
    </row>
    <row r="178" spans="1:61" ht="11.25" customHeight="1" x14ac:dyDescent="0.2">
      <c r="A178" s="158"/>
      <c r="B178" s="9"/>
      <c r="C178" s="9"/>
      <c r="D178" s="9"/>
      <c r="E178" s="9"/>
      <c r="F178" s="9"/>
      <c r="G178" s="9"/>
      <c r="H178" s="9"/>
      <c r="I178" s="9"/>
      <c r="J178" s="13"/>
      <c r="K178" s="9"/>
      <c r="L178" s="9"/>
      <c r="M178" s="9"/>
      <c r="N178" s="9"/>
      <c r="O178" s="9"/>
      <c r="P178" s="9"/>
      <c r="Q178" s="9"/>
      <c r="R178" s="9"/>
      <c r="S178" s="9"/>
      <c r="T178" s="9"/>
      <c r="U178" s="9"/>
      <c r="V178" s="9"/>
      <c r="W178" s="9"/>
      <c r="X178" s="168"/>
      <c r="Y178" s="87"/>
      <c r="Z178" s="87"/>
      <c r="AH178" s="89"/>
      <c r="AJ178" s="88"/>
      <c r="AK178" s="175"/>
      <c r="AM178" s="88"/>
      <c r="AP178" s="88"/>
      <c r="AQ178" s="88"/>
      <c r="AR178" s="88"/>
      <c r="AS178" s="88"/>
      <c r="AT178" s="88"/>
    </row>
    <row r="179" spans="1:61" ht="11.25" customHeight="1" x14ac:dyDescent="0.2">
      <c r="A179" s="158"/>
      <c r="B179" s="1006" t="s">
        <v>82</v>
      </c>
      <c r="C179" s="448"/>
      <c r="D179" s="15"/>
      <c r="E179" s="15"/>
      <c r="F179" s="9"/>
      <c r="G179" s="9"/>
      <c r="H179" s="9"/>
      <c r="I179" s="9"/>
      <c r="J179" s="13"/>
      <c r="K179" s="9"/>
      <c r="L179" s="9"/>
      <c r="M179" s="9"/>
      <c r="N179" s="9"/>
      <c r="O179" s="9"/>
      <c r="P179" s="9"/>
      <c r="Q179" s="9"/>
      <c r="R179" s="9"/>
      <c r="S179" s="9"/>
      <c r="T179" s="9"/>
      <c r="U179" s="9"/>
      <c r="V179" s="9"/>
      <c r="W179" s="9"/>
      <c r="X179" s="168"/>
      <c r="Y179" s="87"/>
      <c r="Z179" s="87"/>
      <c r="AH179" s="89"/>
      <c r="AJ179" s="88"/>
      <c r="AK179" s="175"/>
      <c r="AM179" s="88"/>
      <c r="AP179" s="88"/>
      <c r="AQ179" s="88"/>
      <c r="AR179" s="88"/>
      <c r="AS179" s="88"/>
      <c r="AT179" s="88"/>
    </row>
    <row r="180" spans="1:61" ht="11.25" customHeight="1" x14ac:dyDescent="0.2">
      <c r="A180" s="158"/>
      <c r="B180" s="1007"/>
      <c r="C180" s="447"/>
      <c r="D180" s="9"/>
      <c r="E180" s="9"/>
      <c r="F180" s="9"/>
      <c r="G180" s="9"/>
      <c r="H180" s="9"/>
      <c r="I180" s="9"/>
      <c r="J180" s="13"/>
      <c r="K180" s="9"/>
      <c r="L180" s="9"/>
      <c r="M180" s="9"/>
      <c r="N180" s="9"/>
      <c r="O180" s="9"/>
      <c r="P180" s="9"/>
      <c r="Q180" s="9"/>
      <c r="R180" s="9"/>
      <c r="S180" s="9"/>
      <c r="T180" s="9"/>
      <c r="U180" s="9"/>
      <c r="V180" s="9"/>
      <c r="W180" s="9"/>
      <c r="X180" s="168"/>
      <c r="Y180" s="87"/>
      <c r="Z180" s="87"/>
      <c r="AH180" s="89"/>
      <c r="AJ180" s="88"/>
      <c r="AK180" s="175"/>
    </row>
    <row r="181" spans="1:61" ht="11.25" customHeight="1" x14ac:dyDescent="0.2">
      <c r="A181" s="158"/>
      <c r="B181" s="973" t="s">
        <v>81</v>
      </c>
      <c r="C181" s="974"/>
      <c r="D181" s="974"/>
      <c r="E181" s="974"/>
      <c r="F181" s="974"/>
      <c r="G181" s="974"/>
      <c r="H181" s="9"/>
      <c r="I181" s="9"/>
      <c r="J181" s="13"/>
      <c r="K181" s="9"/>
      <c r="L181" s="9"/>
      <c r="M181" s="9"/>
      <c r="N181" s="9"/>
      <c r="O181" s="9"/>
      <c r="P181" s="9"/>
      <c r="Q181" s="9"/>
      <c r="R181" s="9"/>
      <c r="S181" s="9"/>
      <c r="T181" s="9"/>
      <c r="U181" s="9"/>
      <c r="V181" s="9"/>
      <c r="W181" s="9"/>
      <c r="X181" s="168"/>
      <c r="Y181" s="87"/>
      <c r="Z181" s="87"/>
      <c r="AH181" s="89"/>
      <c r="AJ181" s="88"/>
      <c r="AK181" s="175"/>
    </row>
    <row r="182" spans="1:61" ht="11.25" customHeight="1" x14ac:dyDescent="0.2">
      <c r="A182" s="158"/>
      <c r="B182" s="973"/>
      <c r="C182" s="974"/>
      <c r="D182" s="974"/>
      <c r="E182" s="974"/>
      <c r="F182" s="974"/>
      <c r="G182" s="974"/>
      <c r="H182" s="9"/>
      <c r="I182" s="9"/>
      <c r="J182" s="13"/>
      <c r="K182" s="9"/>
      <c r="L182" s="9"/>
      <c r="M182" s="9"/>
      <c r="N182" s="9"/>
      <c r="O182" s="9"/>
      <c r="P182" s="9"/>
      <c r="Q182" s="9"/>
      <c r="R182" s="9"/>
      <c r="S182" s="9"/>
      <c r="T182" s="9"/>
      <c r="U182" s="9"/>
      <c r="V182" s="9"/>
      <c r="W182" s="9"/>
      <c r="X182" s="168"/>
      <c r="Y182" s="87"/>
      <c r="Z182" s="87"/>
      <c r="AH182" s="89"/>
      <c r="AJ182" s="88"/>
      <c r="AK182" s="176"/>
    </row>
    <row r="183" spans="1:61" s="82" customFormat="1" ht="11.25" customHeight="1" x14ac:dyDescent="0.2">
      <c r="A183" s="158"/>
      <c r="B183" s="973" t="s">
        <v>78</v>
      </c>
      <c r="C183" s="975"/>
      <c r="D183" s="975"/>
      <c r="E183" s="975"/>
      <c r="F183" s="975"/>
      <c r="G183" s="975"/>
      <c r="H183" s="15"/>
      <c r="I183" s="15"/>
      <c r="J183" s="15"/>
      <c r="K183" s="15"/>
      <c r="L183" s="15"/>
      <c r="M183" s="15"/>
      <c r="N183" s="15"/>
      <c r="O183" s="15"/>
      <c r="P183" s="15"/>
      <c r="Q183" s="15"/>
      <c r="R183" s="15"/>
      <c r="S183" s="15"/>
      <c r="T183" s="15"/>
      <c r="U183" s="15"/>
      <c r="V183" s="15"/>
      <c r="W183" s="15"/>
      <c r="X183" s="168"/>
      <c r="Y183" s="87"/>
      <c r="Z183" s="87"/>
      <c r="AA183" s="88"/>
      <c r="AB183" s="88"/>
      <c r="AC183" s="88"/>
      <c r="AD183" s="88"/>
      <c r="AE183" s="88"/>
      <c r="AF183" s="88"/>
      <c r="AG183" s="88"/>
      <c r="AH183" s="89"/>
      <c r="AI183" s="88"/>
      <c r="AJ183" s="88"/>
      <c r="AK183" s="175"/>
    </row>
    <row r="184" spans="1:61" ht="11.25" customHeight="1" x14ac:dyDescent="0.2">
      <c r="A184" s="158"/>
      <c r="B184" s="973"/>
      <c r="C184" s="975"/>
      <c r="D184" s="975"/>
      <c r="E184" s="975"/>
      <c r="F184" s="975"/>
      <c r="G184" s="975"/>
      <c r="H184" s="9"/>
      <c r="I184" s="9"/>
      <c r="J184" s="13"/>
      <c r="K184" s="9"/>
      <c r="L184" s="9"/>
      <c r="M184" s="9"/>
      <c r="N184" s="9"/>
      <c r="O184" s="9"/>
      <c r="P184" s="9"/>
      <c r="Q184" s="9"/>
      <c r="R184" s="9"/>
      <c r="S184" s="9"/>
      <c r="T184" s="9"/>
      <c r="U184" s="9"/>
      <c r="V184" s="9"/>
      <c r="W184" s="9"/>
      <c r="X184" s="168"/>
      <c r="Y184" s="87"/>
      <c r="Z184" s="87"/>
      <c r="AH184" s="89"/>
      <c r="AJ184" s="88"/>
      <c r="AK184" s="175"/>
    </row>
    <row r="185" spans="1:61" ht="11.25" customHeight="1" x14ac:dyDescent="0.2">
      <c r="A185" s="158"/>
      <c r="B185" s="976" t="s">
        <v>18</v>
      </c>
      <c r="C185" s="977"/>
      <c r="D185" s="977"/>
      <c r="E185" s="977"/>
      <c r="F185" s="977"/>
      <c r="G185" s="977"/>
      <c r="H185" s="9"/>
      <c r="I185" s="9"/>
      <c r="J185" s="13"/>
      <c r="K185" s="9"/>
      <c r="L185" s="9"/>
      <c r="M185" s="9"/>
      <c r="N185" s="9"/>
      <c r="O185" s="9"/>
      <c r="P185" s="9"/>
      <c r="Q185" s="9"/>
      <c r="R185" s="9"/>
      <c r="S185" s="9"/>
      <c r="T185" s="9"/>
      <c r="U185" s="9"/>
      <c r="V185" s="9"/>
      <c r="W185" s="9"/>
      <c r="X185" s="168"/>
      <c r="Y185" s="87"/>
      <c r="Z185" s="87"/>
      <c r="AH185" s="89"/>
      <c r="AJ185" s="88"/>
      <c r="AK185" s="175"/>
    </row>
    <row r="186" spans="1:61" ht="11.25" customHeight="1" x14ac:dyDescent="0.2">
      <c r="A186" s="158"/>
      <c r="B186" s="976"/>
      <c r="C186" s="977"/>
      <c r="D186" s="977"/>
      <c r="E186" s="977"/>
      <c r="F186" s="977"/>
      <c r="G186" s="977"/>
      <c r="H186" s="9"/>
      <c r="I186" s="9"/>
      <c r="J186" s="13"/>
      <c r="K186" s="9"/>
      <c r="L186" s="9"/>
      <c r="M186" s="9"/>
      <c r="N186" s="9"/>
      <c r="O186" s="9"/>
      <c r="P186" s="9"/>
      <c r="Q186" s="9"/>
      <c r="R186" s="9"/>
      <c r="S186" s="9"/>
      <c r="T186" s="9"/>
      <c r="U186" s="9"/>
      <c r="V186" s="9"/>
      <c r="W186" s="9"/>
      <c r="X186" s="168"/>
      <c r="Y186" s="87"/>
      <c r="Z186" s="87"/>
      <c r="AH186" s="89"/>
      <c r="AJ186" s="88"/>
      <c r="AK186" s="175"/>
    </row>
    <row r="187" spans="1:61" ht="11.25" customHeight="1" x14ac:dyDescent="0.2">
      <c r="A187" s="158"/>
      <c r="B187" s="976" t="s">
        <v>210</v>
      </c>
      <c r="C187" s="976"/>
      <c r="D187" s="978"/>
      <c r="E187" s="978"/>
      <c r="F187" s="978"/>
      <c r="G187" s="924"/>
      <c r="H187" s="9"/>
      <c r="I187" s="9"/>
      <c r="J187" s="13"/>
      <c r="K187" s="9"/>
      <c r="L187" s="9"/>
      <c r="M187" s="9"/>
      <c r="N187" s="9"/>
      <c r="O187" s="9"/>
      <c r="P187" s="9"/>
      <c r="Q187" s="9"/>
      <c r="R187" s="9"/>
      <c r="S187" s="9"/>
      <c r="T187" s="9"/>
      <c r="U187" s="9"/>
      <c r="V187" s="9"/>
      <c r="W187" s="9"/>
      <c r="X187" s="168"/>
      <c r="Y187" s="87"/>
      <c r="Z187" s="87"/>
      <c r="AC187" s="80"/>
      <c r="AD187" s="80"/>
      <c r="AH187" s="89"/>
      <c r="AJ187" s="88"/>
      <c r="AK187" s="175"/>
      <c r="AL187" s="82"/>
      <c r="AM187" s="82"/>
    </row>
    <row r="188" spans="1:61" ht="11.25" customHeight="1" x14ac:dyDescent="0.2">
      <c r="A188" s="158"/>
      <c r="B188" s="976"/>
      <c r="C188" s="976"/>
      <c r="D188" s="978"/>
      <c r="E188" s="978"/>
      <c r="F188" s="978"/>
      <c r="G188" s="924"/>
      <c r="H188" s="9"/>
      <c r="I188" s="9"/>
      <c r="J188" s="13"/>
      <c r="K188" s="9"/>
      <c r="L188" s="9"/>
      <c r="M188" s="9"/>
      <c r="N188" s="9"/>
      <c r="O188" s="9"/>
      <c r="P188" s="9"/>
      <c r="Q188" s="9"/>
      <c r="R188" s="9"/>
      <c r="S188" s="9"/>
      <c r="T188" s="9"/>
      <c r="U188" s="9"/>
      <c r="V188" s="9"/>
      <c r="W188" s="9"/>
      <c r="X188" s="168"/>
      <c r="Y188" s="87"/>
      <c r="Z188" s="87"/>
      <c r="AC188" s="80"/>
      <c r="AD188" s="80"/>
      <c r="AH188" s="89"/>
      <c r="AJ188" s="88"/>
      <c r="AK188" s="175"/>
    </row>
    <row r="189" spans="1:61" ht="11.25" customHeight="1" x14ac:dyDescent="0.2">
      <c r="A189" s="158"/>
      <c r="B189" s="976" t="s">
        <v>211</v>
      </c>
      <c r="C189" s="976"/>
      <c r="D189" s="978"/>
      <c r="E189" s="978"/>
      <c r="F189" s="978"/>
      <c r="G189" s="924"/>
      <c r="H189" s="9"/>
      <c r="I189" s="9"/>
      <c r="J189" s="13"/>
      <c r="K189" s="9"/>
      <c r="L189" s="9"/>
      <c r="M189" s="9"/>
      <c r="N189" s="9"/>
      <c r="O189" s="9"/>
      <c r="P189" s="9"/>
      <c r="Q189" s="9"/>
      <c r="R189" s="9"/>
      <c r="S189" s="9"/>
      <c r="T189" s="9"/>
      <c r="U189" s="9"/>
      <c r="V189" s="9"/>
      <c r="W189" s="9"/>
      <c r="X189" s="168"/>
      <c r="Y189" s="87"/>
      <c r="Z189" s="87"/>
      <c r="AC189" s="80"/>
      <c r="AD189" s="80"/>
      <c r="AH189" s="89"/>
      <c r="AJ189" s="88"/>
      <c r="AK189" s="175"/>
      <c r="AL189" s="82"/>
      <c r="AM189" s="82"/>
    </row>
    <row r="190" spans="1:61" ht="11.25" customHeight="1" x14ac:dyDescent="0.2">
      <c r="A190" s="158"/>
      <c r="B190" s="976"/>
      <c r="C190" s="976"/>
      <c r="D190" s="978"/>
      <c r="E190" s="978"/>
      <c r="F190" s="978"/>
      <c r="G190" s="924"/>
      <c r="H190" s="9"/>
      <c r="I190" s="9"/>
      <c r="J190" s="13"/>
      <c r="K190" s="9"/>
      <c r="L190" s="9"/>
      <c r="M190" s="9"/>
      <c r="N190" s="9"/>
      <c r="O190" s="9"/>
      <c r="P190" s="9"/>
      <c r="Q190" s="9"/>
      <c r="R190" s="9"/>
      <c r="S190" s="9"/>
      <c r="T190" s="9"/>
      <c r="U190" s="9"/>
      <c r="V190" s="9"/>
      <c r="W190" s="9"/>
      <c r="X190" s="168"/>
      <c r="Y190" s="87"/>
      <c r="Z190" s="87"/>
      <c r="AC190" s="80"/>
      <c r="AD190" s="80"/>
      <c r="AH190" s="89"/>
      <c r="AJ190" s="88"/>
      <c r="AK190" s="175"/>
    </row>
    <row r="191" spans="1:61" ht="11.25" customHeight="1" x14ac:dyDescent="0.2">
      <c r="A191" s="158"/>
      <c r="B191" s="976" t="s">
        <v>212</v>
      </c>
      <c r="C191" s="976"/>
      <c r="D191" s="978"/>
      <c r="E191" s="978"/>
      <c r="F191" s="978"/>
      <c r="G191" s="924"/>
      <c r="H191" s="9"/>
      <c r="I191" s="9"/>
      <c r="J191" s="13"/>
      <c r="K191" s="9"/>
      <c r="L191" s="9"/>
      <c r="M191" s="9"/>
      <c r="N191" s="9"/>
      <c r="O191" s="9"/>
      <c r="P191" s="9"/>
      <c r="Q191" s="9"/>
      <c r="R191" s="9"/>
      <c r="S191" s="9"/>
      <c r="T191" s="9"/>
      <c r="U191" s="9"/>
      <c r="V191" s="9"/>
      <c r="W191" s="9"/>
      <c r="X191" s="168"/>
      <c r="Y191" s="87"/>
      <c r="Z191" s="87"/>
      <c r="AC191" s="80"/>
      <c r="AD191" s="80"/>
      <c r="AH191" s="89"/>
      <c r="AJ191" s="88"/>
      <c r="AK191" s="175"/>
      <c r="AL191" s="82"/>
      <c r="AM191" s="82"/>
    </row>
    <row r="192" spans="1:61" ht="11.25" customHeight="1" x14ac:dyDescent="0.2">
      <c r="A192" s="158"/>
      <c r="B192" s="976"/>
      <c r="C192" s="976"/>
      <c r="D192" s="978"/>
      <c r="E192" s="978"/>
      <c r="F192" s="978"/>
      <c r="G192" s="924"/>
      <c r="H192" s="9"/>
      <c r="I192" s="9"/>
      <c r="J192" s="13"/>
      <c r="K192" s="9"/>
      <c r="L192" s="9"/>
      <c r="M192" s="9"/>
      <c r="N192" s="9"/>
      <c r="O192" s="9"/>
      <c r="P192" s="9"/>
      <c r="Q192" s="9"/>
      <c r="R192" s="9"/>
      <c r="S192" s="9"/>
      <c r="T192" s="9"/>
      <c r="U192" s="9"/>
      <c r="V192" s="9"/>
      <c r="W192" s="9"/>
      <c r="X192" s="168"/>
      <c r="Y192" s="87"/>
      <c r="Z192" s="87"/>
      <c r="AC192" s="80"/>
      <c r="AD192" s="80"/>
      <c r="AH192" s="89"/>
      <c r="AJ192" s="88"/>
      <c r="AK192" s="175"/>
    </row>
    <row r="193" spans="1:37" ht="11.25" customHeight="1" x14ac:dyDescent="0.2">
      <c r="A193" s="158"/>
      <c r="B193" s="973" t="s">
        <v>80</v>
      </c>
      <c r="C193" s="974"/>
      <c r="D193" s="974"/>
      <c r="E193" s="974"/>
      <c r="F193" s="974"/>
      <c r="G193" s="974"/>
      <c r="H193" s="9"/>
      <c r="I193" s="9"/>
      <c r="J193" s="13"/>
      <c r="K193" s="9"/>
      <c r="L193" s="9"/>
      <c r="M193" s="9"/>
      <c r="N193" s="9"/>
      <c r="O193" s="9"/>
      <c r="P193" s="9"/>
      <c r="Q193" s="9"/>
      <c r="R193" s="9"/>
      <c r="S193" s="9"/>
      <c r="T193" s="9"/>
      <c r="U193" s="9"/>
      <c r="V193" s="9"/>
      <c r="W193" s="9"/>
      <c r="X193" s="168"/>
      <c r="Y193" s="87"/>
      <c r="Z193" s="87"/>
      <c r="AH193" s="89"/>
      <c r="AJ193" s="88"/>
      <c r="AK193" s="175"/>
    </row>
    <row r="194" spans="1:37" ht="11.25" customHeight="1" x14ac:dyDescent="0.2">
      <c r="A194" s="158"/>
      <c r="B194" s="973"/>
      <c r="C194" s="974"/>
      <c r="D194" s="974"/>
      <c r="E194" s="974"/>
      <c r="F194" s="974"/>
      <c r="G194" s="974"/>
      <c r="H194" s="9"/>
      <c r="I194" s="9"/>
      <c r="J194" s="13"/>
      <c r="K194" s="9"/>
      <c r="L194" s="9"/>
      <c r="M194" s="9"/>
      <c r="N194" s="9"/>
      <c r="O194" s="9"/>
      <c r="P194" s="9"/>
      <c r="Q194" s="9"/>
      <c r="R194" s="9"/>
      <c r="S194" s="9"/>
      <c r="T194" s="9"/>
      <c r="U194" s="9"/>
      <c r="V194" s="9"/>
      <c r="W194" s="9"/>
      <c r="X194" s="168"/>
      <c r="Y194" s="87"/>
      <c r="Z194" s="87"/>
      <c r="AH194" s="89"/>
      <c r="AJ194" s="88"/>
      <c r="AK194" s="175"/>
    </row>
    <row r="195" spans="1:37" ht="11.25" customHeight="1" x14ac:dyDescent="0.2">
      <c r="A195" s="158"/>
      <c r="B195" s="973" t="s">
        <v>69</v>
      </c>
      <c r="C195" s="974"/>
      <c r="D195" s="974"/>
      <c r="E195" s="974"/>
      <c r="F195" s="974"/>
      <c r="G195" s="974"/>
      <c r="H195" s="9"/>
      <c r="I195" s="9"/>
      <c r="J195" s="13"/>
      <c r="K195" s="9"/>
      <c r="L195" s="9"/>
      <c r="M195" s="9"/>
      <c r="N195" s="9"/>
      <c r="O195" s="9"/>
      <c r="P195" s="9"/>
      <c r="Q195" s="9"/>
      <c r="R195" s="9"/>
      <c r="S195" s="9"/>
      <c r="T195" s="9"/>
      <c r="U195" s="9"/>
      <c r="V195" s="9"/>
      <c r="W195" s="9"/>
      <c r="X195" s="168"/>
      <c r="Y195" s="87"/>
      <c r="Z195" s="87"/>
      <c r="AH195" s="89"/>
      <c r="AJ195" s="88"/>
      <c r="AK195" s="175"/>
    </row>
    <row r="196" spans="1:37" ht="11.25" customHeight="1" x14ac:dyDescent="0.2">
      <c r="A196" s="158"/>
      <c r="B196" s="973"/>
      <c r="C196" s="974"/>
      <c r="D196" s="974"/>
      <c r="E196" s="974"/>
      <c r="F196" s="974"/>
      <c r="G196" s="974"/>
      <c r="H196" s="9"/>
      <c r="I196" s="9"/>
      <c r="J196" s="13"/>
      <c r="K196" s="9"/>
      <c r="L196" s="9"/>
      <c r="M196" s="9"/>
      <c r="N196" s="9"/>
      <c r="O196" s="9"/>
      <c r="P196" s="9"/>
      <c r="Q196" s="9"/>
      <c r="R196" s="9"/>
      <c r="S196" s="9"/>
      <c r="T196" s="9"/>
      <c r="U196" s="9"/>
      <c r="V196" s="9"/>
      <c r="W196" s="9"/>
      <c r="X196" s="168"/>
      <c r="Y196" s="87"/>
      <c r="Z196" s="87"/>
      <c r="AH196" s="89"/>
      <c r="AJ196" s="88"/>
      <c r="AK196" s="175"/>
    </row>
    <row r="197" spans="1:37" ht="11.25" customHeight="1" x14ac:dyDescent="0.2">
      <c r="A197" s="158"/>
      <c r="B197" s="973" t="s">
        <v>25</v>
      </c>
      <c r="C197" s="974"/>
      <c r="D197" s="974"/>
      <c r="E197" s="974"/>
      <c r="F197" s="974"/>
      <c r="G197" s="974"/>
      <c r="H197" s="9"/>
      <c r="I197" s="9"/>
      <c r="J197" s="13"/>
      <c r="K197" s="9"/>
      <c r="L197" s="9"/>
      <c r="M197" s="9"/>
      <c r="N197" s="9"/>
      <c r="O197" s="9"/>
      <c r="P197" s="9"/>
      <c r="Q197" s="9"/>
      <c r="R197" s="9"/>
      <c r="S197" s="9"/>
      <c r="T197" s="9"/>
      <c r="U197" s="9"/>
      <c r="V197" s="9"/>
      <c r="W197" s="9"/>
      <c r="X197" s="168"/>
      <c r="Y197" s="87"/>
      <c r="Z197" s="87"/>
      <c r="AH197" s="89"/>
      <c r="AJ197" s="88"/>
      <c r="AK197" s="175"/>
    </row>
    <row r="198" spans="1:37" ht="11.25" customHeight="1" x14ac:dyDescent="0.2">
      <c r="A198" s="158"/>
      <c r="B198" s="973"/>
      <c r="C198" s="974"/>
      <c r="D198" s="974"/>
      <c r="E198" s="974"/>
      <c r="F198" s="974"/>
      <c r="G198" s="974"/>
      <c r="H198" s="9"/>
      <c r="I198" s="9"/>
      <c r="J198" s="13"/>
      <c r="K198" s="9"/>
      <c r="L198" s="9"/>
      <c r="M198" s="9"/>
      <c r="N198" s="9"/>
      <c r="O198" s="9"/>
      <c r="P198" s="9"/>
      <c r="Q198" s="9"/>
      <c r="R198" s="9"/>
      <c r="S198" s="9"/>
      <c r="T198" s="9"/>
      <c r="U198" s="9"/>
      <c r="V198" s="9"/>
      <c r="W198" s="9"/>
      <c r="X198" s="168"/>
      <c r="Y198" s="87"/>
      <c r="Z198" s="87"/>
      <c r="AH198" s="89"/>
      <c r="AJ198" s="88"/>
      <c r="AK198" s="175"/>
    </row>
    <row r="199" spans="1:37" ht="11.25" customHeight="1" x14ac:dyDescent="0.2">
      <c r="A199" s="158"/>
      <c r="B199" s="973" t="s">
        <v>23</v>
      </c>
      <c r="C199" s="974"/>
      <c r="D199" s="974"/>
      <c r="E199" s="974"/>
      <c r="F199" s="974"/>
      <c r="G199" s="974"/>
      <c r="H199" s="9"/>
      <c r="I199" s="9"/>
      <c r="J199" s="13"/>
      <c r="K199" s="9"/>
      <c r="L199" s="9"/>
      <c r="M199" s="9"/>
      <c r="N199" s="9"/>
      <c r="O199" s="9"/>
      <c r="P199" s="9"/>
      <c r="Q199" s="9"/>
      <c r="R199" s="9"/>
      <c r="S199" s="9"/>
      <c r="T199" s="9"/>
      <c r="U199" s="9"/>
      <c r="V199" s="9"/>
      <c r="W199" s="9"/>
      <c r="X199" s="168"/>
      <c r="Y199" s="87"/>
      <c r="Z199" s="87"/>
      <c r="AH199" s="89"/>
      <c r="AJ199" s="88"/>
      <c r="AK199" s="175"/>
    </row>
    <row r="200" spans="1:37" ht="11.25" customHeight="1" x14ac:dyDescent="0.2">
      <c r="A200" s="158"/>
      <c r="B200" s="973"/>
      <c r="C200" s="974"/>
      <c r="D200" s="974"/>
      <c r="E200" s="974"/>
      <c r="F200" s="974"/>
      <c r="G200" s="974"/>
      <c r="H200" s="9"/>
      <c r="I200" s="9"/>
      <c r="J200" s="13"/>
      <c r="K200" s="9"/>
      <c r="L200" s="9"/>
      <c r="M200" s="9"/>
      <c r="N200" s="9"/>
      <c r="O200" s="9"/>
      <c r="P200" s="9"/>
      <c r="Q200" s="9"/>
      <c r="R200" s="9"/>
      <c r="S200" s="9"/>
      <c r="T200" s="9"/>
      <c r="U200" s="9"/>
      <c r="V200" s="9"/>
      <c r="W200" s="9"/>
      <c r="X200" s="168"/>
      <c r="Y200" s="87"/>
      <c r="Z200" s="87"/>
      <c r="AH200" s="89"/>
      <c r="AJ200" s="88"/>
      <c r="AK200" s="175"/>
    </row>
    <row r="201" spans="1:37" ht="11.25" customHeight="1" x14ac:dyDescent="0.2">
      <c r="A201" s="158"/>
      <c r="B201" s="973" t="s">
        <v>26</v>
      </c>
      <c r="C201" s="974"/>
      <c r="D201" s="974"/>
      <c r="E201" s="974"/>
      <c r="F201" s="974"/>
      <c r="G201" s="974"/>
      <c r="H201" s="9"/>
      <c r="I201" s="9"/>
      <c r="J201" s="13"/>
      <c r="K201" s="9"/>
      <c r="L201" s="9"/>
      <c r="M201" s="9"/>
      <c r="N201" s="9"/>
      <c r="O201" s="9"/>
      <c r="P201" s="9"/>
      <c r="Q201" s="9"/>
      <c r="R201" s="9"/>
      <c r="S201" s="9"/>
      <c r="T201" s="9"/>
      <c r="U201" s="9"/>
      <c r="V201" s="9"/>
      <c r="W201" s="9"/>
      <c r="X201" s="168"/>
      <c r="Y201" s="87"/>
      <c r="Z201" s="87"/>
      <c r="AH201" s="89"/>
      <c r="AJ201" s="88"/>
      <c r="AK201" s="175"/>
    </row>
    <row r="202" spans="1:37" ht="11.25" customHeight="1" x14ac:dyDescent="0.2">
      <c r="A202" s="158"/>
      <c r="B202" s="973"/>
      <c r="C202" s="974"/>
      <c r="D202" s="974"/>
      <c r="E202" s="974"/>
      <c r="F202" s="974"/>
      <c r="G202" s="974"/>
      <c r="H202" s="9"/>
      <c r="I202" s="9"/>
      <c r="J202" s="13"/>
      <c r="K202" s="9"/>
      <c r="L202" s="9"/>
      <c r="M202" s="9"/>
      <c r="N202" s="9"/>
      <c r="O202" s="9"/>
      <c r="P202" s="9"/>
      <c r="Q202" s="9"/>
      <c r="R202" s="9"/>
      <c r="S202" s="9"/>
      <c r="T202" s="9"/>
      <c r="U202" s="9"/>
      <c r="V202" s="9"/>
      <c r="W202" s="9"/>
      <c r="X202" s="168"/>
      <c r="Y202" s="87"/>
      <c r="Z202" s="87"/>
      <c r="AH202" s="89"/>
      <c r="AJ202" s="88"/>
      <c r="AK202" s="175"/>
    </row>
    <row r="203" spans="1:37" ht="11.25" customHeight="1" x14ac:dyDescent="0.2">
      <c r="A203" s="158"/>
      <c r="B203" s="973" t="s">
        <v>19</v>
      </c>
      <c r="C203" s="974"/>
      <c r="D203" s="974"/>
      <c r="E203" s="974"/>
      <c r="F203" s="974"/>
      <c r="G203" s="974"/>
      <c r="H203" s="9"/>
      <c r="I203" s="9"/>
      <c r="J203" s="13"/>
      <c r="K203" s="9"/>
      <c r="L203" s="9"/>
      <c r="M203" s="9"/>
      <c r="N203" s="9"/>
      <c r="O203" s="9"/>
      <c r="P203" s="9"/>
      <c r="Q203" s="9"/>
      <c r="R203" s="9"/>
      <c r="S203" s="9"/>
      <c r="T203" s="9"/>
      <c r="U203" s="9"/>
      <c r="V203" s="9"/>
      <c r="W203" s="9"/>
      <c r="X203" s="168"/>
      <c r="Y203" s="87"/>
      <c r="Z203" s="87"/>
      <c r="AH203" s="89"/>
      <c r="AJ203" s="88"/>
      <c r="AK203" s="175"/>
    </row>
    <row r="204" spans="1:37" ht="11.25" customHeight="1" x14ac:dyDescent="0.2">
      <c r="A204" s="158"/>
      <c r="B204" s="973"/>
      <c r="C204" s="974"/>
      <c r="D204" s="974"/>
      <c r="E204" s="974"/>
      <c r="F204" s="974"/>
      <c r="G204" s="974"/>
      <c r="H204" s="9"/>
      <c r="I204" s="9"/>
      <c r="J204" s="13"/>
      <c r="K204" s="9"/>
      <c r="L204" s="9"/>
      <c r="M204" s="9"/>
      <c r="N204" s="9"/>
      <c r="O204" s="9"/>
      <c r="P204" s="9"/>
      <c r="Q204" s="9"/>
      <c r="R204" s="9"/>
      <c r="S204" s="9"/>
      <c r="T204" s="9"/>
      <c r="U204" s="9"/>
      <c r="V204" s="9"/>
      <c r="W204" s="9"/>
      <c r="X204" s="168"/>
      <c r="Y204" s="87"/>
      <c r="Z204" s="87"/>
      <c r="AH204" s="89"/>
      <c r="AJ204" s="88"/>
      <c r="AK204" s="175"/>
    </row>
    <row r="205" spans="1:37" ht="11.25" customHeight="1" x14ac:dyDescent="0.2">
      <c r="A205" s="158"/>
      <c r="B205" s="973" t="s">
        <v>20</v>
      </c>
      <c r="C205" s="930"/>
      <c r="D205" s="930"/>
      <c r="E205" s="930"/>
      <c r="F205" s="930"/>
      <c r="G205" s="930"/>
      <c r="H205" s="930"/>
      <c r="I205" s="9"/>
      <c r="J205" s="13"/>
      <c r="K205" s="9"/>
      <c r="L205" s="9"/>
      <c r="M205" s="9"/>
      <c r="N205" s="9"/>
      <c r="O205" s="9"/>
      <c r="P205" s="9"/>
      <c r="Q205" s="9"/>
      <c r="R205" s="9"/>
      <c r="S205" s="9"/>
      <c r="T205" s="9"/>
      <c r="U205" s="9"/>
      <c r="V205" s="9"/>
      <c r="W205" s="9"/>
      <c r="X205" s="168"/>
      <c r="Y205" s="87"/>
      <c r="Z205" s="87"/>
      <c r="AH205" s="89"/>
      <c r="AJ205" s="88"/>
      <c r="AK205" s="175"/>
    </row>
    <row r="206" spans="1:37" ht="11.25" customHeight="1" x14ac:dyDescent="0.2">
      <c r="A206" s="158"/>
      <c r="B206" s="930"/>
      <c r="C206" s="930"/>
      <c r="D206" s="930"/>
      <c r="E206" s="930"/>
      <c r="F206" s="930"/>
      <c r="G206" s="930"/>
      <c r="H206" s="930"/>
      <c r="I206" s="9"/>
      <c r="J206" s="13"/>
      <c r="K206" s="9"/>
      <c r="L206" s="9"/>
      <c r="M206" s="9"/>
      <c r="N206" s="9"/>
      <c r="O206" s="9"/>
      <c r="P206" s="9"/>
      <c r="Q206" s="9"/>
      <c r="R206" s="9"/>
      <c r="S206" s="9"/>
      <c r="T206" s="9"/>
      <c r="U206" s="9"/>
      <c r="V206" s="9"/>
      <c r="W206" s="9"/>
      <c r="X206" s="168"/>
      <c r="Y206" s="87"/>
      <c r="Z206" s="87"/>
      <c r="AH206" s="89"/>
      <c r="AJ206" s="88"/>
      <c r="AK206" s="175"/>
    </row>
    <row r="207" spans="1:37" ht="11.25" customHeight="1" x14ac:dyDescent="0.2">
      <c r="A207" s="158"/>
      <c r="B207" s="973" t="s">
        <v>21</v>
      </c>
      <c r="C207" s="974"/>
      <c r="D207" s="974"/>
      <c r="E207" s="974"/>
      <c r="F207" s="974"/>
      <c r="G207" s="974"/>
      <c r="H207" s="9"/>
      <c r="I207" s="9"/>
      <c r="J207" s="13"/>
      <c r="K207" s="9"/>
      <c r="L207" s="9"/>
      <c r="M207" s="9"/>
      <c r="N207" s="9"/>
      <c r="O207" s="9"/>
      <c r="P207" s="9"/>
      <c r="Q207" s="9"/>
      <c r="R207" s="9"/>
      <c r="S207" s="9"/>
      <c r="T207" s="9"/>
      <c r="U207" s="9"/>
      <c r="V207" s="9"/>
      <c r="W207" s="9"/>
      <c r="X207" s="168"/>
      <c r="Y207" s="87"/>
      <c r="Z207" s="87"/>
      <c r="AH207" s="89"/>
      <c r="AJ207" s="88"/>
      <c r="AK207" s="175"/>
    </row>
    <row r="208" spans="1:37" ht="11.25" customHeight="1" x14ac:dyDescent="0.2">
      <c r="A208" s="158"/>
      <c r="B208" s="973"/>
      <c r="C208" s="974"/>
      <c r="D208" s="974"/>
      <c r="E208" s="974"/>
      <c r="F208" s="974"/>
      <c r="G208" s="974"/>
      <c r="H208" s="9"/>
      <c r="I208" s="9"/>
      <c r="J208" s="13"/>
      <c r="K208" s="9"/>
      <c r="L208" s="9"/>
      <c r="M208" s="9"/>
      <c r="N208" s="9"/>
      <c r="O208" s="9"/>
      <c r="P208" s="9"/>
      <c r="Q208" s="9"/>
      <c r="R208" s="9"/>
      <c r="S208" s="9"/>
      <c r="T208" s="9"/>
      <c r="U208" s="9"/>
      <c r="V208" s="9"/>
      <c r="W208" s="9"/>
      <c r="X208" s="168"/>
      <c r="Y208" s="87"/>
      <c r="Z208" s="87"/>
      <c r="AH208" s="89"/>
      <c r="AJ208" s="88"/>
      <c r="AK208" s="175"/>
    </row>
    <row r="209" spans="1:48" ht="11.25" customHeight="1" x14ac:dyDescent="0.2">
      <c r="A209" s="158"/>
      <c r="B209" s="973" t="s">
        <v>27</v>
      </c>
      <c r="C209" s="974"/>
      <c r="D209" s="974"/>
      <c r="E209" s="974"/>
      <c r="F209" s="974"/>
      <c r="G209" s="974"/>
      <c r="H209" s="9"/>
      <c r="I209" s="9"/>
      <c r="J209" s="13"/>
      <c r="K209" s="9"/>
      <c r="L209" s="9"/>
      <c r="M209" s="9"/>
      <c r="N209" s="9"/>
      <c r="O209" s="9"/>
      <c r="P209" s="9"/>
      <c r="Q209" s="9"/>
      <c r="R209" s="9"/>
      <c r="S209" s="9"/>
      <c r="T209" s="9"/>
      <c r="U209" s="9"/>
      <c r="V209" s="9"/>
      <c r="W209" s="9"/>
      <c r="X209" s="168"/>
      <c r="Y209" s="87"/>
      <c r="Z209" s="87"/>
      <c r="AH209" s="89"/>
      <c r="AJ209" s="88"/>
      <c r="AK209" s="175"/>
    </row>
    <row r="210" spans="1:48" ht="11.25" customHeight="1" x14ac:dyDescent="0.2">
      <c r="A210" s="158"/>
      <c r="B210" s="973"/>
      <c r="C210" s="974"/>
      <c r="D210" s="974"/>
      <c r="E210" s="974"/>
      <c r="F210" s="974"/>
      <c r="G210" s="974"/>
      <c r="H210" s="9"/>
      <c r="I210" s="9"/>
      <c r="J210" s="13"/>
      <c r="K210" s="9"/>
      <c r="L210" s="9"/>
      <c r="M210" s="9"/>
      <c r="N210" s="9"/>
      <c r="O210" s="9"/>
      <c r="P210" s="9"/>
      <c r="Q210" s="9"/>
      <c r="R210" s="9"/>
      <c r="S210" s="9"/>
      <c r="T210" s="9"/>
      <c r="U210" s="9"/>
      <c r="V210" s="9"/>
      <c r="W210" s="9"/>
      <c r="X210" s="168"/>
      <c r="Y210" s="87"/>
      <c r="Z210" s="87"/>
      <c r="AH210" s="89"/>
      <c r="AJ210" s="88"/>
      <c r="AK210" s="175"/>
    </row>
    <row r="211" spans="1:48" ht="11.25" customHeight="1" x14ac:dyDescent="0.2">
      <c r="A211" s="158"/>
      <c r="B211" s="973" t="s">
        <v>22</v>
      </c>
      <c r="C211" s="974"/>
      <c r="D211" s="974"/>
      <c r="E211" s="974"/>
      <c r="F211" s="974"/>
      <c r="G211" s="974"/>
      <c r="H211" s="9"/>
      <c r="I211" s="9"/>
      <c r="J211" s="13"/>
      <c r="K211" s="9"/>
      <c r="L211" s="9"/>
      <c r="M211" s="9"/>
      <c r="N211" s="9"/>
      <c r="O211" s="9"/>
      <c r="P211" s="9"/>
      <c r="Q211" s="9"/>
      <c r="R211" s="9"/>
      <c r="S211" s="9"/>
      <c r="T211" s="9"/>
      <c r="U211" s="9"/>
      <c r="V211" s="9"/>
      <c r="W211" s="9"/>
      <c r="X211" s="168"/>
      <c r="Y211" s="87"/>
      <c r="Z211" s="87"/>
      <c r="AH211" s="89"/>
      <c r="AJ211" s="88"/>
      <c r="AK211" s="175"/>
    </row>
    <row r="212" spans="1:48" ht="11.25" customHeight="1" x14ac:dyDescent="0.2">
      <c r="A212" s="158"/>
      <c r="B212" s="973"/>
      <c r="C212" s="974"/>
      <c r="D212" s="974"/>
      <c r="E212" s="974"/>
      <c r="F212" s="974"/>
      <c r="G212" s="974"/>
      <c r="H212" s="9"/>
      <c r="I212" s="9"/>
      <c r="J212" s="13"/>
      <c r="K212" s="9"/>
      <c r="L212" s="9"/>
      <c r="M212" s="9"/>
      <c r="N212" s="9"/>
      <c r="O212" s="9"/>
      <c r="P212" s="9"/>
      <c r="Q212" s="9"/>
      <c r="R212" s="9"/>
      <c r="S212" s="9"/>
      <c r="T212" s="9"/>
      <c r="U212" s="9"/>
      <c r="V212" s="9"/>
      <c r="W212" s="9"/>
      <c r="X212" s="168"/>
      <c r="Y212" s="87"/>
      <c r="Z212" s="87"/>
      <c r="AH212" s="89"/>
      <c r="AJ212" s="88"/>
      <c r="AK212" s="175"/>
    </row>
    <row r="213" spans="1:48" ht="11.25" customHeight="1" x14ac:dyDescent="0.2">
      <c r="A213" s="158"/>
      <c r="B213" s="973" t="s">
        <v>874</v>
      </c>
      <c r="C213" s="975"/>
      <c r="D213" s="975"/>
      <c r="E213" s="975"/>
      <c r="F213" s="975"/>
      <c r="G213" s="975"/>
      <c r="H213" s="9"/>
      <c r="I213" s="9"/>
      <c r="J213" s="13"/>
      <c r="K213" s="9"/>
      <c r="L213" s="9"/>
      <c r="M213" s="9"/>
      <c r="N213" s="9"/>
      <c r="O213" s="9"/>
      <c r="P213" s="9"/>
      <c r="Q213" s="9"/>
      <c r="R213" s="9"/>
      <c r="S213" s="9"/>
      <c r="T213" s="9"/>
      <c r="U213" s="9"/>
      <c r="V213" s="9"/>
      <c r="W213" s="9"/>
      <c r="X213" s="168"/>
      <c r="Y213" s="87"/>
      <c r="Z213" s="87"/>
      <c r="AH213" s="89"/>
      <c r="AJ213" s="88"/>
      <c r="AK213" s="175"/>
    </row>
    <row r="214" spans="1:48" ht="11.25" customHeight="1" x14ac:dyDescent="0.2">
      <c r="A214" s="158"/>
      <c r="B214" s="973"/>
      <c r="C214" s="975"/>
      <c r="D214" s="975"/>
      <c r="E214" s="975"/>
      <c r="F214" s="975"/>
      <c r="G214" s="975"/>
      <c r="H214" s="9"/>
      <c r="I214" s="9"/>
      <c r="J214" s="13"/>
      <c r="K214" s="9"/>
      <c r="L214" s="9"/>
      <c r="M214" s="9"/>
      <c r="N214" s="9"/>
      <c r="O214" s="9"/>
      <c r="P214" s="9"/>
      <c r="Q214" s="9"/>
      <c r="R214" s="9"/>
      <c r="S214" s="9"/>
      <c r="T214" s="9"/>
      <c r="U214" s="9"/>
      <c r="V214" s="9"/>
      <c r="W214" s="9"/>
      <c r="X214" s="168"/>
      <c r="Y214" s="87"/>
      <c r="Z214" s="87"/>
      <c r="AH214" s="89"/>
      <c r="AJ214" s="88"/>
      <c r="AK214" s="175"/>
    </row>
    <row r="215" spans="1:48" ht="11.25" customHeight="1" x14ac:dyDescent="0.2">
      <c r="A215" s="158"/>
      <c r="B215" s="973"/>
      <c r="C215" s="973"/>
      <c r="D215" s="973"/>
      <c r="E215" s="973"/>
      <c r="F215" s="975"/>
      <c r="G215" s="975"/>
      <c r="H215" s="975"/>
      <c r="I215" s="9"/>
      <c r="J215" s="13"/>
      <c r="K215" s="9"/>
      <c r="L215" s="9"/>
      <c r="M215" s="9"/>
      <c r="N215" s="9"/>
      <c r="O215" s="9"/>
      <c r="P215" s="9"/>
      <c r="Q215" s="9"/>
      <c r="R215" s="9"/>
      <c r="S215" s="9"/>
      <c r="T215" s="9"/>
      <c r="U215" s="9"/>
      <c r="V215" s="9"/>
      <c r="W215" s="9"/>
      <c r="X215" s="168"/>
      <c r="Y215" s="87"/>
      <c r="Z215" s="87"/>
      <c r="AH215" s="89"/>
      <c r="AJ215" s="88"/>
      <c r="AK215" s="175"/>
    </row>
    <row r="216" spans="1:48" ht="11.25" customHeight="1" x14ac:dyDescent="0.2">
      <c r="A216" s="158"/>
      <c r="B216" s="973"/>
      <c r="C216" s="973"/>
      <c r="D216" s="973"/>
      <c r="E216" s="973"/>
      <c r="F216" s="975"/>
      <c r="G216" s="975"/>
      <c r="H216" s="975"/>
      <c r="I216" s="9"/>
      <c r="J216" s="13"/>
      <c r="K216" s="9"/>
      <c r="L216" s="9"/>
      <c r="M216" s="9"/>
      <c r="N216" s="9"/>
      <c r="O216" s="9"/>
      <c r="P216" s="9"/>
      <c r="Q216" s="9"/>
      <c r="R216" s="9"/>
      <c r="S216" s="9"/>
      <c r="T216" s="9"/>
      <c r="U216" s="9"/>
      <c r="V216" s="9"/>
      <c r="W216" s="9"/>
      <c r="X216" s="168"/>
      <c r="Y216" s="87"/>
      <c r="Z216" s="87"/>
      <c r="AH216" s="89"/>
      <c r="AJ216" s="88"/>
      <c r="AK216" s="175"/>
    </row>
    <row r="217" spans="1:48" ht="18.75" customHeight="1" x14ac:dyDescent="0.2">
      <c r="A217" s="159"/>
      <c r="B217" s="160"/>
      <c r="C217" s="160"/>
      <c r="D217" s="160"/>
      <c r="E217" s="160"/>
      <c r="F217" s="160"/>
      <c r="G217" s="160"/>
      <c r="H217" s="160"/>
      <c r="I217" s="160"/>
      <c r="J217" s="161"/>
      <c r="K217" s="160"/>
      <c r="L217" s="160"/>
      <c r="M217" s="160"/>
      <c r="N217" s="160"/>
      <c r="O217" s="160"/>
      <c r="P217" s="160"/>
      <c r="Q217" s="160"/>
      <c r="R217" s="160"/>
      <c r="S217" s="160"/>
      <c r="T217" s="160"/>
      <c r="U217" s="160"/>
      <c r="V217" s="160"/>
      <c r="W217" s="160"/>
      <c r="X217" s="911"/>
      <c r="Y217" s="87"/>
      <c r="Z217" s="87"/>
      <c r="AB217" s="227"/>
      <c r="AC217" s="227"/>
      <c r="AD217" s="227"/>
      <c r="AE217" s="227"/>
      <c r="AF217" s="227"/>
      <c r="AG217" s="227"/>
      <c r="AH217" s="227"/>
      <c r="AI217" s="227"/>
      <c r="AJ217" s="227"/>
      <c r="AK217" s="483"/>
    </row>
    <row r="218" spans="1:48" s="87" customFormat="1" ht="11.25" customHeight="1" x14ac:dyDescent="0.2">
      <c r="A218" s="80"/>
      <c r="B218" s="80"/>
      <c r="C218" s="80"/>
      <c r="D218" s="80"/>
      <c r="E218" s="80"/>
      <c r="F218" s="80"/>
      <c r="G218" s="80"/>
      <c r="H218" s="80"/>
      <c r="I218" s="80"/>
      <c r="J218" s="106"/>
      <c r="K218" s="80"/>
      <c r="L218" s="80"/>
      <c r="M218" s="80"/>
      <c r="N218" s="80"/>
      <c r="O218" s="80"/>
      <c r="P218" s="80"/>
      <c r="Q218" s="80"/>
      <c r="R218" s="80"/>
      <c r="S218" s="80"/>
      <c r="T218" s="80"/>
      <c r="U218" s="80"/>
      <c r="V218" s="80"/>
      <c r="W218" s="80"/>
      <c r="X218" s="80"/>
      <c r="Y218" s="181"/>
      <c r="AA218" s="88"/>
      <c r="AB218" s="88"/>
      <c r="AC218" s="88"/>
      <c r="AD218" s="88"/>
      <c r="AE218" s="88"/>
      <c r="AF218" s="88"/>
      <c r="AG218" s="88"/>
      <c r="AH218" s="88"/>
      <c r="AI218" s="88"/>
      <c r="AJ218" s="88"/>
      <c r="AK218" s="88"/>
      <c r="AL218" s="80"/>
      <c r="AM218" s="80"/>
      <c r="AN218" s="80"/>
      <c r="AO218" s="80"/>
      <c r="AP218" s="80"/>
      <c r="AQ218" s="80"/>
      <c r="AR218" s="80"/>
      <c r="AS218" s="80"/>
      <c r="AT218" s="80"/>
      <c r="AU218" s="80"/>
      <c r="AV218" s="80"/>
    </row>
    <row r="219" spans="1:48" ht="11.25" customHeight="1" x14ac:dyDescent="0.2">
      <c r="W219" s="80"/>
      <c r="X219" s="80"/>
      <c r="Y219" s="87"/>
      <c r="Z219" s="87"/>
      <c r="AJ219" s="88"/>
      <c r="AK219" s="88"/>
    </row>
    <row r="220" spans="1:48" ht="11.25" customHeight="1" x14ac:dyDescent="0.2">
      <c r="W220" s="80"/>
      <c r="X220" s="80"/>
      <c r="Y220" s="87"/>
      <c r="Z220" s="87"/>
      <c r="AJ220" s="88"/>
      <c r="AK220" s="88"/>
    </row>
    <row r="221" spans="1:48" ht="11.25" customHeight="1" x14ac:dyDescent="0.2">
      <c r="W221" s="80"/>
      <c r="X221" s="80"/>
      <c r="Y221" s="87"/>
      <c r="Z221" s="87"/>
      <c r="AJ221" s="88"/>
      <c r="AK221" s="88"/>
    </row>
    <row r="222" spans="1:48" ht="11.25" customHeight="1" x14ac:dyDescent="0.2">
      <c r="W222" s="80"/>
      <c r="X222" s="80"/>
      <c r="Y222" s="87"/>
      <c r="Z222" s="87"/>
      <c r="AJ222" s="88"/>
      <c r="AK222" s="88"/>
    </row>
    <row r="223" spans="1:48" ht="11.25" customHeight="1" x14ac:dyDescent="0.2">
      <c r="W223" s="80"/>
      <c r="X223" s="80"/>
      <c r="Y223" s="87"/>
      <c r="Z223" s="87"/>
      <c r="AJ223" s="88"/>
      <c r="AK223" s="88"/>
      <c r="AM223" s="210"/>
    </row>
    <row r="224" spans="1:48" ht="11.25" customHeight="1" x14ac:dyDescent="0.2">
      <c r="W224" s="80"/>
      <c r="X224" s="80"/>
      <c r="Y224" s="87"/>
      <c r="Z224" s="87"/>
      <c r="AJ224" s="88"/>
      <c r="AK224" s="88"/>
      <c r="AM224" s="210"/>
    </row>
    <row r="225" spans="23:39" ht="11.25" customHeight="1" x14ac:dyDescent="0.2">
      <c r="W225" s="80"/>
      <c r="X225" s="80"/>
      <c r="Y225" s="87"/>
      <c r="Z225" s="87"/>
      <c r="AJ225" s="88"/>
      <c r="AK225" s="88"/>
      <c r="AM225" s="210"/>
    </row>
    <row r="226" spans="23:39" ht="11.25" customHeight="1" x14ac:dyDescent="0.2">
      <c r="W226" s="80"/>
      <c r="X226" s="80"/>
      <c r="Y226" s="87"/>
      <c r="Z226" s="87"/>
      <c r="AJ226" s="88"/>
      <c r="AK226" s="88"/>
      <c r="AM226" s="210"/>
    </row>
    <row r="227" spans="23:39" ht="11.25" customHeight="1" x14ac:dyDescent="0.2">
      <c r="W227" s="80"/>
      <c r="X227" s="80"/>
      <c r="Y227" s="87"/>
      <c r="Z227" s="87"/>
      <c r="AJ227" s="88"/>
      <c r="AK227" s="88"/>
      <c r="AM227" s="210"/>
    </row>
    <row r="228" spans="23:39" ht="11.25" customHeight="1" x14ac:dyDescent="0.2">
      <c r="W228" s="80"/>
      <c r="X228" s="80"/>
      <c r="Y228" s="87"/>
      <c r="Z228" s="87"/>
      <c r="AJ228" s="88"/>
      <c r="AK228" s="88"/>
      <c r="AM228" s="210"/>
    </row>
    <row r="229" spans="23:39" ht="11.25" customHeight="1" x14ac:dyDescent="0.2">
      <c r="W229" s="80"/>
      <c r="X229" s="80"/>
      <c r="Y229" s="87"/>
      <c r="Z229" s="87"/>
      <c r="AJ229" s="88"/>
      <c r="AK229" s="88"/>
      <c r="AM229" s="210"/>
    </row>
    <row r="230" spans="23:39" ht="11.25" customHeight="1" x14ac:dyDescent="0.2">
      <c r="W230" s="80"/>
      <c r="X230" s="80"/>
      <c r="Y230" s="87"/>
      <c r="Z230" s="87"/>
      <c r="AJ230" s="88"/>
      <c r="AK230" s="88"/>
      <c r="AM230" s="210"/>
    </row>
    <row r="231" spans="23:39" ht="11.25" customHeight="1" x14ac:dyDescent="0.2">
      <c r="W231" s="80"/>
      <c r="X231" s="80"/>
      <c r="Y231" s="87"/>
      <c r="Z231" s="87"/>
      <c r="AJ231" s="88"/>
      <c r="AK231" s="88"/>
      <c r="AM231" s="210"/>
    </row>
    <row r="232" spans="23:39" ht="11.25" customHeight="1" x14ac:dyDescent="0.2">
      <c r="W232" s="80"/>
      <c r="X232" s="80"/>
      <c r="Y232" s="87"/>
      <c r="Z232" s="87"/>
      <c r="AJ232" s="88"/>
      <c r="AK232" s="88"/>
      <c r="AM232" s="210"/>
    </row>
    <row r="233" spans="23:39" ht="11.25" customHeight="1" x14ac:dyDescent="0.2">
      <c r="W233" s="80"/>
      <c r="X233" s="80"/>
      <c r="Y233" s="87"/>
      <c r="Z233" s="87"/>
      <c r="AJ233" s="88"/>
      <c r="AK233" s="88"/>
      <c r="AM233" s="210"/>
    </row>
    <row r="234" spans="23:39" ht="11.25" customHeight="1" x14ac:dyDescent="0.2">
      <c r="W234" s="80"/>
      <c r="X234" s="80"/>
      <c r="Y234" s="87"/>
      <c r="Z234" s="87"/>
      <c r="AJ234" s="88"/>
      <c r="AK234" s="88"/>
      <c r="AM234" s="210"/>
    </row>
    <row r="235" spans="23:39" ht="11.25" customHeight="1" x14ac:dyDescent="0.2">
      <c r="W235" s="80"/>
      <c r="X235" s="80"/>
      <c r="Y235" s="87"/>
      <c r="Z235" s="87"/>
      <c r="AJ235" s="88"/>
      <c r="AK235" s="88"/>
      <c r="AM235" s="210"/>
    </row>
    <row r="236" spans="23:39" ht="11.25" customHeight="1" x14ac:dyDescent="0.2">
      <c r="W236" s="80"/>
      <c r="X236" s="80"/>
      <c r="Y236" s="87"/>
      <c r="Z236" s="87"/>
      <c r="AJ236" s="88"/>
      <c r="AK236" s="88"/>
      <c r="AM236" s="210"/>
    </row>
    <row r="237" spans="23:39" ht="11.25" customHeight="1" x14ac:dyDescent="0.2">
      <c r="W237" s="80"/>
      <c r="X237" s="80"/>
      <c r="Y237" s="87"/>
      <c r="Z237" s="87"/>
      <c r="AJ237" s="88"/>
      <c r="AK237" s="88"/>
      <c r="AM237" s="210"/>
    </row>
    <row r="238" spans="23:39" ht="11.25" customHeight="1" x14ac:dyDescent="0.2">
      <c r="W238" s="80"/>
      <c r="X238" s="80"/>
      <c r="Y238" s="87"/>
      <c r="Z238" s="87"/>
      <c r="AJ238" s="88"/>
      <c r="AK238" s="88"/>
      <c r="AM238" s="210"/>
    </row>
    <row r="239" spans="23:39" ht="11.25" customHeight="1" x14ac:dyDescent="0.2">
      <c r="W239" s="80"/>
      <c r="X239" s="80"/>
      <c r="Y239" s="87"/>
      <c r="Z239" s="87"/>
      <c r="AJ239" s="88"/>
      <c r="AK239" s="88"/>
      <c r="AM239" s="210"/>
    </row>
    <row r="240" spans="23:39" ht="11.25" customHeight="1" x14ac:dyDescent="0.2">
      <c r="W240" s="80"/>
      <c r="X240" s="80"/>
      <c r="Y240" s="87"/>
      <c r="Z240" s="87"/>
      <c r="AJ240" s="88"/>
      <c r="AK240" s="88"/>
      <c r="AM240" s="210"/>
    </row>
    <row r="241" spans="23:39" ht="11.25" customHeight="1" x14ac:dyDescent="0.2">
      <c r="W241" s="80"/>
      <c r="X241" s="80"/>
      <c r="Y241" s="87"/>
      <c r="Z241" s="87"/>
      <c r="AJ241" s="88"/>
      <c r="AK241" s="88"/>
      <c r="AM241" s="210"/>
    </row>
    <row r="242" spans="23:39" ht="11.25" customHeight="1" x14ac:dyDescent="0.2">
      <c r="W242" s="80"/>
      <c r="X242" s="80"/>
      <c r="Y242" s="87"/>
      <c r="Z242" s="87"/>
      <c r="AJ242" s="88"/>
      <c r="AK242" s="88"/>
      <c r="AM242" s="210"/>
    </row>
    <row r="243" spans="23:39" ht="11.25" customHeight="1" x14ac:dyDescent="0.2">
      <c r="W243" s="80"/>
      <c r="X243" s="80"/>
      <c r="Y243" s="87"/>
      <c r="Z243" s="87"/>
      <c r="AJ243" s="88"/>
      <c r="AK243" s="88"/>
      <c r="AM243" s="210"/>
    </row>
    <row r="244" spans="23:39" ht="11.25" customHeight="1" x14ac:dyDescent="0.2">
      <c r="W244" s="80"/>
      <c r="X244" s="80"/>
      <c r="Y244" s="87"/>
      <c r="Z244" s="87"/>
      <c r="AJ244" s="88"/>
      <c r="AK244" s="88"/>
      <c r="AM244" s="210"/>
    </row>
    <row r="245" spans="23:39" ht="11.25" customHeight="1" x14ac:dyDescent="0.2">
      <c r="W245" s="80"/>
      <c r="X245" s="80"/>
      <c r="Y245" s="87"/>
      <c r="Z245" s="87"/>
      <c r="AJ245" s="88"/>
      <c r="AK245" s="88"/>
      <c r="AM245" s="210"/>
    </row>
    <row r="246" spans="23:39" ht="11.25" customHeight="1" x14ac:dyDescent="0.2">
      <c r="W246" s="80"/>
      <c r="X246" s="80"/>
      <c r="Y246" s="87"/>
      <c r="Z246" s="87"/>
      <c r="AJ246" s="88"/>
      <c r="AK246" s="88"/>
      <c r="AM246" s="210"/>
    </row>
    <row r="247" spans="23:39" ht="11.25" customHeight="1" x14ac:dyDescent="0.2">
      <c r="W247" s="80"/>
      <c r="X247" s="80"/>
      <c r="Y247" s="87"/>
      <c r="Z247" s="87"/>
      <c r="AJ247" s="88"/>
      <c r="AK247" s="88"/>
      <c r="AM247" s="210"/>
    </row>
    <row r="248" spans="23:39" ht="11.25" customHeight="1" x14ac:dyDescent="0.2">
      <c r="W248" s="80"/>
      <c r="X248" s="80"/>
      <c r="Y248" s="87"/>
      <c r="Z248" s="87"/>
      <c r="AJ248" s="88"/>
      <c r="AK248" s="88"/>
      <c r="AM248" s="210"/>
    </row>
    <row r="249" spans="23:39" ht="11.25" customHeight="1" x14ac:dyDescent="0.2">
      <c r="W249" s="80"/>
      <c r="X249" s="80"/>
      <c r="Y249" s="87"/>
      <c r="Z249" s="87"/>
      <c r="AJ249" s="88"/>
      <c r="AK249" s="88"/>
      <c r="AM249" s="210"/>
    </row>
    <row r="250" spans="23:39" ht="11.25" customHeight="1" x14ac:dyDescent="0.2">
      <c r="W250" s="80"/>
      <c r="X250" s="80"/>
      <c r="Y250" s="87"/>
      <c r="Z250" s="87"/>
      <c r="AJ250" s="88"/>
      <c r="AK250" s="88"/>
      <c r="AM250" s="210"/>
    </row>
    <row r="251" spans="23:39" ht="11.25" customHeight="1" x14ac:dyDescent="0.2">
      <c r="W251" s="80"/>
      <c r="X251" s="80"/>
      <c r="Y251" s="87"/>
      <c r="Z251" s="87"/>
      <c r="AJ251" s="88"/>
      <c r="AK251" s="88"/>
      <c r="AM251" s="210"/>
    </row>
    <row r="252" spans="23:39" ht="11.25" customHeight="1" x14ac:dyDescent="0.2">
      <c r="W252" s="80"/>
      <c r="X252" s="80"/>
      <c r="Y252" s="87"/>
      <c r="Z252" s="87"/>
      <c r="AJ252" s="88"/>
      <c r="AK252" s="88"/>
      <c r="AM252" s="210"/>
    </row>
    <row r="253" spans="23:39" ht="11.25" customHeight="1" x14ac:dyDescent="0.2">
      <c r="W253" s="80"/>
      <c r="X253" s="80"/>
      <c r="Y253" s="87"/>
      <c r="Z253" s="87"/>
      <c r="AJ253" s="88"/>
      <c r="AK253" s="88"/>
      <c r="AM253" s="210"/>
    </row>
    <row r="254" spans="23:39" ht="11.25" customHeight="1" x14ac:dyDescent="0.2">
      <c r="W254" s="80"/>
      <c r="X254" s="80"/>
      <c r="Y254" s="87"/>
      <c r="Z254" s="87"/>
      <c r="AJ254" s="88"/>
      <c r="AK254" s="88"/>
      <c r="AM254" s="210"/>
    </row>
    <row r="255" spans="23:39" ht="11.25" customHeight="1" x14ac:dyDescent="0.2">
      <c r="W255" s="80"/>
      <c r="X255" s="80"/>
      <c r="Y255" s="87"/>
      <c r="Z255" s="87"/>
      <c r="AJ255" s="88"/>
      <c r="AK255" s="88"/>
      <c r="AM255" s="210"/>
    </row>
    <row r="256" spans="23:39" ht="11.25" customHeight="1" x14ac:dyDescent="0.2">
      <c r="W256" s="80"/>
      <c r="X256" s="80"/>
      <c r="Y256" s="87"/>
      <c r="Z256" s="87"/>
      <c r="AJ256" s="88"/>
      <c r="AK256" s="88"/>
      <c r="AM256" s="210"/>
    </row>
    <row r="257" spans="23:39" ht="11.25" customHeight="1" x14ac:dyDescent="0.2">
      <c r="W257" s="80"/>
      <c r="X257" s="80"/>
      <c r="Y257" s="87"/>
      <c r="Z257" s="87"/>
      <c r="AJ257" s="88"/>
      <c r="AK257" s="88"/>
      <c r="AM257" s="210"/>
    </row>
    <row r="258" spans="23:39" ht="11.25" customHeight="1" x14ac:dyDescent="0.2">
      <c r="W258" s="80"/>
      <c r="X258" s="80"/>
      <c r="Y258" s="87"/>
      <c r="Z258" s="87"/>
      <c r="AJ258" s="88"/>
      <c r="AK258" s="88"/>
      <c r="AM258" s="210"/>
    </row>
    <row r="259" spans="23:39" ht="11.25" customHeight="1" x14ac:dyDescent="0.2">
      <c r="W259" s="80"/>
      <c r="X259" s="80"/>
      <c r="Y259" s="87"/>
      <c r="Z259" s="87"/>
      <c r="AJ259" s="88"/>
      <c r="AK259" s="88"/>
      <c r="AM259" s="210"/>
    </row>
    <row r="260" spans="23:39" ht="11.25" customHeight="1" x14ac:dyDescent="0.2">
      <c r="W260" s="80"/>
      <c r="X260" s="80"/>
      <c r="Y260" s="87"/>
      <c r="Z260" s="87"/>
      <c r="AJ260" s="88"/>
      <c r="AK260" s="88"/>
      <c r="AM260" s="210"/>
    </row>
    <row r="261" spans="23:39" ht="11.25" customHeight="1" x14ac:dyDescent="0.2">
      <c r="W261" s="80"/>
      <c r="X261" s="80"/>
      <c r="Y261" s="87"/>
      <c r="Z261" s="87"/>
      <c r="AJ261" s="88"/>
      <c r="AK261" s="88"/>
      <c r="AM261" s="210"/>
    </row>
    <row r="262" spans="23:39" ht="11.25" customHeight="1" x14ac:dyDescent="0.2">
      <c r="W262" s="80"/>
      <c r="X262" s="80"/>
      <c r="Y262" s="87"/>
      <c r="Z262" s="87"/>
      <c r="AJ262" s="88"/>
      <c r="AK262" s="88"/>
      <c r="AM262" s="210"/>
    </row>
    <row r="263" spans="23:39" ht="11.25" customHeight="1" x14ac:dyDescent="0.2">
      <c r="W263" s="80"/>
      <c r="X263" s="80"/>
      <c r="Y263" s="87"/>
      <c r="Z263" s="87"/>
      <c r="AJ263" s="88"/>
      <c r="AK263" s="88"/>
      <c r="AM263" s="210"/>
    </row>
    <row r="264" spans="23:39" ht="11.25" customHeight="1" x14ac:dyDescent="0.2">
      <c r="W264" s="80"/>
      <c r="X264" s="80"/>
      <c r="Y264" s="87"/>
      <c r="Z264" s="87"/>
      <c r="AJ264" s="88"/>
      <c r="AK264" s="88"/>
      <c r="AM264" s="210"/>
    </row>
    <row r="265" spans="23:39" ht="11.25" customHeight="1" x14ac:dyDescent="0.2">
      <c r="W265" s="80"/>
      <c r="X265" s="80"/>
      <c r="Y265" s="87"/>
      <c r="Z265" s="87"/>
      <c r="AJ265" s="88"/>
      <c r="AK265" s="88"/>
      <c r="AM265" s="210"/>
    </row>
    <row r="266" spans="23:39" ht="11.25" customHeight="1" x14ac:dyDescent="0.2">
      <c r="W266" s="80"/>
      <c r="X266" s="80"/>
      <c r="Y266" s="87"/>
      <c r="Z266" s="87"/>
      <c r="AJ266" s="88"/>
      <c r="AK266" s="88"/>
      <c r="AM266" s="210"/>
    </row>
    <row r="267" spans="23:39" ht="11.25" customHeight="1" x14ac:dyDescent="0.2">
      <c r="W267" s="80"/>
      <c r="X267" s="80"/>
      <c r="Y267" s="87"/>
      <c r="Z267" s="87"/>
      <c r="AJ267" s="88"/>
      <c r="AK267" s="88"/>
      <c r="AM267" s="210"/>
    </row>
    <row r="268" spans="23:39" ht="11.25" customHeight="1" x14ac:dyDescent="0.2">
      <c r="W268" s="80"/>
      <c r="X268" s="80"/>
      <c r="Y268" s="87"/>
      <c r="Z268" s="87"/>
      <c r="AJ268" s="88"/>
      <c r="AK268" s="88"/>
      <c r="AM268" s="210"/>
    </row>
    <row r="269" spans="23:39" ht="11.25" customHeight="1" x14ac:dyDescent="0.2">
      <c r="W269" s="80"/>
      <c r="X269" s="80"/>
      <c r="Y269" s="87"/>
      <c r="Z269" s="87"/>
      <c r="AJ269" s="88"/>
      <c r="AK269" s="88"/>
      <c r="AM269" s="210"/>
    </row>
    <row r="270" spans="23:39" ht="11.25" customHeight="1" x14ac:dyDescent="0.2">
      <c r="W270" s="80"/>
      <c r="X270" s="80"/>
      <c r="Y270" s="87"/>
      <c r="Z270" s="87"/>
      <c r="AJ270" s="88"/>
      <c r="AK270" s="88"/>
      <c r="AM270" s="210"/>
    </row>
    <row r="271" spans="23:39" ht="11.25" customHeight="1" x14ac:dyDescent="0.2">
      <c r="W271" s="80"/>
      <c r="X271" s="80"/>
      <c r="Y271" s="87"/>
      <c r="Z271" s="87"/>
      <c r="AJ271" s="88"/>
      <c r="AK271" s="88"/>
      <c r="AM271" s="210"/>
    </row>
    <row r="272" spans="23:39" ht="11.25" customHeight="1" x14ac:dyDescent="0.2">
      <c r="W272" s="80"/>
      <c r="X272" s="80"/>
      <c r="Y272" s="87"/>
      <c r="Z272" s="87"/>
      <c r="AJ272" s="88"/>
      <c r="AK272" s="88"/>
      <c r="AM272" s="210"/>
    </row>
    <row r="273" spans="23:39" ht="11.25" customHeight="1" x14ac:dyDescent="0.2">
      <c r="W273" s="80"/>
      <c r="X273" s="80"/>
      <c r="Y273" s="87"/>
      <c r="Z273" s="87"/>
      <c r="AJ273" s="88"/>
      <c r="AK273" s="88"/>
      <c r="AM273" s="210"/>
    </row>
    <row r="274" spans="23:39" ht="11.25" customHeight="1" x14ac:dyDescent="0.2">
      <c r="W274" s="80"/>
      <c r="X274" s="80"/>
      <c r="Y274" s="87"/>
      <c r="Z274" s="87"/>
      <c r="AJ274" s="88"/>
      <c r="AK274" s="88"/>
      <c r="AM274" s="210"/>
    </row>
    <row r="275" spans="23:39" ht="11.25" customHeight="1" x14ac:dyDescent="0.2">
      <c r="W275" s="80"/>
      <c r="X275" s="80"/>
      <c r="Y275" s="87"/>
      <c r="Z275" s="87"/>
      <c r="AJ275" s="88"/>
      <c r="AK275" s="88"/>
      <c r="AM275" s="210"/>
    </row>
    <row r="276" spans="23:39" ht="11.25" customHeight="1" x14ac:dyDescent="0.2">
      <c r="W276" s="80"/>
      <c r="X276" s="80"/>
      <c r="Y276" s="87"/>
      <c r="Z276" s="87"/>
      <c r="AJ276" s="88"/>
      <c r="AK276" s="88"/>
      <c r="AM276" s="210"/>
    </row>
    <row r="277" spans="23:39" ht="11.25" customHeight="1" x14ac:dyDescent="0.2">
      <c r="W277" s="80"/>
      <c r="X277" s="80"/>
      <c r="Y277" s="87"/>
      <c r="Z277" s="87"/>
      <c r="AJ277" s="88"/>
      <c r="AK277" s="88"/>
      <c r="AM277" s="210"/>
    </row>
    <row r="278" spans="23:39" ht="11.25" customHeight="1" x14ac:dyDescent="0.2">
      <c r="W278" s="80"/>
      <c r="X278" s="80"/>
      <c r="Y278" s="87"/>
      <c r="Z278" s="87"/>
      <c r="AJ278" s="88"/>
      <c r="AK278" s="88"/>
      <c r="AM278" s="210"/>
    </row>
    <row r="279" spans="23:39" ht="11.25" customHeight="1" x14ac:dyDescent="0.2">
      <c r="W279" s="80"/>
      <c r="X279" s="80"/>
      <c r="Y279" s="87"/>
      <c r="Z279" s="87"/>
      <c r="AJ279" s="88"/>
      <c r="AK279" s="88"/>
      <c r="AM279" s="210"/>
    </row>
    <row r="280" spans="23:39" ht="11.25" customHeight="1" x14ac:dyDescent="0.2">
      <c r="W280" s="80"/>
      <c r="X280" s="80"/>
      <c r="Y280" s="87"/>
      <c r="Z280" s="87"/>
      <c r="AJ280" s="88"/>
      <c r="AK280" s="88"/>
      <c r="AM280" s="210"/>
    </row>
    <row r="281" spans="23:39" ht="11.25" customHeight="1" x14ac:dyDescent="0.2">
      <c r="W281" s="80"/>
      <c r="X281" s="80"/>
      <c r="Y281" s="87"/>
      <c r="Z281" s="87"/>
      <c r="AJ281" s="88"/>
      <c r="AK281" s="88"/>
      <c r="AM281" s="210"/>
    </row>
    <row r="282" spans="23:39" ht="11.25" customHeight="1" x14ac:dyDescent="0.2">
      <c r="W282" s="80"/>
      <c r="X282" s="80"/>
      <c r="Y282" s="87"/>
      <c r="Z282" s="87"/>
      <c r="AJ282" s="88"/>
      <c r="AK282" s="88"/>
      <c r="AM282" s="210"/>
    </row>
    <row r="283" spans="23:39" ht="11.25" customHeight="1" x14ac:dyDescent="0.2">
      <c r="W283" s="80"/>
      <c r="X283" s="80"/>
      <c r="Y283" s="87"/>
      <c r="Z283" s="87"/>
      <c r="AJ283" s="88"/>
      <c r="AK283" s="88"/>
      <c r="AM283" s="210"/>
    </row>
    <row r="284" spans="23:39" ht="11.25" customHeight="1" x14ac:dyDescent="0.2">
      <c r="W284" s="80"/>
      <c r="X284" s="80"/>
      <c r="Y284" s="87"/>
      <c r="Z284" s="87"/>
      <c r="AJ284" s="88"/>
      <c r="AK284" s="88"/>
      <c r="AM284" s="210"/>
    </row>
    <row r="285" spans="23:39" ht="11.25" customHeight="1" x14ac:dyDescent="0.2">
      <c r="W285" s="80"/>
      <c r="X285" s="80"/>
      <c r="Y285" s="87"/>
      <c r="Z285" s="87"/>
      <c r="AJ285" s="88"/>
      <c r="AK285" s="88"/>
      <c r="AM285" s="210"/>
    </row>
    <row r="286" spans="23:39" ht="11.25" customHeight="1" x14ac:dyDescent="0.2">
      <c r="W286" s="80"/>
      <c r="X286" s="80"/>
      <c r="Y286" s="87"/>
      <c r="Z286" s="87"/>
      <c r="AJ286" s="88"/>
      <c r="AK286" s="88"/>
      <c r="AM286" s="210"/>
    </row>
    <row r="287" spans="23:39" ht="11.25" customHeight="1" x14ac:dyDescent="0.2">
      <c r="W287" s="80"/>
      <c r="X287" s="80"/>
      <c r="Y287" s="87"/>
      <c r="Z287" s="87"/>
      <c r="AJ287" s="88"/>
      <c r="AK287" s="88"/>
      <c r="AM287" s="210"/>
    </row>
    <row r="288" spans="23:39" ht="11.25" customHeight="1" x14ac:dyDescent="0.2">
      <c r="W288" s="80"/>
      <c r="X288" s="80"/>
      <c r="Y288" s="87"/>
      <c r="Z288" s="87"/>
      <c r="AJ288" s="88"/>
      <c r="AK288" s="88"/>
      <c r="AM288" s="210"/>
    </row>
    <row r="289" spans="23:39" ht="11.25" customHeight="1" x14ac:dyDescent="0.2">
      <c r="W289" s="80"/>
      <c r="X289" s="80"/>
      <c r="Y289" s="87"/>
      <c r="Z289" s="87"/>
      <c r="AJ289" s="88"/>
      <c r="AK289" s="88"/>
      <c r="AM289" s="210"/>
    </row>
    <row r="290" spans="23:39" ht="11.25" customHeight="1" x14ac:dyDescent="0.2">
      <c r="W290" s="80"/>
      <c r="X290" s="80"/>
      <c r="Y290" s="87"/>
      <c r="Z290" s="87"/>
      <c r="AJ290" s="88"/>
      <c r="AK290" s="88"/>
      <c r="AM290" s="210"/>
    </row>
    <row r="291" spans="23:39" ht="11.25" customHeight="1" x14ac:dyDescent="0.2">
      <c r="W291" s="80"/>
      <c r="X291" s="80"/>
      <c r="Y291" s="87"/>
      <c r="Z291" s="87"/>
      <c r="AJ291" s="88"/>
      <c r="AK291" s="88"/>
      <c r="AM291" s="210"/>
    </row>
    <row r="292" spans="23:39" ht="11.25" customHeight="1" x14ac:dyDescent="0.2">
      <c r="W292" s="80"/>
      <c r="X292" s="80"/>
      <c r="Y292" s="87"/>
      <c r="Z292" s="87"/>
      <c r="AJ292" s="88"/>
      <c r="AK292" s="88"/>
      <c r="AM292" s="210"/>
    </row>
    <row r="293" spans="23:39" ht="11.25" customHeight="1" x14ac:dyDescent="0.2">
      <c r="W293" s="80"/>
      <c r="X293" s="80"/>
      <c r="Y293" s="87"/>
      <c r="Z293" s="87"/>
      <c r="AJ293" s="88"/>
      <c r="AK293" s="88"/>
      <c r="AM293" s="210"/>
    </row>
    <row r="344" spans="38:38" ht="11.25" customHeight="1" x14ac:dyDescent="0.2">
      <c r="AL344" s="80" t="b">
        <v>1</v>
      </c>
    </row>
  </sheetData>
  <mergeCells count="44">
    <mergeCell ref="B207:G208"/>
    <mergeCell ref="B209:G210"/>
    <mergeCell ref="B211:G212"/>
    <mergeCell ref="B213:G214"/>
    <mergeCell ref="B215:H216"/>
    <mergeCell ref="B197:G198"/>
    <mergeCell ref="B199:G200"/>
    <mergeCell ref="B201:G202"/>
    <mergeCell ref="B203:G204"/>
    <mergeCell ref="B205:H206"/>
    <mergeCell ref="AC40:AC41"/>
    <mergeCell ref="M65:U65"/>
    <mergeCell ref="K7:O7"/>
    <mergeCell ref="P7:P8"/>
    <mergeCell ref="B34:U35"/>
    <mergeCell ref="D7:H7"/>
    <mergeCell ref="I7:I8"/>
    <mergeCell ref="M64:O64"/>
    <mergeCell ref="Q64:U64"/>
    <mergeCell ref="R7:R8"/>
    <mergeCell ref="A37:V37"/>
    <mergeCell ref="A38:V38"/>
    <mergeCell ref="T19:U20"/>
    <mergeCell ref="B7:B8"/>
    <mergeCell ref="A176:V176"/>
    <mergeCell ref="A70:V70"/>
    <mergeCell ref="A71:V71"/>
    <mergeCell ref="B5:I6"/>
    <mergeCell ref="AB40:AB41"/>
    <mergeCell ref="B108:I109"/>
    <mergeCell ref="A141:V141"/>
    <mergeCell ref="B73:I74"/>
    <mergeCell ref="A105:V105"/>
    <mergeCell ref="B143:I144"/>
    <mergeCell ref="A106:V106"/>
    <mergeCell ref="B193:G194"/>
    <mergeCell ref="B195:G196"/>
    <mergeCell ref="B179:B180"/>
    <mergeCell ref="B187:F188"/>
    <mergeCell ref="B189:F190"/>
    <mergeCell ref="B191:F192"/>
    <mergeCell ref="B181:G182"/>
    <mergeCell ref="B183:G184"/>
    <mergeCell ref="B185:G186"/>
  </mergeCells>
  <conditionalFormatting sqref="Y70:AC70 AA8:AE8">
    <cfRule type="cellIs" dxfId="20" priority="51" stopIfTrue="1" operator="equal">
      <formula>0</formula>
    </cfRule>
  </conditionalFormatting>
  <conditionalFormatting sqref="B9:B30 K9:P30 B51:C66 D9:H30 B76:B97 D76:H97">
    <cfRule type="containsErrors" dxfId="19" priority="53">
      <formula>ISERROR(B9)</formula>
    </cfRule>
  </conditionalFormatting>
  <conditionalFormatting sqref="B9:B30 K9:P30 B51:C66 R9:R30 D9:I30 D76:H97 B76:B97">
    <cfRule type="expression" dxfId="18" priority="52">
      <formula>$B9=$Z$4</formula>
    </cfRule>
  </conditionalFormatting>
  <conditionalFormatting sqref="A9:A30">
    <cfRule type="cellIs" dxfId="17" priority="29" operator="equal">
      <formula>0</formula>
    </cfRule>
  </conditionalFormatting>
  <conditionalFormatting sqref="A76:A97">
    <cfRule type="cellIs" dxfId="16" priority="26" operator="equal">
      <formula>0</formula>
    </cfRule>
  </conditionalFormatting>
  <conditionalFormatting sqref="A1:A70 A72:A105 A177:A1048576">
    <cfRule type="containsErrors" dxfId="15" priority="24">
      <formula>ISERROR(A1)</formula>
    </cfRule>
  </conditionalFormatting>
  <conditionalFormatting sqref="AG9:AH27">
    <cfRule type="containsErrors" dxfId="14" priority="23">
      <formula>ISERROR(AG9)</formula>
    </cfRule>
  </conditionalFormatting>
  <conditionalFormatting sqref="AG9:AH20 AH10:AH27">
    <cfRule type="expression" dxfId="13" priority="22">
      <formula>$B9=$X$4</formula>
    </cfRule>
  </conditionalFormatting>
  <conditionalFormatting sqref="I9:I30">
    <cfRule type="containsErrors" dxfId="12" priority="13">
      <formula>ISERROR(I9)</formula>
    </cfRule>
    <cfRule type="containsErrors" dxfId="11" priority="21">
      <formula>ISERROR(I9)</formula>
    </cfRule>
  </conditionalFormatting>
  <conditionalFormatting sqref="P9:P30">
    <cfRule type="containsErrors" dxfId="10" priority="19">
      <formula>ISERROR(P9)</formula>
    </cfRule>
  </conditionalFormatting>
  <conditionalFormatting sqref="A71">
    <cfRule type="containsErrors" dxfId="9" priority="11">
      <formula>ISERROR(A71)</formula>
    </cfRule>
  </conditionalFormatting>
  <conditionalFormatting sqref="A106">
    <cfRule type="containsErrors" dxfId="8" priority="8">
      <formula>ISERROR(A106)</formula>
    </cfRule>
  </conditionalFormatting>
  <conditionalFormatting sqref="D111:H132">
    <cfRule type="containsErrors" dxfId="7" priority="2">
      <formula>ISERROR(D111)</formula>
    </cfRule>
  </conditionalFormatting>
  <conditionalFormatting sqref="A111:A134 A146:A169">
    <cfRule type="cellIs" dxfId="6" priority="6" operator="equal">
      <formula>0</formula>
    </cfRule>
  </conditionalFormatting>
  <conditionalFormatting sqref="D146:H167">
    <cfRule type="containsErrors" dxfId="5" priority="1">
      <formula>ISERROR(D146)</formula>
    </cfRule>
    <cfRule type="containsErrors" dxfId="4" priority="1137">
      <formula>ISERROR(D115)</formula>
    </cfRule>
  </conditionalFormatting>
  <conditionalFormatting sqref="D168:H168">
    <cfRule type="containsErrors" dxfId="3" priority="1139">
      <formula>ISERROR(D137)</formula>
    </cfRule>
  </conditionalFormatting>
  <conditionalFormatting sqref="D169:H169">
    <cfRule type="containsErrors" dxfId="2" priority="1141">
      <formula>ISERROR(D138)</formula>
    </cfRule>
  </conditionalFormatting>
  <conditionalFormatting sqref="B111:B134 D111:H134">
    <cfRule type="expression" dxfId="1" priority="5">
      <formula>#REF!=#REF!</formula>
    </cfRule>
  </conditionalFormatting>
  <conditionalFormatting sqref="B146:B169 D146:H169">
    <cfRule type="expression" dxfId="0" priority="1142">
      <formula>$B115=#REF!</formula>
    </cfRule>
  </conditionalFormatting>
  <hyperlinks>
    <hyperlink ref="B181:B182" location="Coverage!A1" display="Participating LA's"/>
    <hyperlink ref="B183:B184" location="IDACI!A1" display="IDACI"/>
    <hyperlink ref="B213:B214" location="Adoption!A1" display="Adoption"/>
    <hyperlink ref="B211:B212" location="'Looked After Children'!A1" display="Looked After Children"/>
    <hyperlink ref="B209:B210" location="'Court Applications'!A1" display="Court Applications"/>
    <hyperlink ref="B207:B208" location="'Child Protection Plans'!A1" display="Child Protection Plans"/>
    <hyperlink ref="B205:B206" location="'Initial CP Conferences'!A1" display="Initial Child Protection Conferences"/>
    <hyperlink ref="B203:B204" location="'Section 47 Enquiries'!A1" display="Section 47 Enquiries"/>
    <hyperlink ref="B201:B202" location="'Children in Need'!A1" display="Children in Need"/>
    <hyperlink ref="B199:B200" location="Assessments!A1" display="Assessments"/>
    <hyperlink ref="B197:B198" location="'Re-referrals'!A1" display="Re-referrals"/>
    <hyperlink ref="B195:B196" location="Referral_Source!A1" display="Referral Source"/>
    <hyperlink ref="B193:B194" location="Referrals!A1" display="Referrals"/>
    <hyperlink ref="B185:B186" location="Population!A1" display="Population"/>
    <hyperlink ref="B183:G184" location="IDACI!A1" display="IDACI"/>
    <hyperlink ref="B187:B188" location="CAF_EHA!A1" display="CAF (EHA's)"/>
    <hyperlink ref="B191:B192" location="CAF_EHA!A1" display="CAF (EHA's)"/>
    <hyperlink ref="B189:B190" location="CAF_EHA!A1" display="CAF (EHA's)"/>
    <hyperlink ref="B187:F188" location="EH_Referrals!A1" display="Early Help Referrals"/>
    <hyperlink ref="B189:F190" location="EH_Assessments!A1" display="Early Help Assessments"/>
    <hyperlink ref="B191:F192" location="EH_Clients!A1" display="Early Help Clients"/>
    <hyperlink ref="B213:G214" location="Adoption!A1" display="Permanenc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8" max="21" man="1"/>
    <brk id="71" max="21" man="1"/>
  </rowBreaks>
  <ignoredErrors>
    <ignoredError sqref="A76:A97 A9:A3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8545" r:id="rId4" name="Check Box 1">
              <controlPr defaultSize="0" autoFill="0" autoLine="0" autoPict="0" macro="[0]!CheckBox1_Click" altText="">
                <anchor>
                  <from>
                    <xdr:col>23</xdr:col>
                    <xdr:colOff>66675</xdr:colOff>
                    <xdr:row>39</xdr:row>
                    <xdr:rowOff>76200</xdr:rowOff>
                  </from>
                  <to>
                    <xdr:col>36</xdr:col>
                    <xdr:colOff>47625</xdr:colOff>
                    <xdr:row>41</xdr:row>
                    <xdr:rowOff>19050</xdr:rowOff>
                  </to>
                </anchor>
              </controlPr>
            </control>
          </mc:Choice>
        </mc:AlternateContent>
        <mc:AlternateContent xmlns:mc="http://schemas.openxmlformats.org/markup-compatibility/2006">
          <mc:Choice Requires="x14">
            <control shapeId="108546" r:id="rId5" name="Check Box 2">
              <controlPr defaultSize="0" autoFill="0" autoLine="0" autoPict="0" macro="[0]!CheckBox1_Click" altText="">
                <anchor>
                  <from>
                    <xdr:col>23</xdr:col>
                    <xdr:colOff>66675</xdr:colOff>
                    <xdr:row>40</xdr:row>
                    <xdr:rowOff>161925</xdr:rowOff>
                  </from>
                  <to>
                    <xdr:col>36</xdr:col>
                    <xdr:colOff>47625</xdr:colOff>
                    <xdr:row>42</xdr:row>
                    <xdr:rowOff>19050</xdr:rowOff>
                  </to>
                </anchor>
              </controlPr>
            </control>
          </mc:Choice>
        </mc:AlternateContent>
        <mc:AlternateContent xmlns:mc="http://schemas.openxmlformats.org/markup-compatibility/2006">
          <mc:Choice Requires="x14">
            <control shapeId="108547" r:id="rId6" name="Check Box 3">
              <controlPr defaultSize="0" autoFill="0" autoLine="0" autoPict="0" macro="[0]!CheckBox1_Click" altText="">
                <anchor>
                  <from>
                    <xdr:col>23</xdr:col>
                    <xdr:colOff>66675</xdr:colOff>
                    <xdr:row>41</xdr:row>
                    <xdr:rowOff>161925</xdr:rowOff>
                  </from>
                  <to>
                    <xdr:col>36</xdr:col>
                    <xdr:colOff>47625</xdr:colOff>
                    <xdr:row>43</xdr:row>
                    <xdr:rowOff>19050</xdr:rowOff>
                  </to>
                </anchor>
              </controlPr>
            </control>
          </mc:Choice>
        </mc:AlternateContent>
        <mc:AlternateContent xmlns:mc="http://schemas.openxmlformats.org/markup-compatibility/2006">
          <mc:Choice Requires="x14">
            <control shapeId="108548" r:id="rId7" name="Check Box 4">
              <controlPr defaultSize="0" autoFill="0" autoLine="0" autoPict="0" macro="[0]!CheckBox1_Click" altText="">
                <anchor>
                  <from>
                    <xdr:col>23</xdr:col>
                    <xdr:colOff>66675</xdr:colOff>
                    <xdr:row>42</xdr:row>
                    <xdr:rowOff>161925</xdr:rowOff>
                  </from>
                  <to>
                    <xdr:col>36</xdr:col>
                    <xdr:colOff>47625</xdr:colOff>
                    <xdr:row>44</xdr:row>
                    <xdr:rowOff>19050</xdr:rowOff>
                  </to>
                </anchor>
              </controlPr>
            </control>
          </mc:Choice>
        </mc:AlternateContent>
        <mc:AlternateContent xmlns:mc="http://schemas.openxmlformats.org/markup-compatibility/2006">
          <mc:Choice Requires="x14">
            <control shapeId="108549" r:id="rId8" name="Check Box 5">
              <controlPr defaultSize="0" autoFill="0" autoLine="0" autoPict="0" macro="[0]!CheckBox1_Click" altText="">
                <anchor>
                  <from>
                    <xdr:col>23</xdr:col>
                    <xdr:colOff>66675</xdr:colOff>
                    <xdr:row>43</xdr:row>
                    <xdr:rowOff>161925</xdr:rowOff>
                  </from>
                  <to>
                    <xdr:col>36</xdr:col>
                    <xdr:colOff>47625</xdr:colOff>
                    <xdr:row>45</xdr:row>
                    <xdr:rowOff>19050</xdr:rowOff>
                  </to>
                </anchor>
              </controlPr>
            </control>
          </mc:Choice>
        </mc:AlternateContent>
        <mc:AlternateContent xmlns:mc="http://schemas.openxmlformats.org/markup-compatibility/2006">
          <mc:Choice Requires="x14">
            <control shapeId="108550" r:id="rId9" name="Check Box 6">
              <controlPr defaultSize="0" autoFill="0" autoLine="0" autoPict="0" macro="[0]!CheckBox1_Click" altText="">
                <anchor>
                  <from>
                    <xdr:col>23</xdr:col>
                    <xdr:colOff>66675</xdr:colOff>
                    <xdr:row>44</xdr:row>
                    <xdr:rowOff>161925</xdr:rowOff>
                  </from>
                  <to>
                    <xdr:col>36</xdr:col>
                    <xdr:colOff>47625</xdr:colOff>
                    <xdr:row>46</xdr:row>
                    <xdr:rowOff>19050</xdr:rowOff>
                  </to>
                </anchor>
              </controlPr>
            </control>
          </mc:Choice>
        </mc:AlternateContent>
        <mc:AlternateContent xmlns:mc="http://schemas.openxmlformats.org/markup-compatibility/2006">
          <mc:Choice Requires="x14">
            <control shapeId="108551" r:id="rId10" name="Check Box 7">
              <controlPr defaultSize="0" autoFill="0" autoLine="0" autoPict="0" macro="[0]!CheckBox1_Click" altText="">
                <anchor>
                  <from>
                    <xdr:col>23</xdr:col>
                    <xdr:colOff>66675</xdr:colOff>
                    <xdr:row>45</xdr:row>
                    <xdr:rowOff>161925</xdr:rowOff>
                  </from>
                  <to>
                    <xdr:col>36</xdr:col>
                    <xdr:colOff>47625</xdr:colOff>
                    <xdr:row>47</xdr:row>
                    <xdr:rowOff>19050</xdr:rowOff>
                  </to>
                </anchor>
              </controlPr>
            </control>
          </mc:Choice>
        </mc:AlternateContent>
        <mc:AlternateContent xmlns:mc="http://schemas.openxmlformats.org/markup-compatibility/2006">
          <mc:Choice Requires="x14">
            <control shapeId="108552" r:id="rId11" name="Check Box 8">
              <controlPr defaultSize="0" autoFill="0" autoLine="0" autoPict="0" macro="[0]!CheckBox1_Click" altText="">
                <anchor>
                  <from>
                    <xdr:col>23</xdr:col>
                    <xdr:colOff>66675</xdr:colOff>
                    <xdr:row>46</xdr:row>
                    <xdr:rowOff>161925</xdr:rowOff>
                  </from>
                  <to>
                    <xdr:col>36</xdr:col>
                    <xdr:colOff>47625</xdr:colOff>
                    <xdr:row>48</xdr:row>
                    <xdr:rowOff>19050</xdr:rowOff>
                  </to>
                </anchor>
              </controlPr>
            </control>
          </mc:Choice>
        </mc:AlternateContent>
        <mc:AlternateContent xmlns:mc="http://schemas.openxmlformats.org/markup-compatibility/2006">
          <mc:Choice Requires="x14">
            <control shapeId="108553" r:id="rId12" name="Check Box 9">
              <controlPr defaultSize="0" autoFill="0" autoLine="0" autoPict="0" macro="[0]!CheckBox1_Click" altText="">
                <anchor>
                  <from>
                    <xdr:col>23</xdr:col>
                    <xdr:colOff>66675</xdr:colOff>
                    <xdr:row>47</xdr:row>
                    <xdr:rowOff>161925</xdr:rowOff>
                  </from>
                  <to>
                    <xdr:col>36</xdr:col>
                    <xdr:colOff>47625</xdr:colOff>
                    <xdr:row>49</xdr:row>
                    <xdr:rowOff>19050</xdr:rowOff>
                  </to>
                </anchor>
              </controlPr>
            </control>
          </mc:Choice>
        </mc:AlternateContent>
        <mc:AlternateContent xmlns:mc="http://schemas.openxmlformats.org/markup-compatibility/2006">
          <mc:Choice Requires="x14">
            <control shapeId="108554" r:id="rId13" name="Check Box 10">
              <controlPr defaultSize="0" autoFill="0" autoLine="0" autoPict="0" macro="[0]!CheckBox1_Click" altText="">
                <anchor>
                  <from>
                    <xdr:col>23</xdr:col>
                    <xdr:colOff>66675</xdr:colOff>
                    <xdr:row>48</xdr:row>
                    <xdr:rowOff>161925</xdr:rowOff>
                  </from>
                  <to>
                    <xdr:col>36</xdr:col>
                    <xdr:colOff>47625</xdr:colOff>
                    <xdr:row>50</xdr:row>
                    <xdr:rowOff>19050</xdr:rowOff>
                  </to>
                </anchor>
              </controlPr>
            </control>
          </mc:Choice>
        </mc:AlternateContent>
        <mc:AlternateContent xmlns:mc="http://schemas.openxmlformats.org/markup-compatibility/2006">
          <mc:Choice Requires="x14">
            <control shapeId="108555" r:id="rId14" name="Check Box 11">
              <controlPr defaultSize="0" autoFill="0" autoLine="0" autoPict="0" macro="[0]!CheckBox1_Click" altText="">
                <anchor>
                  <from>
                    <xdr:col>23</xdr:col>
                    <xdr:colOff>66675</xdr:colOff>
                    <xdr:row>49</xdr:row>
                    <xdr:rowOff>161925</xdr:rowOff>
                  </from>
                  <to>
                    <xdr:col>36</xdr:col>
                    <xdr:colOff>47625</xdr:colOff>
                    <xdr:row>51</xdr:row>
                    <xdr:rowOff>19050</xdr:rowOff>
                  </to>
                </anchor>
              </controlPr>
            </control>
          </mc:Choice>
        </mc:AlternateContent>
        <mc:AlternateContent xmlns:mc="http://schemas.openxmlformats.org/markup-compatibility/2006">
          <mc:Choice Requires="x14">
            <control shapeId="108556" r:id="rId15" name="Check Box 12">
              <controlPr defaultSize="0" autoFill="0" autoLine="0" autoPict="0" macro="[0]!CheckBox1_Click" altText="">
                <anchor>
                  <from>
                    <xdr:col>23</xdr:col>
                    <xdr:colOff>66675</xdr:colOff>
                    <xdr:row>50</xdr:row>
                    <xdr:rowOff>161925</xdr:rowOff>
                  </from>
                  <to>
                    <xdr:col>36</xdr:col>
                    <xdr:colOff>47625</xdr:colOff>
                    <xdr:row>52</xdr:row>
                    <xdr:rowOff>19050</xdr:rowOff>
                  </to>
                </anchor>
              </controlPr>
            </control>
          </mc:Choice>
        </mc:AlternateContent>
        <mc:AlternateContent xmlns:mc="http://schemas.openxmlformats.org/markup-compatibility/2006">
          <mc:Choice Requires="x14">
            <control shapeId="108557" r:id="rId16" name="Check Box 13">
              <controlPr defaultSize="0" autoFill="0" autoLine="0" autoPict="0" macro="[0]!CheckBox1_Click" altText="">
                <anchor>
                  <from>
                    <xdr:col>23</xdr:col>
                    <xdr:colOff>66675</xdr:colOff>
                    <xdr:row>51</xdr:row>
                    <xdr:rowOff>161925</xdr:rowOff>
                  </from>
                  <to>
                    <xdr:col>36</xdr:col>
                    <xdr:colOff>47625</xdr:colOff>
                    <xdr:row>53</xdr:row>
                    <xdr:rowOff>19050</xdr:rowOff>
                  </to>
                </anchor>
              </controlPr>
            </control>
          </mc:Choice>
        </mc:AlternateContent>
        <mc:AlternateContent xmlns:mc="http://schemas.openxmlformats.org/markup-compatibility/2006">
          <mc:Choice Requires="x14">
            <control shapeId="108558" r:id="rId17" name="Check Box 14">
              <controlPr defaultSize="0" autoFill="0" autoLine="0" autoPict="0" macro="[0]!CheckBox1_Click" altText="">
                <anchor>
                  <from>
                    <xdr:col>23</xdr:col>
                    <xdr:colOff>66675</xdr:colOff>
                    <xdr:row>52</xdr:row>
                    <xdr:rowOff>161925</xdr:rowOff>
                  </from>
                  <to>
                    <xdr:col>36</xdr:col>
                    <xdr:colOff>47625</xdr:colOff>
                    <xdr:row>54</xdr:row>
                    <xdr:rowOff>19050</xdr:rowOff>
                  </to>
                </anchor>
              </controlPr>
            </control>
          </mc:Choice>
        </mc:AlternateContent>
        <mc:AlternateContent xmlns:mc="http://schemas.openxmlformats.org/markup-compatibility/2006">
          <mc:Choice Requires="x14">
            <control shapeId="108559" r:id="rId18" name="Check Box 15">
              <controlPr defaultSize="0" autoFill="0" autoLine="0" autoPict="0" macro="[0]!CheckBox1_Click" altText="">
                <anchor>
                  <from>
                    <xdr:col>23</xdr:col>
                    <xdr:colOff>66675</xdr:colOff>
                    <xdr:row>53</xdr:row>
                    <xdr:rowOff>161925</xdr:rowOff>
                  </from>
                  <to>
                    <xdr:col>36</xdr:col>
                    <xdr:colOff>47625</xdr:colOff>
                    <xdr:row>55</xdr:row>
                    <xdr:rowOff>19050</xdr:rowOff>
                  </to>
                </anchor>
              </controlPr>
            </control>
          </mc:Choice>
        </mc:AlternateContent>
        <mc:AlternateContent xmlns:mc="http://schemas.openxmlformats.org/markup-compatibility/2006">
          <mc:Choice Requires="x14">
            <control shapeId="108560" r:id="rId19" name="Check Box 16">
              <controlPr defaultSize="0" autoFill="0" autoLine="0" autoPict="0" macro="[0]!CheckBox1_Click" altText="">
                <anchor>
                  <from>
                    <xdr:col>23</xdr:col>
                    <xdr:colOff>66675</xdr:colOff>
                    <xdr:row>54</xdr:row>
                    <xdr:rowOff>161925</xdr:rowOff>
                  </from>
                  <to>
                    <xdr:col>36</xdr:col>
                    <xdr:colOff>47625</xdr:colOff>
                    <xdr:row>56</xdr:row>
                    <xdr:rowOff>19050</xdr:rowOff>
                  </to>
                </anchor>
              </controlPr>
            </control>
          </mc:Choice>
        </mc:AlternateContent>
        <mc:AlternateContent xmlns:mc="http://schemas.openxmlformats.org/markup-compatibility/2006">
          <mc:Choice Requires="x14">
            <control shapeId="108561" r:id="rId20" name="Check Box 17">
              <controlPr defaultSize="0" autoFill="0" autoLine="0" autoPict="0" macro="[0]!CheckBox1_Click" altText="">
                <anchor>
                  <from>
                    <xdr:col>23</xdr:col>
                    <xdr:colOff>66675</xdr:colOff>
                    <xdr:row>57</xdr:row>
                    <xdr:rowOff>161925</xdr:rowOff>
                  </from>
                  <to>
                    <xdr:col>36</xdr:col>
                    <xdr:colOff>47625</xdr:colOff>
                    <xdr:row>59</xdr:row>
                    <xdr:rowOff>19050</xdr:rowOff>
                  </to>
                </anchor>
              </controlPr>
            </control>
          </mc:Choice>
        </mc:AlternateContent>
        <mc:AlternateContent xmlns:mc="http://schemas.openxmlformats.org/markup-compatibility/2006">
          <mc:Choice Requires="x14">
            <control shapeId="108562" r:id="rId21" name="Check Box 18">
              <controlPr defaultSize="0" autoFill="0" autoLine="0" autoPict="0" macro="[0]!CheckBox1_Click" altText="">
                <anchor>
                  <from>
                    <xdr:col>23</xdr:col>
                    <xdr:colOff>66675</xdr:colOff>
                    <xdr:row>58</xdr:row>
                    <xdr:rowOff>161925</xdr:rowOff>
                  </from>
                  <to>
                    <xdr:col>36</xdr:col>
                    <xdr:colOff>47625</xdr:colOff>
                    <xdr:row>60</xdr:row>
                    <xdr:rowOff>19050</xdr:rowOff>
                  </to>
                </anchor>
              </controlPr>
            </control>
          </mc:Choice>
        </mc:AlternateContent>
        <mc:AlternateContent xmlns:mc="http://schemas.openxmlformats.org/markup-compatibility/2006">
          <mc:Choice Requires="x14">
            <control shapeId="108563" r:id="rId22" name="Check Box 19">
              <controlPr defaultSize="0" autoFill="0" autoLine="0" autoPict="0" macro="[0]!CheckBox1_Click" altText="">
                <anchor>
                  <from>
                    <xdr:col>23</xdr:col>
                    <xdr:colOff>66675</xdr:colOff>
                    <xdr:row>59</xdr:row>
                    <xdr:rowOff>161925</xdr:rowOff>
                  </from>
                  <to>
                    <xdr:col>36</xdr:col>
                    <xdr:colOff>47625</xdr:colOff>
                    <xdr:row>61</xdr:row>
                    <xdr:rowOff>19050</xdr:rowOff>
                  </to>
                </anchor>
              </controlPr>
            </control>
          </mc:Choice>
        </mc:AlternateContent>
        <mc:AlternateContent xmlns:mc="http://schemas.openxmlformats.org/markup-compatibility/2006">
          <mc:Choice Requires="x14">
            <control shapeId="108564" r:id="rId23" name="Check Box 20">
              <controlPr defaultSize="0" autoFill="0" autoLine="0" autoPict="0" macro="[0]!CheckBox1_Click" altText="">
                <anchor>
                  <from>
                    <xdr:col>23</xdr:col>
                    <xdr:colOff>66675</xdr:colOff>
                    <xdr:row>60</xdr:row>
                    <xdr:rowOff>161925</xdr:rowOff>
                  </from>
                  <to>
                    <xdr:col>36</xdr:col>
                    <xdr:colOff>47625</xdr:colOff>
                    <xdr:row>62</xdr:row>
                    <xdr:rowOff>19050</xdr:rowOff>
                  </to>
                </anchor>
              </controlPr>
            </control>
          </mc:Choice>
        </mc:AlternateContent>
        <mc:AlternateContent xmlns:mc="http://schemas.openxmlformats.org/markup-compatibility/2006">
          <mc:Choice Requires="x14">
            <control shapeId="108565" r:id="rId24" name="Check Box 21">
              <controlPr defaultSize="0" autoFill="0" autoLine="0" autoPict="0" macro="[0]!CheckBox1_Click" altText="">
                <anchor>
                  <from>
                    <xdr:col>23</xdr:col>
                    <xdr:colOff>66675</xdr:colOff>
                    <xdr:row>61</xdr:row>
                    <xdr:rowOff>161925</xdr:rowOff>
                  </from>
                  <to>
                    <xdr:col>36</xdr:col>
                    <xdr:colOff>47625</xdr:colOff>
                    <xdr:row>63</xdr:row>
                    <xdr:rowOff>19050</xdr:rowOff>
                  </to>
                </anchor>
              </controlPr>
            </control>
          </mc:Choice>
        </mc:AlternateContent>
        <mc:AlternateContent xmlns:mc="http://schemas.openxmlformats.org/markup-compatibility/2006">
          <mc:Choice Requires="x14">
            <control shapeId="108566" r:id="rId25" name="Check Box 22">
              <controlPr defaultSize="0" autoFill="0" autoLine="0" autoPict="0" macro="[0]!CheckBox1_Click" altText="">
                <anchor>
                  <from>
                    <xdr:col>23</xdr:col>
                    <xdr:colOff>66675</xdr:colOff>
                    <xdr:row>55</xdr:row>
                    <xdr:rowOff>161925</xdr:rowOff>
                  </from>
                  <to>
                    <xdr:col>36</xdr:col>
                    <xdr:colOff>47625</xdr:colOff>
                    <xdr:row>57</xdr:row>
                    <xdr:rowOff>19050</xdr:rowOff>
                  </to>
                </anchor>
              </controlPr>
            </control>
          </mc:Choice>
        </mc:AlternateContent>
        <mc:AlternateContent xmlns:mc="http://schemas.openxmlformats.org/markup-compatibility/2006">
          <mc:Choice Requires="x14">
            <control shapeId="108567" r:id="rId26" name="Check Box 23">
              <controlPr defaultSize="0" autoFill="0" autoLine="0" autoPict="0" macro="[0]!CheckBox1_Click" altText="">
                <anchor>
                  <from>
                    <xdr:col>23</xdr:col>
                    <xdr:colOff>66675</xdr:colOff>
                    <xdr:row>56</xdr:row>
                    <xdr:rowOff>161925</xdr:rowOff>
                  </from>
                  <to>
                    <xdr:col>36</xdr:col>
                    <xdr:colOff>47625</xdr:colOff>
                    <xdr:row>58</xdr:row>
                    <xdr:rowOff>19050</xdr:rowOff>
                  </to>
                </anchor>
              </controlPr>
            </control>
          </mc:Choice>
        </mc:AlternateContent>
        <mc:AlternateContent xmlns:mc="http://schemas.openxmlformats.org/markup-compatibility/2006">
          <mc:Choice Requires="x14">
            <control shapeId="108568" r:id="rId27" name="Check Box 24">
              <controlPr defaultSize="0" autoFill="0" autoLine="0" autoPict="0" macro="[0]!CheckBox1_Click" altText="">
                <anchor>
                  <from>
                    <xdr:col>23</xdr:col>
                    <xdr:colOff>66675</xdr:colOff>
                    <xdr:row>62</xdr:row>
                    <xdr:rowOff>161925</xdr:rowOff>
                  </from>
                  <to>
                    <xdr:col>36</xdr:col>
                    <xdr:colOff>47625</xdr:colOff>
                    <xdr:row>64</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tint="-4.9989318521683403E-2"/>
  </sheetPr>
  <dimension ref="A1:Z103"/>
  <sheetViews>
    <sheetView zoomScaleNormal="100" workbookViewId="0">
      <pane xSplit="2" ySplit="1" topLeftCell="C2" activePane="bottomRight" state="frozen"/>
      <selection activeCell="W29" sqref="W29"/>
      <selection pane="topRight" activeCell="W29" sqref="W29"/>
      <selection pane="bottomLeft" activeCell="W29" sqref="W29"/>
      <selection pane="bottomRight" activeCell="W29" sqref="W29"/>
    </sheetView>
  </sheetViews>
  <sheetFormatPr defaultRowHeight="12.75" x14ac:dyDescent="0.2"/>
  <cols>
    <col min="1" max="1" width="4.42578125" style="515" customWidth="1"/>
    <col min="2" max="2" width="40.7109375" style="618" customWidth="1"/>
    <col min="3" max="24" width="5" style="515" customWidth="1"/>
    <col min="25" max="25" width="6" style="923" customWidth="1"/>
    <col min="26" max="26" width="6" style="515" customWidth="1"/>
    <col min="27" max="16384" width="9.140625" style="515"/>
  </cols>
  <sheetData>
    <row r="1" spans="1:26" s="615" customFormat="1" ht="67.5" customHeight="1" x14ac:dyDescent="0.2">
      <c r="A1" s="675" t="s">
        <v>747</v>
      </c>
      <c r="B1" s="676"/>
      <c r="C1" s="671" t="s">
        <v>0</v>
      </c>
      <c r="D1" s="671" t="s">
        <v>32</v>
      </c>
      <c r="E1" s="671" t="s">
        <v>9</v>
      </c>
      <c r="F1" s="671" t="s">
        <v>4</v>
      </c>
      <c r="G1" s="671" t="s">
        <v>6</v>
      </c>
      <c r="H1" s="671" t="s">
        <v>1</v>
      </c>
      <c r="I1" s="671" t="s">
        <v>10</v>
      </c>
      <c r="J1" s="671" t="s">
        <v>2</v>
      </c>
      <c r="K1" s="671" t="s">
        <v>11</v>
      </c>
      <c r="L1" s="671" t="s">
        <v>12</v>
      </c>
      <c r="M1" s="671" t="s">
        <v>13</v>
      </c>
      <c r="N1" s="671" t="s">
        <v>3</v>
      </c>
      <c r="O1" s="671" t="s">
        <v>14</v>
      </c>
      <c r="P1" s="671" t="s">
        <v>93</v>
      </c>
      <c r="Q1" s="671" t="s">
        <v>15</v>
      </c>
      <c r="R1" s="671" t="s">
        <v>7</v>
      </c>
      <c r="S1" s="671" t="s">
        <v>116</v>
      </c>
      <c r="T1" s="671" t="s">
        <v>117</v>
      </c>
      <c r="U1" s="671" t="s">
        <v>16</v>
      </c>
      <c r="V1" s="671" t="s">
        <v>5</v>
      </c>
      <c r="W1" s="671" t="s">
        <v>31</v>
      </c>
      <c r="X1" s="672" t="s">
        <v>17</v>
      </c>
      <c r="Y1" s="673" t="s">
        <v>74</v>
      </c>
      <c r="Z1" s="674" t="s">
        <v>130</v>
      </c>
    </row>
    <row r="2" spans="1:26" s="616" customFormat="1" ht="13.5" x14ac:dyDescent="0.2">
      <c r="A2" s="677"/>
      <c r="B2" s="678" t="s">
        <v>701</v>
      </c>
      <c r="C2" s="882"/>
      <c r="D2" s="882"/>
      <c r="E2" s="882"/>
      <c r="F2" s="882"/>
      <c r="G2" s="882"/>
      <c r="H2" s="882"/>
      <c r="I2" s="882"/>
      <c r="J2" s="882"/>
      <c r="K2" s="882"/>
      <c r="L2" s="882"/>
      <c r="M2" s="882"/>
      <c r="N2" s="882"/>
      <c r="O2" s="882"/>
      <c r="P2" s="882"/>
      <c r="Q2" s="882"/>
      <c r="R2" s="882"/>
      <c r="S2" s="882"/>
      <c r="T2" s="882"/>
      <c r="U2" s="882"/>
      <c r="V2" s="882"/>
      <c r="W2" s="883"/>
      <c r="X2" s="884"/>
      <c r="Y2" s="896"/>
      <c r="Z2" s="888"/>
    </row>
    <row r="3" spans="1:26" s="616" customFormat="1" ht="13.5" x14ac:dyDescent="0.2">
      <c r="A3" s="702">
        <v>1</v>
      </c>
      <c r="B3" s="683" t="s">
        <v>359</v>
      </c>
      <c r="C3" s="889"/>
      <c r="D3" s="889"/>
      <c r="E3" s="889"/>
      <c r="F3" s="889"/>
      <c r="G3" s="889"/>
      <c r="H3" s="889"/>
      <c r="I3" s="889"/>
      <c r="J3" s="889"/>
      <c r="K3" s="889"/>
      <c r="L3" s="889"/>
      <c r="M3" s="889"/>
      <c r="N3" s="889"/>
      <c r="O3" s="889"/>
      <c r="P3" s="889"/>
      <c r="Q3" s="889"/>
      <c r="R3" s="889"/>
      <c r="S3" s="889"/>
      <c r="T3" s="889"/>
      <c r="U3" s="889"/>
      <c r="V3" s="889"/>
      <c r="W3" s="889"/>
      <c r="X3" s="891"/>
      <c r="Y3" s="895"/>
      <c r="Z3" s="890"/>
    </row>
    <row r="4" spans="1:26" s="616" customFormat="1" ht="13.5" x14ac:dyDescent="0.2">
      <c r="A4" s="702">
        <v>2</v>
      </c>
      <c r="B4" s="683" t="s">
        <v>360</v>
      </c>
      <c r="C4" s="889"/>
      <c r="D4" s="889"/>
      <c r="E4" s="889"/>
      <c r="F4" s="889"/>
      <c r="G4" s="889"/>
      <c r="H4" s="889"/>
      <c r="I4" s="889"/>
      <c r="J4" s="889"/>
      <c r="K4" s="889"/>
      <c r="L4" s="889"/>
      <c r="M4" s="889"/>
      <c r="N4" s="889"/>
      <c r="O4" s="889"/>
      <c r="P4" s="889"/>
      <c r="Q4" s="889"/>
      <c r="R4" s="889"/>
      <c r="S4" s="889"/>
      <c r="T4" s="889"/>
      <c r="U4" s="889"/>
      <c r="V4" s="889"/>
      <c r="W4" s="889"/>
      <c r="X4" s="891"/>
      <c r="Y4" s="895"/>
      <c r="Z4" s="890"/>
    </row>
    <row r="5" spans="1:26" s="616" customFormat="1" ht="13.5" x14ac:dyDescent="0.2">
      <c r="A5" s="702">
        <v>3</v>
      </c>
      <c r="B5" s="683" t="s">
        <v>361</v>
      </c>
      <c r="C5" s="889"/>
      <c r="D5" s="889"/>
      <c r="E5" s="889"/>
      <c r="F5" s="889"/>
      <c r="G5" s="889"/>
      <c r="H5" s="889"/>
      <c r="I5" s="889"/>
      <c r="J5" s="889"/>
      <c r="K5" s="889"/>
      <c r="L5" s="889"/>
      <c r="M5" s="889"/>
      <c r="N5" s="889"/>
      <c r="O5" s="889"/>
      <c r="P5" s="889"/>
      <c r="Q5" s="889"/>
      <c r="R5" s="889"/>
      <c r="S5" s="889"/>
      <c r="T5" s="889"/>
      <c r="U5" s="889"/>
      <c r="V5" s="889"/>
      <c r="W5" s="889"/>
      <c r="X5" s="891"/>
      <c r="Y5" s="895"/>
      <c r="Z5" s="890"/>
    </row>
    <row r="6" spans="1:26" s="616" customFormat="1" ht="13.5" x14ac:dyDescent="0.2">
      <c r="A6" s="702">
        <v>4</v>
      </c>
      <c r="B6" s="683" t="s">
        <v>362</v>
      </c>
      <c r="C6" s="889"/>
      <c r="D6" s="889"/>
      <c r="E6" s="889"/>
      <c r="F6" s="889"/>
      <c r="G6" s="889"/>
      <c r="H6" s="889"/>
      <c r="I6" s="889"/>
      <c r="J6" s="889"/>
      <c r="K6" s="889"/>
      <c r="L6" s="889"/>
      <c r="M6" s="889"/>
      <c r="N6" s="892"/>
      <c r="O6" s="889"/>
      <c r="P6" s="889"/>
      <c r="Q6" s="889"/>
      <c r="R6" s="889"/>
      <c r="S6" s="889"/>
      <c r="T6" s="889"/>
      <c r="U6" s="893"/>
      <c r="V6" s="889"/>
      <c r="W6" s="889"/>
      <c r="X6" s="891"/>
      <c r="Y6" s="895"/>
      <c r="Z6" s="890"/>
    </row>
    <row r="7" spans="1:26" s="616" customFormat="1" ht="13.5" x14ac:dyDescent="0.2">
      <c r="A7" s="702">
        <v>5</v>
      </c>
      <c r="B7" s="683" t="s">
        <v>363</v>
      </c>
      <c r="C7" s="889"/>
      <c r="D7" s="889"/>
      <c r="E7" s="889"/>
      <c r="F7" s="889"/>
      <c r="G7" s="889"/>
      <c r="H7" s="889"/>
      <c r="I7" s="889"/>
      <c r="J7" s="889"/>
      <c r="K7" s="889"/>
      <c r="L7" s="889"/>
      <c r="M7" s="889"/>
      <c r="N7" s="892"/>
      <c r="O7" s="889"/>
      <c r="P7" s="889"/>
      <c r="Q7" s="889"/>
      <c r="R7" s="889"/>
      <c r="S7" s="889"/>
      <c r="T7" s="889"/>
      <c r="U7" s="893"/>
      <c r="V7" s="889"/>
      <c r="W7" s="889"/>
      <c r="X7" s="891"/>
      <c r="Y7" s="895"/>
      <c r="Z7" s="890"/>
    </row>
    <row r="8" spans="1:26" s="616" customFormat="1" ht="22.5" x14ac:dyDescent="0.2">
      <c r="A8" s="702">
        <v>6</v>
      </c>
      <c r="B8" s="687" t="s">
        <v>275</v>
      </c>
      <c r="C8" s="687"/>
      <c r="D8" s="687"/>
      <c r="E8" s="687"/>
      <c r="F8" s="687"/>
      <c r="G8" s="687"/>
      <c r="H8" s="687"/>
      <c r="I8" s="687"/>
      <c r="J8" s="687"/>
      <c r="K8" s="687"/>
      <c r="L8" s="687"/>
      <c r="M8" s="687"/>
      <c r="N8" s="687"/>
      <c r="O8" s="687"/>
      <c r="P8" s="687"/>
      <c r="Q8" s="687"/>
      <c r="R8" s="687"/>
      <c r="S8" s="687"/>
      <c r="T8" s="687"/>
      <c r="U8" s="687"/>
      <c r="V8" s="687"/>
      <c r="W8" s="687"/>
      <c r="X8" s="687"/>
      <c r="Y8" s="687"/>
      <c r="Z8" s="906"/>
    </row>
    <row r="9" spans="1:26" s="616" customFormat="1" ht="13.5" x14ac:dyDescent="0.2">
      <c r="A9" s="898"/>
      <c r="B9" s="683" t="s">
        <v>364</v>
      </c>
      <c r="C9" s="889"/>
      <c r="D9" s="889"/>
      <c r="E9" s="889"/>
      <c r="F9" s="889"/>
      <c r="G9" s="889"/>
      <c r="H9" s="889"/>
      <c r="I9" s="889"/>
      <c r="J9" s="889"/>
      <c r="K9" s="889"/>
      <c r="L9" s="889"/>
      <c r="M9" s="889"/>
      <c r="N9" s="892"/>
      <c r="O9" s="889"/>
      <c r="P9" s="889"/>
      <c r="Q9" s="889"/>
      <c r="R9" s="889"/>
      <c r="S9" s="889"/>
      <c r="T9" s="889"/>
      <c r="U9" s="893"/>
      <c r="V9" s="889"/>
      <c r="W9" s="889"/>
      <c r="X9" s="891"/>
      <c r="Y9" s="895"/>
      <c r="Z9" s="890"/>
    </row>
    <row r="10" spans="1:26" s="616" customFormat="1" x14ac:dyDescent="0.2">
      <c r="A10" s="899"/>
      <c r="B10" s="688" t="s">
        <v>365</v>
      </c>
      <c r="C10" s="889"/>
      <c r="D10" s="889"/>
      <c r="E10" s="889"/>
      <c r="F10" s="889"/>
      <c r="G10" s="889"/>
      <c r="H10" s="889"/>
      <c r="I10" s="889"/>
      <c r="J10" s="889"/>
      <c r="K10" s="889"/>
      <c r="L10" s="889"/>
      <c r="M10" s="889"/>
      <c r="N10" s="892"/>
      <c r="O10" s="889"/>
      <c r="P10" s="889"/>
      <c r="Q10" s="889"/>
      <c r="R10" s="889"/>
      <c r="S10" s="889"/>
      <c r="T10" s="889"/>
      <c r="U10" s="893"/>
      <c r="V10" s="889"/>
      <c r="W10" s="889"/>
      <c r="X10" s="891"/>
      <c r="Y10" s="895"/>
      <c r="Z10" s="890"/>
    </row>
    <row r="11" spans="1:26" s="616" customFormat="1" ht="13.5" x14ac:dyDescent="0.2">
      <c r="A11" s="702">
        <v>7</v>
      </c>
      <c r="B11" s="683" t="s">
        <v>366</v>
      </c>
      <c r="C11" s="889"/>
      <c r="D11" s="889"/>
      <c r="E11" s="889"/>
      <c r="F11" s="889"/>
      <c r="G11" s="889"/>
      <c r="H11" s="889"/>
      <c r="I11" s="889"/>
      <c r="J11" s="889"/>
      <c r="K11" s="889"/>
      <c r="L11" s="889"/>
      <c r="M11" s="889"/>
      <c r="N11" s="892"/>
      <c r="O11" s="889"/>
      <c r="P11" s="889"/>
      <c r="Q11" s="889"/>
      <c r="R11" s="889"/>
      <c r="S11" s="889"/>
      <c r="T11" s="889"/>
      <c r="U11" s="893"/>
      <c r="V11" s="889"/>
      <c r="W11" s="889"/>
      <c r="X11" s="891"/>
      <c r="Y11" s="895"/>
      <c r="Z11" s="890"/>
    </row>
    <row r="12" spans="1:26" s="616" customFormat="1" ht="13.5" x14ac:dyDescent="0.2">
      <c r="A12" s="702">
        <v>8</v>
      </c>
      <c r="B12" s="683" t="s">
        <v>367</v>
      </c>
      <c r="C12" s="679">
        <v>1060</v>
      </c>
      <c r="D12" s="679">
        <v>7307</v>
      </c>
      <c r="E12" s="679">
        <v>5129</v>
      </c>
      <c r="F12" s="679">
        <v>3990</v>
      </c>
      <c r="G12" s="679">
        <v>16749</v>
      </c>
      <c r="H12" s="679">
        <v>2375</v>
      </c>
      <c r="I12" s="679">
        <v>16529</v>
      </c>
      <c r="J12" s="679">
        <v>3080</v>
      </c>
      <c r="K12" s="679">
        <v>2569</v>
      </c>
      <c r="L12" s="679">
        <v>5663</v>
      </c>
      <c r="M12" s="679">
        <v>1921</v>
      </c>
      <c r="N12" s="679">
        <v>1673</v>
      </c>
      <c r="O12" s="679">
        <v>2282</v>
      </c>
      <c r="P12" s="679">
        <v>5591</v>
      </c>
      <c r="Q12" s="679">
        <v>6407</v>
      </c>
      <c r="R12" s="679">
        <v>9979</v>
      </c>
      <c r="S12" s="679">
        <v>2650</v>
      </c>
      <c r="T12" s="679">
        <v>2134</v>
      </c>
      <c r="U12" s="679">
        <v>1259</v>
      </c>
      <c r="V12" s="679">
        <v>6917</v>
      </c>
      <c r="W12" s="679">
        <v>1048</v>
      </c>
      <c r="X12" s="684">
        <v>990</v>
      </c>
      <c r="Y12" s="617">
        <v>96900</v>
      </c>
      <c r="Z12" s="680">
        <v>635600</v>
      </c>
    </row>
    <row r="13" spans="1:26" s="616" customFormat="1" ht="13.5" x14ac:dyDescent="0.2">
      <c r="A13" s="702">
        <v>9</v>
      </c>
      <c r="B13" s="683" t="s">
        <v>368</v>
      </c>
      <c r="C13" s="889"/>
      <c r="D13" s="889"/>
      <c r="E13" s="889"/>
      <c r="F13" s="889"/>
      <c r="G13" s="889"/>
      <c r="H13" s="889"/>
      <c r="I13" s="889"/>
      <c r="J13" s="889"/>
      <c r="K13" s="889"/>
      <c r="L13" s="889"/>
      <c r="M13" s="889"/>
      <c r="N13" s="889"/>
      <c r="O13" s="889"/>
      <c r="P13" s="889"/>
      <c r="Q13" s="889"/>
      <c r="R13" s="889"/>
      <c r="S13" s="889"/>
      <c r="T13" s="889"/>
      <c r="U13" s="889"/>
      <c r="V13" s="889"/>
      <c r="W13" s="889"/>
      <c r="X13" s="891"/>
      <c r="Y13" s="895"/>
      <c r="Z13" s="890"/>
    </row>
    <row r="14" spans="1:26" s="616" customFormat="1" ht="13.5" x14ac:dyDescent="0.2">
      <c r="A14" s="702">
        <v>10</v>
      </c>
      <c r="B14" s="683" t="s">
        <v>369</v>
      </c>
      <c r="C14" s="679">
        <v>947</v>
      </c>
      <c r="D14" s="679">
        <v>3567</v>
      </c>
      <c r="E14" s="679">
        <v>4997</v>
      </c>
      <c r="F14" s="679">
        <v>3761</v>
      </c>
      <c r="G14" s="679">
        <v>15019</v>
      </c>
      <c r="H14" s="679">
        <v>2042</v>
      </c>
      <c r="I14" s="679">
        <v>11922</v>
      </c>
      <c r="J14" s="679">
        <v>2935</v>
      </c>
      <c r="K14" s="679">
        <v>2034</v>
      </c>
      <c r="L14" s="679">
        <v>3974</v>
      </c>
      <c r="M14" s="679">
        <v>1839</v>
      </c>
      <c r="N14" s="679">
        <v>1329</v>
      </c>
      <c r="O14" s="679">
        <v>2234</v>
      </c>
      <c r="P14" s="679">
        <v>5517</v>
      </c>
      <c r="Q14" s="679">
        <v>5641</v>
      </c>
      <c r="R14" s="679">
        <v>9658</v>
      </c>
      <c r="S14" s="679">
        <v>2524</v>
      </c>
      <c r="T14" s="679">
        <v>1425</v>
      </c>
      <c r="U14" s="679">
        <v>1259</v>
      </c>
      <c r="V14" s="679">
        <v>6262</v>
      </c>
      <c r="W14" s="679">
        <v>987</v>
      </c>
      <c r="X14" s="684">
        <v>985</v>
      </c>
      <c r="Y14" s="617">
        <v>81400</v>
      </c>
      <c r="Z14" s="680">
        <v>548100</v>
      </c>
    </row>
    <row r="15" spans="1:26" s="616" customFormat="1" ht="13.5" x14ac:dyDescent="0.2">
      <c r="A15" s="702">
        <v>11</v>
      </c>
      <c r="B15" s="687" t="s">
        <v>282</v>
      </c>
      <c r="C15" s="687"/>
      <c r="D15" s="687"/>
      <c r="E15" s="687"/>
      <c r="F15" s="687"/>
      <c r="G15" s="687"/>
      <c r="H15" s="687"/>
      <c r="I15" s="687"/>
      <c r="J15" s="687"/>
      <c r="K15" s="687"/>
      <c r="L15" s="687"/>
      <c r="M15" s="687"/>
      <c r="N15" s="687"/>
      <c r="O15" s="687"/>
      <c r="P15" s="687"/>
      <c r="Q15" s="687"/>
      <c r="R15" s="687"/>
      <c r="S15" s="687"/>
      <c r="T15" s="687"/>
      <c r="U15" s="687"/>
      <c r="V15" s="687"/>
      <c r="W15" s="687"/>
      <c r="X15" s="687"/>
      <c r="Y15" s="687"/>
      <c r="Z15" s="906"/>
    </row>
    <row r="16" spans="1:26" s="616" customFormat="1" ht="13.5" x14ac:dyDescent="0.2">
      <c r="A16" s="703"/>
      <c r="B16" s="689" t="s">
        <v>370</v>
      </c>
      <c r="C16" s="686">
        <v>132</v>
      </c>
      <c r="D16" s="679">
        <v>454</v>
      </c>
      <c r="E16" s="679">
        <v>483</v>
      </c>
      <c r="F16" s="679">
        <v>307</v>
      </c>
      <c r="G16" s="679">
        <v>1834</v>
      </c>
      <c r="H16" s="679">
        <v>195</v>
      </c>
      <c r="I16" s="679">
        <v>1889</v>
      </c>
      <c r="J16" s="679">
        <v>353</v>
      </c>
      <c r="K16" s="679">
        <v>252</v>
      </c>
      <c r="L16" s="679">
        <v>546</v>
      </c>
      <c r="M16" s="679">
        <v>140</v>
      </c>
      <c r="N16" s="679">
        <v>18</v>
      </c>
      <c r="O16" s="679">
        <v>153</v>
      </c>
      <c r="P16" s="679">
        <v>582</v>
      </c>
      <c r="Q16" s="679">
        <v>281</v>
      </c>
      <c r="R16" s="679">
        <v>691</v>
      </c>
      <c r="S16" s="679">
        <v>211</v>
      </c>
      <c r="T16" s="679">
        <v>245</v>
      </c>
      <c r="U16" s="679">
        <v>129</v>
      </c>
      <c r="V16" s="679">
        <v>1425</v>
      </c>
      <c r="W16" s="679">
        <v>83</v>
      </c>
      <c r="X16" s="684">
        <v>337</v>
      </c>
      <c r="Y16" s="617">
        <v>9700</v>
      </c>
      <c r="Z16" s="680">
        <v>61400</v>
      </c>
    </row>
    <row r="17" spans="1:26" s="616" customFormat="1" ht="13.5" x14ac:dyDescent="0.2">
      <c r="A17" s="703"/>
      <c r="B17" s="689" t="s">
        <v>371</v>
      </c>
      <c r="C17" s="893"/>
      <c r="D17" s="889"/>
      <c r="E17" s="889"/>
      <c r="F17" s="889"/>
      <c r="G17" s="889"/>
      <c r="H17" s="889"/>
      <c r="I17" s="889"/>
      <c r="J17" s="889"/>
      <c r="K17" s="889"/>
      <c r="L17" s="889"/>
      <c r="M17" s="889"/>
      <c r="N17" s="889"/>
      <c r="O17" s="889"/>
      <c r="P17" s="889"/>
      <c r="Q17" s="889"/>
      <c r="R17" s="889"/>
      <c r="S17" s="889"/>
      <c r="T17" s="889"/>
      <c r="U17" s="889"/>
      <c r="V17" s="889"/>
      <c r="W17" s="889"/>
      <c r="X17" s="891"/>
      <c r="Y17" s="895"/>
      <c r="Z17" s="890"/>
    </row>
    <row r="18" spans="1:26" s="616" customFormat="1" ht="13.5" x14ac:dyDescent="0.2">
      <c r="A18" s="703"/>
      <c r="B18" s="689" t="s">
        <v>372</v>
      </c>
      <c r="C18" s="893"/>
      <c r="D18" s="889"/>
      <c r="E18" s="889"/>
      <c r="F18" s="889"/>
      <c r="G18" s="889"/>
      <c r="H18" s="889"/>
      <c r="I18" s="889"/>
      <c r="J18" s="889"/>
      <c r="K18" s="889"/>
      <c r="L18" s="889"/>
      <c r="M18" s="889"/>
      <c r="N18" s="889"/>
      <c r="O18" s="889"/>
      <c r="P18" s="889"/>
      <c r="Q18" s="889"/>
      <c r="R18" s="889"/>
      <c r="S18" s="889"/>
      <c r="T18" s="889"/>
      <c r="U18" s="889"/>
      <c r="V18" s="889"/>
      <c r="W18" s="889"/>
      <c r="X18" s="891"/>
      <c r="Y18" s="895"/>
      <c r="Z18" s="890"/>
    </row>
    <row r="19" spans="1:26" s="616" customFormat="1" ht="13.5" x14ac:dyDescent="0.2">
      <c r="A19" s="703"/>
      <c r="B19" s="689" t="s">
        <v>373</v>
      </c>
      <c r="C19" s="893"/>
      <c r="D19" s="889"/>
      <c r="E19" s="889"/>
      <c r="F19" s="889"/>
      <c r="G19" s="889"/>
      <c r="H19" s="889"/>
      <c r="I19" s="889"/>
      <c r="J19" s="889"/>
      <c r="K19" s="889"/>
      <c r="L19" s="889"/>
      <c r="M19" s="889"/>
      <c r="N19" s="889"/>
      <c r="O19" s="889"/>
      <c r="P19" s="889"/>
      <c r="Q19" s="889"/>
      <c r="R19" s="889"/>
      <c r="S19" s="889"/>
      <c r="T19" s="889"/>
      <c r="U19" s="889"/>
      <c r="V19" s="889"/>
      <c r="W19" s="889"/>
      <c r="X19" s="891"/>
      <c r="Y19" s="895"/>
      <c r="Z19" s="890"/>
    </row>
    <row r="20" spans="1:26" s="616" customFormat="1" ht="13.5" x14ac:dyDescent="0.2">
      <c r="A20" s="703"/>
      <c r="B20" s="689" t="s">
        <v>374</v>
      </c>
      <c r="C20" s="686">
        <v>216</v>
      </c>
      <c r="D20" s="679">
        <v>689</v>
      </c>
      <c r="E20" s="679">
        <v>972</v>
      </c>
      <c r="F20" s="679">
        <v>376</v>
      </c>
      <c r="G20" s="679">
        <v>3631</v>
      </c>
      <c r="H20" s="679">
        <v>664</v>
      </c>
      <c r="I20" s="679">
        <v>2453</v>
      </c>
      <c r="J20" s="679">
        <v>779</v>
      </c>
      <c r="K20" s="679">
        <v>577</v>
      </c>
      <c r="L20" s="679">
        <v>758</v>
      </c>
      <c r="M20" s="679">
        <v>439</v>
      </c>
      <c r="N20" s="685" t="s">
        <v>73</v>
      </c>
      <c r="O20" s="679">
        <v>477</v>
      </c>
      <c r="P20" s="679">
        <v>1157</v>
      </c>
      <c r="Q20" s="679">
        <v>1048</v>
      </c>
      <c r="R20" s="679">
        <v>1741</v>
      </c>
      <c r="S20" s="679">
        <v>497</v>
      </c>
      <c r="T20" s="679">
        <v>316</v>
      </c>
      <c r="U20" s="686">
        <v>240</v>
      </c>
      <c r="V20" s="679">
        <v>932</v>
      </c>
      <c r="W20" s="679">
        <v>180</v>
      </c>
      <c r="X20" s="684">
        <v>138</v>
      </c>
      <c r="Y20" s="617">
        <v>16300</v>
      </c>
      <c r="Z20" s="680">
        <v>97500</v>
      </c>
    </row>
    <row r="21" spans="1:26" s="616" customFormat="1" ht="13.5" x14ac:dyDescent="0.2">
      <c r="A21" s="703"/>
      <c r="B21" s="689" t="s">
        <v>375</v>
      </c>
      <c r="C21" s="686">
        <v>26</v>
      </c>
      <c r="D21" s="679">
        <v>244</v>
      </c>
      <c r="E21" s="679">
        <v>13</v>
      </c>
      <c r="F21" s="679">
        <v>64</v>
      </c>
      <c r="G21" s="679" t="s">
        <v>73</v>
      </c>
      <c r="H21" s="679">
        <v>0</v>
      </c>
      <c r="I21" s="679">
        <v>341</v>
      </c>
      <c r="J21" s="679">
        <v>25</v>
      </c>
      <c r="K21" s="679">
        <v>32</v>
      </c>
      <c r="L21" s="679">
        <v>103</v>
      </c>
      <c r="M21" s="679">
        <v>49</v>
      </c>
      <c r="N21" s="685">
        <v>29</v>
      </c>
      <c r="O21" s="679">
        <v>11</v>
      </c>
      <c r="P21" s="679">
        <v>117</v>
      </c>
      <c r="Q21" s="679">
        <v>28</v>
      </c>
      <c r="R21" s="679">
        <v>89</v>
      </c>
      <c r="S21" s="679" t="s">
        <v>73</v>
      </c>
      <c r="T21" s="679">
        <v>0</v>
      </c>
      <c r="U21" s="686">
        <v>20</v>
      </c>
      <c r="V21" s="679">
        <v>0</v>
      </c>
      <c r="W21" s="679">
        <v>7</v>
      </c>
      <c r="X21" s="684">
        <v>45</v>
      </c>
      <c r="Y21" s="617">
        <v>1100</v>
      </c>
      <c r="Z21" s="680">
        <v>18200</v>
      </c>
    </row>
    <row r="22" spans="1:26" s="616" customFormat="1" ht="13.5" x14ac:dyDescent="0.2">
      <c r="A22" s="703"/>
      <c r="B22" s="689" t="s">
        <v>376</v>
      </c>
      <c r="C22" s="686">
        <v>108</v>
      </c>
      <c r="D22" s="679">
        <v>669</v>
      </c>
      <c r="E22" s="679">
        <v>719</v>
      </c>
      <c r="F22" s="679">
        <v>405</v>
      </c>
      <c r="G22" s="679">
        <v>2312</v>
      </c>
      <c r="H22" s="679">
        <v>288</v>
      </c>
      <c r="I22" s="679">
        <v>2656</v>
      </c>
      <c r="J22" s="679">
        <v>346</v>
      </c>
      <c r="K22" s="679">
        <v>283</v>
      </c>
      <c r="L22" s="679">
        <v>1016</v>
      </c>
      <c r="M22" s="679">
        <v>258</v>
      </c>
      <c r="N22" s="685">
        <v>45</v>
      </c>
      <c r="O22" s="679">
        <v>266</v>
      </c>
      <c r="P22" s="679">
        <v>1009</v>
      </c>
      <c r="Q22" s="679">
        <v>732</v>
      </c>
      <c r="R22" s="679">
        <v>1559</v>
      </c>
      <c r="S22" s="679">
        <v>351</v>
      </c>
      <c r="T22" s="679">
        <v>357</v>
      </c>
      <c r="U22" s="686">
        <v>119</v>
      </c>
      <c r="V22" s="679">
        <v>791</v>
      </c>
      <c r="W22" s="679">
        <v>142</v>
      </c>
      <c r="X22" s="684">
        <v>66</v>
      </c>
      <c r="Y22" s="617">
        <v>12800</v>
      </c>
      <c r="Z22" s="680">
        <v>93900</v>
      </c>
    </row>
    <row r="23" spans="1:26" s="616" customFormat="1" ht="13.5" x14ac:dyDescent="0.2">
      <c r="A23" s="703"/>
      <c r="B23" s="689" t="s">
        <v>377</v>
      </c>
      <c r="C23" s="893"/>
      <c r="D23" s="889"/>
      <c r="E23" s="889"/>
      <c r="F23" s="889"/>
      <c r="G23" s="889"/>
      <c r="H23" s="889"/>
      <c r="I23" s="889"/>
      <c r="J23" s="889"/>
      <c r="K23" s="889"/>
      <c r="L23" s="889"/>
      <c r="M23" s="889"/>
      <c r="N23" s="892"/>
      <c r="O23" s="889"/>
      <c r="P23" s="889"/>
      <c r="Q23" s="889"/>
      <c r="R23" s="889"/>
      <c r="S23" s="889"/>
      <c r="T23" s="889"/>
      <c r="U23" s="893"/>
      <c r="V23" s="889"/>
      <c r="W23" s="889"/>
      <c r="X23" s="891"/>
      <c r="Y23" s="895"/>
      <c r="Z23" s="890"/>
    </row>
    <row r="24" spans="1:26" s="616" customFormat="1" ht="13.5" x14ac:dyDescent="0.2">
      <c r="A24" s="703"/>
      <c r="B24" s="689" t="s">
        <v>378</v>
      </c>
      <c r="C24" s="893"/>
      <c r="D24" s="889"/>
      <c r="E24" s="889"/>
      <c r="F24" s="889"/>
      <c r="G24" s="889"/>
      <c r="H24" s="889"/>
      <c r="I24" s="889"/>
      <c r="J24" s="889"/>
      <c r="K24" s="889"/>
      <c r="L24" s="889"/>
      <c r="M24" s="889"/>
      <c r="N24" s="892"/>
      <c r="O24" s="889"/>
      <c r="P24" s="889"/>
      <c r="Q24" s="889"/>
      <c r="R24" s="889"/>
      <c r="S24" s="889"/>
      <c r="T24" s="889"/>
      <c r="U24" s="893"/>
      <c r="V24" s="889"/>
      <c r="W24" s="889"/>
      <c r="X24" s="891"/>
      <c r="Y24" s="895"/>
      <c r="Z24" s="890"/>
    </row>
    <row r="25" spans="1:26" s="616" customFormat="1" ht="13.5" x14ac:dyDescent="0.2">
      <c r="A25" s="703"/>
      <c r="B25" s="689" t="s">
        <v>379</v>
      </c>
      <c r="C25" s="893"/>
      <c r="D25" s="889"/>
      <c r="E25" s="889"/>
      <c r="F25" s="889"/>
      <c r="G25" s="889"/>
      <c r="H25" s="889"/>
      <c r="I25" s="889"/>
      <c r="J25" s="889"/>
      <c r="K25" s="889"/>
      <c r="L25" s="889"/>
      <c r="M25" s="889"/>
      <c r="N25" s="892"/>
      <c r="O25" s="889"/>
      <c r="P25" s="889"/>
      <c r="Q25" s="889"/>
      <c r="R25" s="889"/>
      <c r="S25" s="889"/>
      <c r="T25" s="889"/>
      <c r="U25" s="893"/>
      <c r="V25" s="889"/>
      <c r="W25" s="889"/>
      <c r="X25" s="891"/>
      <c r="Y25" s="895"/>
      <c r="Z25" s="890"/>
    </row>
    <row r="26" spans="1:26" s="616" customFormat="1" ht="13.5" x14ac:dyDescent="0.2">
      <c r="A26" s="703"/>
      <c r="B26" s="689" t="s">
        <v>380</v>
      </c>
      <c r="C26" s="893"/>
      <c r="D26" s="889"/>
      <c r="E26" s="889"/>
      <c r="F26" s="889"/>
      <c r="G26" s="889"/>
      <c r="H26" s="889"/>
      <c r="I26" s="889"/>
      <c r="J26" s="889"/>
      <c r="K26" s="889"/>
      <c r="L26" s="889"/>
      <c r="M26" s="889"/>
      <c r="N26" s="892"/>
      <c r="O26" s="889"/>
      <c r="P26" s="889"/>
      <c r="Q26" s="889"/>
      <c r="R26" s="889"/>
      <c r="S26" s="889"/>
      <c r="T26" s="889"/>
      <c r="U26" s="893"/>
      <c r="V26" s="889"/>
      <c r="W26" s="889"/>
      <c r="X26" s="891"/>
      <c r="Y26" s="895"/>
      <c r="Z26" s="890"/>
    </row>
    <row r="27" spans="1:26" s="616" customFormat="1" ht="13.5" x14ac:dyDescent="0.2">
      <c r="A27" s="703"/>
      <c r="B27" s="689" t="s">
        <v>381</v>
      </c>
      <c r="C27" s="893"/>
      <c r="D27" s="889"/>
      <c r="E27" s="889"/>
      <c r="F27" s="889"/>
      <c r="G27" s="889"/>
      <c r="H27" s="889"/>
      <c r="I27" s="889"/>
      <c r="J27" s="889"/>
      <c r="K27" s="889"/>
      <c r="L27" s="889"/>
      <c r="M27" s="889"/>
      <c r="N27" s="892"/>
      <c r="O27" s="889"/>
      <c r="P27" s="889"/>
      <c r="Q27" s="889"/>
      <c r="R27" s="889"/>
      <c r="S27" s="889"/>
      <c r="T27" s="889"/>
      <c r="U27" s="893"/>
      <c r="V27" s="889"/>
      <c r="W27" s="889"/>
      <c r="X27" s="891"/>
      <c r="Y27" s="895"/>
      <c r="Z27" s="890"/>
    </row>
    <row r="28" spans="1:26" s="616" customFormat="1" ht="13.5" x14ac:dyDescent="0.2">
      <c r="A28" s="703"/>
      <c r="B28" s="689" t="s">
        <v>382</v>
      </c>
      <c r="C28" s="686">
        <v>22</v>
      </c>
      <c r="D28" s="679">
        <v>204</v>
      </c>
      <c r="E28" s="679">
        <v>23</v>
      </c>
      <c r="F28" s="679">
        <v>26</v>
      </c>
      <c r="G28" s="679">
        <v>277</v>
      </c>
      <c r="H28" s="679" t="s">
        <v>73</v>
      </c>
      <c r="I28" s="679">
        <v>458</v>
      </c>
      <c r="J28" s="679">
        <v>117</v>
      </c>
      <c r="K28" s="679">
        <v>38</v>
      </c>
      <c r="L28" s="679">
        <v>84</v>
      </c>
      <c r="M28" s="679">
        <v>77</v>
      </c>
      <c r="N28" s="685">
        <v>11</v>
      </c>
      <c r="O28" s="679">
        <v>20</v>
      </c>
      <c r="P28" s="679">
        <v>80</v>
      </c>
      <c r="Q28" s="679">
        <v>63</v>
      </c>
      <c r="R28" s="679">
        <v>126</v>
      </c>
      <c r="S28" s="679" t="s">
        <v>73</v>
      </c>
      <c r="T28" s="679">
        <v>15</v>
      </c>
      <c r="U28" s="686">
        <v>36</v>
      </c>
      <c r="V28" s="679">
        <v>112</v>
      </c>
      <c r="W28" s="679" t="s">
        <v>73</v>
      </c>
      <c r="X28" s="684">
        <v>10</v>
      </c>
      <c r="Y28" s="617">
        <v>1700</v>
      </c>
      <c r="Z28" s="680">
        <v>10200</v>
      </c>
    </row>
    <row r="29" spans="1:26" s="616" customFormat="1" ht="13.5" x14ac:dyDescent="0.2">
      <c r="A29" s="703"/>
      <c r="B29" s="689" t="s">
        <v>383</v>
      </c>
      <c r="C29" s="686">
        <v>183</v>
      </c>
      <c r="D29" s="679">
        <v>642</v>
      </c>
      <c r="E29" s="679">
        <v>1007</v>
      </c>
      <c r="F29" s="679">
        <v>472</v>
      </c>
      <c r="G29" s="679">
        <v>1447</v>
      </c>
      <c r="H29" s="679">
        <v>196</v>
      </c>
      <c r="I29" s="679">
        <v>1606</v>
      </c>
      <c r="J29" s="679">
        <v>219</v>
      </c>
      <c r="K29" s="679">
        <v>366</v>
      </c>
      <c r="L29" s="679">
        <v>643</v>
      </c>
      <c r="M29" s="679">
        <v>217</v>
      </c>
      <c r="N29" s="685">
        <v>33</v>
      </c>
      <c r="O29" s="679">
        <v>498</v>
      </c>
      <c r="P29" s="679">
        <v>794</v>
      </c>
      <c r="Q29" s="679">
        <v>541</v>
      </c>
      <c r="R29" s="679">
        <v>1062</v>
      </c>
      <c r="S29" s="679">
        <v>220</v>
      </c>
      <c r="T29" s="679">
        <v>314</v>
      </c>
      <c r="U29" s="686">
        <v>276</v>
      </c>
      <c r="V29" s="679">
        <v>848</v>
      </c>
      <c r="W29" s="679">
        <v>227</v>
      </c>
      <c r="X29" s="684">
        <v>29</v>
      </c>
      <c r="Y29" s="617">
        <v>10500</v>
      </c>
      <c r="Z29" s="680">
        <v>82500</v>
      </c>
    </row>
    <row r="30" spans="1:26" s="616" customFormat="1" ht="13.5" x14ac:dyDescent="0.2">
      <c r="A30" s="703"/>
      <c r="B30" s="689" t="s">
        <v>384</v>
      </c>
      <c r="C30" s="893"/>
      <c r="D30" s="889"/>
      <c r="E30" s="889"/>
      <c r="F30" s="889"/>
      <c r="G30" s="889"/>
      <c r="H30" s="889"/>
      <c r="I30" s="889"/>
      <c r="J30" s="889"/>
      <c r="K30" s="889"/>
      <c r="L30" s="889"/>
      <c r="M30" s="889"/>
      <c r="N30" s="892"/>
      <c r="O30" s="889"/>
      <c r="P30" s="889"/>
      <c r="Q30" s="889"/>
      <c r="R30" s="889"/>
      <c r="S30" s="889"/>
      <c r="T30" s="889"/>
      <c r="U30" s="893"/>
      <c r="V30" s="889"/>
      <c r="W30" s="889"/>
      <c r="X30" s="891"/>
      <c r="Y30" s="895"/>
      <c r="Z30" s="890"/>
    </row>
    <row r="31" spans="1:26" s="616" customFormat="1" ht="13.5" x14ac:dyDescent="0.2">
      <c r="A31" s="703"/>
      <c r="B31" s="689" t="s">
        <v>385</v>
      </c>
      <c r="C31" s="893"/>
      <c r="D31" s="889"/>
      <c r="E31" s="889"/>
      <c r="F31" s="889"/>
      <c r="G31" s="889"/>
      <c r="H31" s="889"/>
      <c r="I31" s="889"/>
      <c r="J31" s="889"/>
      <c r="K31" s="889"/>
      <c r="L31" s="889"/>
      <c r="M31" s="889"/>
      <c r="N31" s="892"/>
      <c r="O31" s="889"/>
      <c r="P31" s="889"/>
      <c r="Q31" s="889"/>
      <c r="R31" s="889"/>
      <c r="S31" s="889"/>
      <c r="T31" s="889"/>
      <c r="U31" s="893"/>
      <c r="V31" s="889"/>
      <c r="W31" s="889"/>
      <c r="X31" s="891"/>
      <c r="Y31" s="895"/>
      <c r="Z31" s="890"/>
    </row>
    <row r="32" spans="1:26" s="616" customFormat="1" ht="13.5" x14ac:dyDescent="0.2">
      <c r="A32" s="703"/>
      <c r="B32" s="689" t="s">
        <v>386</v>
      </c>
      <c r="C32" s="686">
        <v>238</v>
      </c>
      <c r="D32" s="679">
        <v>1763</v>
      </c>
      <c r="E32" s="679">
        <v>1369</v>
      </c>
      <c r="F32" s="679">
        <v>1039</v>
      </c>
      <c r="G32" s="679">
        <v>4745</v>
      </c>
      <c r="H32" s="679">
        <v>670</v>
      </c>
      <c r="I32" s="679">
        <v>4037</v>
      </c>
      <c r="J32" s="679">
        <v>794</v>
      </c>
      <c r="K32" s="679">
        <v>713</v>
      </c>
      <c r="L32" s="679">
        <v>1747</v>
      </c>
      <c r="M32" s="679">
        <v>517</v>
      </c>
      <c r="N32" s="685">
        <v>113</v>
      </c>
      <c r="O32" s="679">
        <v>642</v>
      </c>
      <c r="P32" s="679">
        <v>1201</v>
      </c>
      <c r="Q32" s="679">
        <v>1209</v>
      </c>
      <c r="R32" s="679">
        <v>3420</v>
      </c>
      <c r="S32" s="679">
        <v>833</v>
      </c>
      <c r="T32" s="679">
        <v>550</v>
      </c>
      <c r="U32" s="686">
        <v>266</v>
      </c>
      <c r="V32" s="679">
        <v>2323</v>
      </c>
      <c r="W32" s="679">
        <v>270</v>
      </c>
      <c r="X32" s="684">
        <v>329</v>
      </c>
      <c r="Y32" s="617">
        <v>26200</v>
      </c>
      <c r="Z32" s="680">
        <v>166600</v>
      </c>
    </row>
    <row r="33" spans="1:26" s="616" customFormat="1" ht="13.5" x14ac:dyDescent="0.2">
      <c r="A33" s="703"/>
      <c r="B33" s="689" t="s">
        <v>387</v>
      </c>
      <c r="C33" s="686">
        <v>24</v>
      </c>
      <c r="D33" s="679">
        <v>210</v>
      </c>
      <c r="E33" s="679">
        <v>114</v>
      </c>
      <c r="F33" s="679">
        <v>123</v>
      </c>
      <c r="G33" s="679">
        <v>496</v>
      </c>
      <c r="H33" s="679">
        <v>45</v>
      </c>
      <c r="I33" s="679">
        <v>1038</v>
      </c>
      <c r="J33" s="679">
        <v>60</v>
      </c>
      <c r="K33" s="679">
        <v>128</v>
      </c>
      <c r="L33" s="679">
        <v>51</v>
      </c>
      <c r="M33" s="679">
        <v>53</v>
      </c>
      <c r="N33" s="685">
        <v>33</v>
      </c>
      <c r="O33" s="679">
        <v>56</v>
      </c>
      <c r="P33" s="679">
        <v>129</v>
      </c>
      <c r="Q33" s="679">
        <v>81</v>
      </c>
      <c r="R33" s="679">
        <v>381</v>
      </c>
      <c r="S33" s="679">
        <v>42</v>
      </c>
      <c r="T33" s="679">
        <v>43</v>
      </c>
      <c r="U33" s="686">
        <v>35</v>
      </c>
      <c r="V33" s="679">
        <v>259</v>
      </c>
      <c r="W33" s="679">
        <v>8</v>
      </c>
      <c r="X33" s="684">
        <v>0</v>
      </c>
      <c r="Y33" s="617">
        <v>3200</v>
      </c>
      <c r="Z33" s="680">
        <v>21000</v>
      </c>
    </row>
    <row r="34" spans="1:26" s="616" customFormat="1" ht="13.5" x14ac:dyDescent="0.2">
      <c r="A34" s="703"/>
      <c r="B34" s="689" t="s">
        <v>388</v>
      </c>
      <c r="C34" s="686">
        <v>103</v>
      </c>
      <c r="D34" s="679">
        <v>582</v>
      </c>
      <c r="E34" s="679">
        <v>255</v>
      </c>
      <c r="F34" s="679">
        <v>318</v>
      </c>
      <c r="G34" s="679">
        <v>1364</v>
      </c>
      <c r="H34" s="679">
        <v>229</v>
      </c>
      <c r="I34" s="679">
        <v>1546</v>
      </c>
      <c r="J34" s="679">
        <v>211</v>
      </c>
      <c r="K34" s="679">
        <v>105</v>
      </c>
      <c r="L34" s="679">
        <v>382</v>
      </c>
      <c r="M34" s="679">
        <v>157</v>
      </c>
      <c r="N34" s="685">
        <v>11</v>
      </c>
      <c r="O34" s="679">
        <v>139</v>
      </c>
      <c r="P34" s="679">
        <v>309</v>
      </c>
      <c r="Q34" s="679">
        <v>350</v>
      </c>
      <c r="R34" s="679">
        <v>736</v>
      </c>
      <c r="S34" s="679">
        <v>173</v>
      </c>
      <c r="T34" s="679">
        <v>197</v>
      </c>
      <c r="U34" s="686">
        <v>125</v>
      </c>
      <c r="V34" s="679">
        <v>25</v>
      </c>
      <c r="W34" s="679">
        <v>92</v>
      </c>
      <c r="X34" s="684" t="s">
        <v>73</v>
      </c>
      <c r="Y34" s="617">
        <v>6700</v>
      </c>
      <c r="Z34" s="680">
        <v>44500</v>
      </c>
    </row>
    <row r="35" spans="1:26" s="616" customFormat="1" ht="13.5" x14ac:dyDescent="0.2">
      <c r="A35" s="703"/>
      <c r="B35" s="689" t="s">
        <v>389</v>
      </c>
      <c r="C35" s="686" t="s">
        <v>73</v>
      </c>
      <c r="D35" s="679">
        <v>122</v>
      </c>
      <c r="E35" s="679">
        <v>138</v>
      </c>
      <c r="F35" s="679">
        <v>87</v>
      </c>
      <c r="G35" s="679">
        <v>419</v>
      </c>
      <c r="H35" s="679">
        <v>61</v>
      </c>
      <c r="I35" s="679">
        <v>448</v>
      </c>
      <c r="J35" s="679">
        <v>128</v>
      </c>
      <c r="K35" s="679">
        <v>66</v>
      </c>
      <c r="L35" s="679">
        <v>285</v>
      </c>
      <c r="M35" s="679" t="s">
        <v>73</v>
      </c>
      <c r="N35" s="685" t="s">
        <v>73</v>
      </c>
      <c r="O35" s="679">
        <v>20</v>
      </c>
      <c r="P35" s="679">
        <v>213</v>
      </c>
      <c r="Q35" s="679">
        <v>200</v>
      </c>
      <c r="R35" s="679">
        <v>174</v>
      </c>
      <c r="S35" s="679">
        <v>36</v>
      </c>
      <c r="T35" s="679">
        <v>97</v>
      </c>
      <c r="U35" s="686">
        <v>13</v>
      </c>
      <c r="V35" s="679">
        <v>0</v>
      </c>
      <c r="W35" s="679">
        <v>34</v>
      </c>
      <c r="X35" s="684">
        <v>32</v>
      </c>
      <c r="Y35" s="617">
        <v>2200</v>
      </c>
      <c r="Z35" s="680">
        <v>15900</v>
      </c>
    </row>
    <row r="36" spans="1:26" s="616" customFormat="1" ht="13.5" x14ac:dyDescent="0.2">
      <c r="A36" s="703"/>
      <c r="B36" s="689" t="s">
        <v>390</v>
      </c>
      <c r="C36" s="686" t="s">
        <v>73</v>
      </c>
      <c r="D36" s="679">
        <v>1728</v>
      </c>
      <c r="E36" s="679">
        <v>36</v>
      </c>
      <c r="F36" s="679">
        <v>773</v>
      </c>
      <c r="G36" s="679" t="s">
        <v>73</v>
      </c>
      <c r="H36" s="679" t="s">
        <v>73</v>
      </c>
      <c r="I36" s="679">
        <v>57</v>
      </c>
      <c r="J36" s="679">
        <v>48</v>
      </c>
      <c r="K36" s="679">
        <v>9</v>
      </c>
      <c r="L36" s="679">
        <v>48</v>
      </c>
      <c r="M36" s="679" t="s">
        <v>73</v>
      </c>
      <c r="N36" s="685">
        <v>1366</v>
      </c>
      <c r="O36" s="679">
        <v>0</v>
      </c>
      <c r="P36" s="679">
        <v>0</v>
      </c>
      <c r="Q36" s="679">
        <v>1874</v>
      </c>
      <c r="R36" s="679">
        <v>0</v>
      </c>
      <c r="S36" s="679">
        <v>251</v>
      </c>
      <c r="T36" s="679">
        <v>0</v>
      </c>
      <c r="U36" s="686">
        <v>0</v>
      </c>
      <c r="V36" s="679">
        <v>202</v>
      </c>
      <c r="W36" s="679" t="s">
        <v>73</v>
      </c>
      <c r="X36" s="684" t="s">
        <v>73</v>
      </c>
      <c r="Y36" s="617">
        <v>6400</v>
      </c>
      <c r="Z36" s="680">
        <v>20900</v>
      </c>
    </row>
    <row r="37" spans="1:26" s="616" customFormat="1" ht="13.5" x14ac:dyDescent="0.2">
      <c r="A37" s="702">
        <v>12</v>
      </c>
      <c r="B37" s="690" t="s">
        <v>391</v>
      </c>
      <c r="C37" s="691">
        <v>217.00000000000003</v>
      </c>
      <c r="D37" s="679">
        <v>2648.9999999999991</v>
      </c>
      <c r="E37" s="679">
        <v>1397.9999999999991</v>
      </c>
      <c r="F37" s="679">
        <v>939.99999999999989</v>
      </c>
      <c r="G37" s="679">
        <v>5324.9999999999991</v>
      </c>
      <c r="H37" s="679">
        <v>820.99999999999977</v>
      </c>
      <c r="I37" s="679">
        <v>4683</v>
      </c>
      <c r="J37" s="679">
        <v>614.99999999999966</v>
      </c>
      <c r="K37" s="679">
        <v>595.00000000000011</v>
      </c>
      <c r="L37" s="679">
        <v>1377.0000000000002</v>
      </c>
      <c r="M37" s="679">
        <v>379.9999999999996</v>
      </c>
      <c r="N37" s="692">
        <v>352.99999999999983</v>
      </c>
      <c r="O37" s="679">
        <v>480.00000000000017</v>
      </c>
      <c r="P37" s="679">
        <v>1507.9999999999977</v>
      </c>
      <c r="Q37" s="679">
        <v>2214</v>
      </c>
      <c r="R37" s="679">
        <v>2530.9999999999973</v>
      </c>
      <c r="S37" s="679">
        <v>531.00000000000011</v>
      </c>
      <c r="T37" s="679">
        <v>532</v>
      </c>
      <c r="U37" s="691">
        <v>303</v>
      </c>
      <c r="V37" s="679">
        <v>1503.0000000000002</v>
      </c>
      <c r="W37" s="679">
        <v>188.00000000000009</v>
      </c>
      <c r="X37" s="684">
        <v>259.00000000000006</v>
      </c>
      <c r="Y37" s="617">
        <v>26800</v>
      </c>
      <c r="Z37" s="680">
        <v>152400</v>
      </c>
    </row>
    <row r="38" spans="1:26" s="616" customFormat="1" ht="13.5" x14ac:dyDescent="0.2">
      <c r="A38" s="702">
        <v>13</v>
      </c>
      <c r="B38" s="690" t="s">
        <v>392</v>
      </c>
      <c r="C38" s="691">
        <v>986</v>
      </c>
      <c r="D38" s="679">
        <v>2770</v>
      </c>
      <c r="E38" s="679">
        <v>6180</v>
      </c>
      <c r="F38" s="679">
        <v>2684</v>
      </c>
      <c r="G38" s="679">
        <v>17096</v>
      </c>
      <c r="H38" s="679">
        <v>2048</v>
      </c>
      <c r="I38" s="679">
        <v>15802</v>
      </c>
      <c r="J38" s="679">
        <v>3699</v>
      </c>
      <c r="K38" s="679">
        <v>2000</v>
      </c>
      <c r="L38" s="679">
        <v>3767</v>
      </c>
      <c r="M38" s="679">
        <v>1453</v>
      </c>
      <c r="N38" s="692">
        <v>1197</v>
      </c>
      <c r="O38" s="679">
        <v>1879</v>
      </c>
      <c r="P38" s="679">
        <v>4524</v>
      </c>
      <c r="Q38" s="679">
        <v>2109</v>
      </c>
      <c r="R38" s="679">
        <v>8993</v>
      </c>
      <c r="S38" s="679">
        <v>2649</v>
      </c>
      <c r="T38" s="679">
        <v>1488</v>
      </c>
      <c r="U38" s="691">
        <v>887</v>
      </c>
      <c r="V38" s="679">
        <v>5185</v>
      </c>
      <c r="W38" s="679">
        <v>779</v>
      </c>
      <c r="X38" s="684">
        <v>887</v>
      </c>
      <c r="Y38" s="617">
        <v>80400</v>
      </c>
      <c r="Z38" s="680">
        <v>550810</v>
      </c>
    </row>
    <row r="39" spans="1:26" s="616" customFormat="1" ht="22.5" x14ac:dyDescent="0.2">
      <c r="A39" s="702">
        <v>14</v>
      </c>
      <c r="B39" s="687" t="s">
        <v>306</v>
      </c>
      <c r="C39" s="687"/>
      <c r="D39" s="687"/>
      <c r="E39" s="687"/>
      <c r="F39" s="687"/>
      <c r="G39" s="687"/>
      <c r="H39" s="687"/>
      <c r="I39" s="687"/>
      <c r="J39" s="687"/>
      <c r="K39" s="687"/>
      <c r="L39" s="687"/>
      <c r="M39" s="687"/>
      <c r="N39" s="687"/>
      <c r="O39" s="687"/>
      <c r="P39" s="687"/>
      <c r="Q39" s="687"/>
      <c r="R39" s="687"/>
      <c r="S39" s="687"/>
      <c r="T39" s="687"/>
      <c r="U39" s="687"/>
      <c r="V39" s="687"/>
      <c r="W39" s="687"/>
      <c r="X39" s="687"/>
      <c r="Y39" s="687"/>
      <c r="Z39" s="906"/>
    </row>
    <row r="40" spans="1:26" s="616" customFormat="1" ht="13.5" x14ac:dyDescent="0.2">
      <c r="A40" s="702"/>
      <c r="B40" s="683" t="s">
        <v>393</v>
      </c>
      <c r="C40" s="686">
        <v>414</v>
      </c>
      <c r="D40" s="679">
        <v>180</v>
      </c>
      <c r="E40" s="679">
        <v>1554</v>
      </c>
      <c r="F40" s="693">
        <v>365</v>
      </c>
      <c r="G40" s="679">
        <v>3554</v>
      </c>
      <c r="H40" s="679">
        <v>306</v>
      </c>
      <c r="I40" s="679">
        <v>2406</v>
      </c>
      <c r="J40" s="679">
        <v>241</v>
      </c>
      <c r="K40" s="679">
        <v>596</v>
      </c>
      <c r="L40" s="679">
        <v>331</v>
      </c>
      <c r="M40" s="679">
        <v>683</v>
      </c>
      <c r="N40" s="685">
        <v>286</v>
      </c>
      <c r="O40" s="679">
        <v>602</v>
      </c>
      <c r="P40" s="679">
        <v>3193</v>
      </c>
      <c r="Q40" s="679">
        <v>679</v>
      </c>
      <c r="R40" s="679">
        <v>584</v>
      </c>
      <c r="S40" s="679">
        <v>745</v>
      </c>
      <c r="T40" s="679">
        <v>619</v>
      </c>
      <c r="U40" s="686">
        <v>199</v>
      </c>
      <c r="V40" s="679">
        <v>3155</v>
      </c>
      <c r="W40" s="679">
        <v>67</v>
      </c>
      <c r="X40" s="684">
        <v>530</v>
      </c>
      <c r="Y40" s="617">
        <v>16730</v>
      </c>
      <c r="Z40" s="680">
        <v>120850</v>
      </c>
    </row>
    <row r="41" spans="1:26" s="616" customFormat="1" ht="13.5" x14ac:dyDescent="0.2">
      <c r="A41" s="702"/>
      <c r="B41" s="683" t="s">
        <v>854</v>
      </c>
      <c r="C41" s="686">
        <v>272</v>
      </c>
      <c r="D41" s="679">
        <v>274</v>
      </c>
      <c r="E41" s="679">
        <v>883</v>
      </c>
      <c r="F41" s="693">
        <v>236</v>
      </c>
      <c r="G41" s="679">
        <v>4676</v>
      </c>
      <c r="H41" s="679">
        <v>596</v>
      </c>
      <c r="I41" s="679">
        <v>1853</v>
      </c>
      <c r="J41" s="679">
        <v>433</v>
      </c>
      <c r="K41" s="679">
        <v>535</v>
      </c>
      <c r="L41" s="679">
        <v>547</v>
      </c>
      <c r="M41" s="679">
        <v>200</v>
      </c>
      <c r="N41" s="685">
        <v>257</v>
      </c>
      <c r="O41" s="679">
        <v>225</v>
      </c>
      <c r="P41" s="679">
        <v>303</v>
      </c>
      <c r="Q41" s="679">
        <v>701</v>
      </c>
      <c r="R41" s="679">
        <v>2137</v>
      </c>
      <c r="S41" s="679">
        <v>336</v>
      </c>
      <c r="T41" s="679">
        <v>195</v>
      </c>
      <c r="U41" s="686">
        <v>139</v>
      </c>
      <c r="V41" s="679">
        <v>662</v>
      </c>
      <c r="W41" s="679">
        <v>92</v>
      </c>
      <c r="X41" s="684">
        <v>156</v>
      </c>
      <c r="Y41" s="617">
        <v>14870</v>
      </c>
      <c r="Z41" s="680">
        <v>96070</v>
      </c>
    </row>
    <row r="42" spans="1:26" s="616" customFormat="1" ht="13.5" x14ac:dyDescent="0.2">
      <c r="A42" s="702"/>
      <c r="B42" s="683" t="s">
        <v>855</v>
      </c>
      <c r="C42" s="686">
        <v>154</v>
      </c>
      <c r="D42" s="679">
        <v>325</v>
      </c>
      <c r="E42" s="679">
        <v>1599</v>
      </c>
      <c r="F42" s="693">
        <v>249</v>
      </c>
      <c r="G42" s="679">
        <v>2712</v>
      </c>
      <c r="H42" s="679">
        <v>354</v>
      </c>
      <c r="I42" s="679">
        <v>2541</v>
      </c>
      <c r="J42" s="679">
        <v>535</v>
      </c>
      <c r="K42" s="679">
        <v>358</v>
      </c>
      <c r="L42" s="679">
        <v>695</v>
      </c>
      <c r="M42" s="679">
        <v>104</v>
      </c>
      <c r="N42" s="685">
        <v>197</v>
      </c>
      <c r="O42" s="679">
        <v>206</v>
      </c>
      <c r="P42" s="679">
        <v>368</v>
      </c>
      <c r="Q42" s="679">
        <v>292</v>
      </c>
      <c r="R42" s="679">
        <v>1588</v>
      </c>
      <c r="S42" s="679">
        <v>252</v>
      </c>
      <c r="T42" s="679">
        <v>121</v>
      </c>
      <c r="U42" s="686">
        <v>135</v>
      </c>
      <c r="V42" s="679">
        <v>564</v>
      </c>
      <c r="W42" s="679">
        <v>136</v>
      </c>
      <c r="X42" s="684">
        <v>117</v>
      </c>
      <c r="Y42" s="617">
        <v>12860</v>
      </c>
      <c r="Z42" s="680">
        <v>82440</v>
      </c>
    </row>
    <row r="43" spans="1:26" s="616" customFormat="1" ht="13.5" x14ac:dyDescent="0.2">
      <c r="A43" s="702"/>
      <c r="B43" s="683" t="s">
        <v>856</v>
      </c>
      <c r="C43" s="686">
        <v>129</v>
      </c>
      <c r="D43" s="679">
        <v>692</v>
      </c>
      <c r="E43" s="679">
        <v>1084</v>
      </c>
      <c r="F43" s="693">
        <v>537</v>
      </c>
      <c r="G43" s="679">
        <v>2633</v>
      </c>
      <c r="H43" s="679">
        <v>337</v>
      </c>
      <c r="I43" s="679">
        <v>7197</v>
      </c>
      <c r="J43" s="679">
        <v>1579</v>
      </c>
      <c r="K43" s="679">
        <v>430</v>
      </c>
      <c r="L43" s="679">
        <v>1245</v>
      </c>
      <c r="M43" s="679">
        <v>341</v>
      </c>
      <c r="N43" s="685">
        <v>263</v>
      </c>
      <c r="O43" s="679">
        <v>729</v>
      </c>
      <c r="P43" s="679">
        <v>339</v>
      </c>
      <c r="Q43" s="694">
        <v>259</v>
      </c>
      <c r="R43" s="679">
        <v>2350</v>
      </c>
      <c r="S43" s="679">
        <v>391</v>
      </c>
      <c r="T43" s="679">
        <v>129</v>
      </c>
      <c r="U43" s="686">
        <v>159</v>
      </c>
      <c r="V43" s="679">
        <v>594</v>
      </c>
      <c r="W43" s="679">
        <v>296</v>
      </c>
      <c r="X43" s="684">
        <v>65</v>
      </c>
      <c r="Y43" s="617">
        <v>20920</v>
      </c>
      <c r="Z43" s="680">
        <v>149550</v>
      </c>
    </row>
    <row r="44" spans="1:26" s="616" customFormat="1" ht="13.5" x14ac:dyDescent="0.2">
      <c r="A44" s="702"/>
      <c r="B44" s="683" t="s">
        <v>394</v>
      </c>
      <c r="C44" s="686">
        <v>9</v>
      </c>
      <c r="D44" s="679">
        <v>1299</v>
      </c>
      <c r="E44" s="679">
        <v>1060</v>
      </c>
      <c r="F44" s="693">
        <v>1297</v>
      </c>
      <c r="G44" s="679">
        <v>3521</v>
      </c>
      <c r="H44" s="679">
        <v>391</v>
      </c>
      <c r="I44" s="679">
        <v>1805</v>
      </c>
      <c r="J44" s="679">
        <v>911</v>
      </c>
      <c r="K44" s="679">
        <v>81</v>
      </c>
      <c r="L44" s="679">
        <v>949</v>
      </c>
      <c r="M44" s="679">
        <v>125</v>
      </c>
      <c r="N44" s="685">
        <v>194</v>
      </c>
      <c r="O44" s="679">
        <v>117</v>
      </c>
      <c r="P44" s="679">
        <v>321</v>
      </c>
      <c r="Q44" s="694">
        <v>178</v>
      </c>
      <c r="R44" s="679">
        <v>2334</v>
      </c>
      <c r="S44" s="679">
        <v>925</v>
      </c>
      <c r="T44" s="679">
        <v>424</v>
      </c>
      <c r="U44" s="686">
        <v>255</v>
      </c>
      <c r="V44" s="679">
        <v>210</v>
      </c>
      <c r="W44" s="679">
        <v>188</v>
      </c>
      <c r="X44" s="684">
        <v>9</v>
      </c>
      <c r="Y44" s="617">
        <v>15020</v>
      </c>
      <c r="Z44" s="680">
        <v>101900</v>
      </c>
    </row>
    <row r="45" spans="1:26" s="616" customFormat="1" ht="13.5" x14ac:dyDescent="0.2">
      <c r="A45" s="702">
        <v>15</v>
      </c>
      <c r="B45" s="690" t="s">
        <v>395</v>
      </c>
      <c r="C45" s="893"/>
      <c r="D45" s="889"/>
      <c r="E45" s="889"/>
      <c r="F45" s="889"/>
      <c r="G45" s="889"/>
      <c r="H45" s="889"/>
      <c r="I45" s="889"/>
      <c r="J45" s="889"/>
      <c r="K45" s="889"/>
      <c r="L45" s="889"/>
      <c r="M45" s="889"/>
      <c r="N45" s="892"/>
      <c r="O45" s="889"/>
      <c r="P45" s="889"/>
      <c r="Q45" s="889"/>
      <c r="R45" s="889"/>
      <c r="S45" s="889"/>
      <c r="T45" s="889"/>
      <c r="U45" s="893"/>
      <c r="V45" s="889"/>
      <c r="W45" s="889"/>
      <c r="X45" s="891"/>
      <c r="Y45" s="895"/>
      <c r="Z45" s="890"/>
    </row>
    <row r="46" spans="1:26" s="616" customFormat="1" ht="13.5" x14ac:dyDescent="0.2">
      <c r="A46" s="702">
        <v>16</v>
      </c>
      <c r="B46" s="690" t="s">
        <v>396</v>
      </c>
      <c r="C46" s="893"/>
      <c r="D46" s="889"/>
      <c r="E46" s="889"/>
      <c r="F46" s="889"/>
      <c r="G46" s="889"/>
      <c r="H46" s="889"/>
      <c r="I46" s="889"/>
      <c r="J46" s="889"/>
      <c r="K46" s="889"/>
      <c r="L46" s="889"/>
      <c r="M46" s="889"/>
      <c r="N46" s="892"/>
      <c r="O46" s="889"/>
      <c r="P46" s="889"/>
      <c r="Q46" s="889"/>
      <c r="R46" s="889"/>
      <c r="S46" s="889"/>
      <c r="T46" s="889"/>
      <c r="U46" s="893"/>
      <c r="V46" s="889"/>
      <c r="W46" s="889"/>
      <c r="X46" s="891"/>
      <c r="Y46" s="895"/>
      <c r="Z46" s="890"/>
    </row>
    <row r="47" spans="1:26" s="616" customFormat="1" ht="13.5" x14ac:dyDescent="0.2">
      <c r="A47" s="702">
        <v>17</v>
      </c>
      <c r="B47" s="690" t="s">
        <v>397</v>
      </c>
      <c r="C47" s="691">
        <v>748</v>
      </c>
      <c r="D47" s="679">
        <v>2475</v>
      </c>
      <c r="E47" s="679">
        <v>2703</v>
      </c>
      <c r="F47" s="679">
        <v>3351</v>
      </c>
      <c r="G47" s="679">
        <v>7818</v>
      </c>
      <c r="H47" s="679">
        <v>1092</v>
      </c>
      <c r="I47" s="679">
        <v>9182</v>
      </c>
      <c r="J47" s="679">
        <v>2544</v>
      </c>
      <c r="K47" s="679">
        <v>1584</v>
      </c>
      <c r="L47" s="679">
        <v>3917</v>
      </c>
      <c r="M47" s="679">
        <v>1436</v>
      </c>
      <c r="N47" s="692">
        <v>1394</v>
      </c>
      <c r="O47" s="679">
        <v>1450</v>
      </c>
      <c r="P47" s="679">
        <v>4264</v>
      </c>
      <c r="Q47" s="679">
        <v>1347</v>
      </c>
      <c r="R47" s="679">
        <v>5735</v>
      </c>
      <c r="S47" s="679">
        <v>1879</v>
      </c>
      <c r="T47" s="679">
        <v>1555</v>
      </c>
      <c r="U47" s="691">
        <v>955</v>
      </c>
      <c r="V47" s="679">
        <v>4766</v>
      </c>
      <c r="W47" s="679">
        <v>841</v>
      </c>
      <c r="X47" s="684">
        <v>523</v>
      </c>
      <c r="Y47" s="617">
        <v>53900</v>
      </c>
      <c r="Z47" s="680">
        <v>391000</v>
      </c>
    </row>
    <row r="48" spans="1:26" s="616" customFormat="1" ht="13.5" x14ac:dyDescent="0.2">
      <c r="A48" s="702">
        <v>18</v>
      </c>
      <c r="B48" s="690" t="s">
        <v>398</v>
      </c>
      <c r="C48" s="691">
        <v>421</v>
      </c>
      <c r="D48" s="679">
        <v>1038</v>
      </c>
      <c r="E48" s="679">
        <v>1758</v>
      </c>
      <c r="F48" s="679">
        <v>995</v>
      </c>
      <c r="G48" s="679">
        <v>4623</v>
      </c>
      <c r="H48" s="679">
        <v>730</v>
      </c>
      <c r="I48" s="679">
        <v>4367</v>
      </c>
      <c r="J48" s="679">
        <v>1514</v>
      </c>
      <c r="K48" s="679">
        <v>557</v>
      </c>
      <c r="L48" s="679">
        <v>1577</v>
      </c>
      <c r="M48" s="679">
        <v>1079</v>
      </c>
      <c r="N48" s="692">
        <v>579</v>
      </c>
      <c r="O48" s="679">
        <v>939</v>
      </c>
      <c r="P48" s="679">
        <v>2041</v>
      </c>
      <c r="Q48" s="679">
        <v>2120</v>
      </c>
      <c r="R48" s="679">
        <v>3248</v>
      </c>
      <c r="S48" s="679">
        <v>581</v>
      </c>
      <c r="T48" s="679">
        <v>689</v>
      </c>
      <c r="U48" s="691">
        <v>496</v>
      </c>
      <c r="V48" s="679">
        <v>1978</v>
      </c>
      <c r="W48" s="679">
        <v>325</v>
      </c>
      <c r="X48" s="684">
        <v>253</v>
      </c>
      <c r="Y48" s="617">
        <v>28600</v>
      </c>
      <c r="Z48" s="680">
        <v>160150</v>
      </c>
    </row>
    <row r="49" spans="1:26" s="616" customFormat="1" ht="13.5" x14ac:dyDescent="0.2">
      <c r="A49" s="702" t="s">
        <v>313</v>
      </c>
      <c r="B49" s="690" t="s">
        <v>399</v>
      </c>
      <c r="C49" s="691">
        <v>163</v>
      </c>
      <c r="D49" s="679">
        <v>472</v>
      </c>
      <c r="E49" s="679">
        <v>511</v>
      </c>
      <c r="F49" s="679">
        <v>625</v>
      </c>
      <c r="G49" s="679">
        <v>2114</v>
      </c>
      <c r="H49" s="679">
        <v>329</v>
      </c>
      <c r="I49" s="679">
        <v>1798</v>
      </c>
      <c r="J49" s="679">
        <v>606</v>
      </c>
      <c r="K49" s="679">
        <v>118</v>
      </c>
      <c r="L49" s="679">
        <v>721</v>
      </c>
      <c r="M49" s="679">
        <v>287</v>
      </c>
      <c r="N49" s="692">
        <v>301</v>
      </c>
      <c r="O49" s="679">
        <v>382</v>
      </c>
      <c r="P49" s="679">
        <v>707</v>
      </c>
      <c r="Q49" s="679">
        <v>495</v>
      </c>
      <c r="R49" s="679">
        <v>1222</v>
      </c>
      <c r="S49" s="679">
        <v>309</v>
      </c>
      <c r="T49" s="679">
        <v>299</v>
      </c>
      <c r="U49" s="691">
        <v>207</v>
      </c>
      <c r="V49" s="679">
        <v>869</v>
      </c>
      <c r="W49" s="679">
        <v>93</v>
      </c>
      <c r="X49" s="684">
        <v>69</v>
      </c>
      <c r="Y49" s="617">
        <v>11380</v>
      </c>
      <c r="Z49" s="680">
        <v>71410</v>
      </c>
    </row>
    <row r="50" spans="1:26" s="616" customFormat="1" ht="13.5" x14ac:dyDescent="0.2">
      <c r="A50" s="702" t="s">
        <v>315</v>
      </c>
      <c r="B50" s="690" t="s">
        <v>400</v>
      </c>
      <c r="C50" s="691">
        <v>92</v>
      </c>
      <c r="D50" s="679">
        <v>283</v>
      </c>
      <c r="E50" s="679">
        <v>221</v>
      </c>
      <c r="F50" s="695">
        <v>425</v>
      </c>
      <c r="G50" s="679">
        <v>1456</v>
      </c>
      <c r="H50" s="679">
        <v>212</v>
      </c>
      <c r="I50" s="679">
        <v>1410</v>
      </c>
      <c r="J50" s="679">
        <v>358</v>
      </c>
      <c r="K50" s="679">
        <v>115</v>
      </c>
      <c r="L50" s="679">
        <v>539</v>
      </c>
      <c r="M50" s="679">
        <v>194</v>
      </c>
      <c r="N50" s="692">
        <v>257</v>
      </c>
      <c r="O50" s="679">
        <v>305</v>
      </c>
      <c r="P50" s="679">
        <v>637</v>
      </c>
      <c r="Q50" s="679">
        <v>351</v>
      </c>
      <c r="R50" s="679">
        <v>653</v>
      </c>
      <c r="S50" s="679">
        <v>215</v>
      </c>
      <c r="T50" s="679">
        <v>137</v>
      </c>
      <c r="U50" s="691">
        <v>178</v>
      </c>
      <c r="V50" s="679">
        <v>510</v>
      </c>
      <c r="W50" s="679">
        <v>73</v>
      </c>
      <c r="X50" s="684">
        <v>63</v>
      </c>
      <c r="Y50" s="617">
        <v>7690</v>
      </c>
      <c r="Z50" s="680">
        <v>53370</v>
      </c>
    </row>
    <row r="51" spans="1:26" s="616" customFormat="1" ht="13.5" x14ac:dyDescent="0.2">
      <c r="A51" s="702" t="s">
        <v>317</v>
      </c>
      <c r="B51" s="690" t="s">
        <v>401</v>
      </c>
      <c r="C51" s="691">
        <v>122</v>
      </c>
      <c r="D51" s="679">
        <v>309</v>
      </c>
      <c r="E51" s="679">
        <v>332</v>
      </c>
      <c r="F51" s="679">
        <v>469</v>
      </c>
      <c r="G51" s="679">
        <v>1354</v>
      </c>
      <c r="H51" s="679">
        <v>254</v>
      </c>
      <c r="I51" s="679">
        <v>1242</v>
      </c>
      <c r="J51" s="679">
        <v>475</v>
      </c>
      <c r="K51" s="679">
        <v>57</v>
      </c>
      <c r="L51" s="679">
        <v>569</v>
      </c>
      <c r="M51" s="679">
        <v>232</v>
      </c>
      <c r="N51" s="692">
        <v>204</v>
      </c>
      <c r="O51" s="679">
        <v>112</v>
      </c>
      <c r="P51" s="679">
        <v>522</v>
      </c>
      <c r="Q51" s="679">
        <v>324</v>
      </c>
      <c r="R51" s="679">
        <v>995</v>
      </c>
      <c r="S51" s="679">
        <v>213</v>
      </c>
      <c r="T51" s="679">
        <v>151</v>
      </c>
      <c r="U51" s="691">
        <v>126</v>
      </c>
      <c r="V51" s="679">
        <v>502</v>
      </c>
      <c r="W51" s="679">
        <v>64</v>
      </c>
      <c r="X51" s="684">
        <v>48</v>
      </c>
      <c r="Y51" s="614">
        <v>7800</v>
      </c>
      <c r="Z51" s="680">
        <v>49700</v>
      </c>
    </row>
    <row r="52" spans="1:26" s="616" customFormat="1" ht="13.5" x14ac:dyDescent="0.2">
      <c r="A52" s="702" t="s">
        <v>319</v>
      </c>
      <c r="B52" s="690" t="s">
        <v>402</v>
      </c>
      <c r="C52" s="691">
        <v>104</v>
      </c>
      <c r="D52" s="679">
        <v>208</v>
      </c>
      <c r="E52" s="679">
        <v>217</v>
      </c>
      <c r="F52" s="679">
        <v>381</v>
      </c>
      <c r="G52" s="679">
        <v>948</v>
      </c>
      <c r="H52" s="679">
        <v>196</v>
      </c>
      <c r="I52" s="679">
        <v>827</v>
      </c>
      <c r="J52" s="679">
        <v>351</v>
      </c>
      <c r="K52" s="679">
        <v>34</v>
      </c>
      <c r="L52" s="679">
        <v>418</v>
      </c>
      <c r="M52" s="679">
        <v>166</v>
      </c>
      <c r="N52" s="692">
        <v>134</v>
      </c>
      <c r="O52" s="679">
        <v>75</v>
      </c>
      <c r="P52" s="679">
        <v>331</v>
      </c>
      <c r="Q52" s="679">
        <v>206</v>
      </c>
      <c r="R52" s="679">
        <v>712</v>
      </c>
      <c r="S52" s="679">
        <v>151</v>
      </c>
      <c r="T52" s="679">
        <v>95</v>
      </c>
      <c r="U52" s="691">
        <v>95</v>
      </c>
      <c r="V52" s="679">
        <v>353</v>
      </c>
      <c r="W52" s="679">
        <v>51</v>
      </c>
      <c r="X52" s="684">
        <v>34</v>
      </c>
      <c r="Y52" s="617">
        <v>5500</v>
      </c>
      <c r="Z52" s="680">
        <v>34600</v>
      </c>
    </row>
    <row r="53" spans="1:26" s="616" customFormat="1" ht="13.5" x14ac:dyDescent="0.2">
      <c r="A53" s="702" t="s">
        <v>321</v>
      </c>
      <c r="B53" s="690" t="s">
        <v>403</v>
      </c>
      <c r="C53" s="691">
        <v>104</v>
      </c>
      <c r="D53" s="679">
        <v>208</v>
      </c>
      <c r="E53" s="679">
        <v>171</v>
      </c>
      <c r="F53" s="695">
        <v>378</v>
      </c>
      <c r="G53" s="679">
        <v>818</v>
      </c>
      <c r="H53" s="679">
        <v>174</v>
      </c>
      <c r="I53" s="679">
        <v>822</v>
      </c>
      <c r="J53" s="679">
        <v>338</v>
      </c>
      <c r="K53" s="679">
        <v>34</v>
      </c>
      <c r="L53" s="679">
        <v>399</v>
      </c>
      <c r="M53" s="679">
        <v>165</v>
      </c>
      <c r="N53" s="692">
        <v>132</v>
      </c>
      <c r="O53" s="679">
        <v>61</v>
      </c>
      <c r="P53" s="679">
        <v>331</v>
      </c>
      <c r="Q53" s="679">
        <v>151</v>
      </c>
      <c r="R53" s="679">
        <v>606</v>
      </c>
      <c r="S53" s="679">
        <v>141</v>
      </c>
      <c r="T53" s="679">
        <v>92</v>
      </c>
      <c r="U53" s="691">
        <v>95</v>
      </c>
      <c r="V53" s="679">
        <v>346</v>
      </c>
      <c r="W53" s="679">
        <v>50</v>
      </c>
      <c r="X53" s="684">
        <v>34</v>
      </c>
      <c r="Y53" s="617">
        <v>5100</v>
      </c>
      <c r="Z53" s="680">
        <v>32600</v>
      </c>
    </row>
    <row r="54" spans="1:26" s="616" customFormat="1" ht="13.5" x14ac:dyDescent="0.2">
      <c r="A54" s="677"/>
      <c r="B54" s="696" t="s">
        <v>700</v>
      </c>
      <c r="C54" s="887"/>
      <c r="D54" s="882"/>
      <c r="E54" s="882"/>
      <c r="F54" s="882"/>
      <c r="G54" s="882"/>
      <c r="H54" s="882"/>
      <c r="I54" s="882"/>
      <c r="J54" s="882"/>
      <c r="K54" s="882"/>
      <c r="L54" s="882"/>
      <c r="M54" s="882"/>
      <c r="N54" s="886"/>
      <c r="O54" s="882"/>
      <c r="P54" s="882"/>
      <c r="Q54" s="882"/>
      <c r="R54" s="882"/>
      <c r="S54" s="882"/>
      <c r="T54" s="882"/>
      <c r="U54" s="887"/>
      <c r="V54" s="882"/>
      <c r="W54" s="882"/>
      <c r="X54" s="885"/>
      <c r="Y54" s="896"/>
      <c r="Z54" s="883"/>
    </row>
    <row r="55" spans="1:26" s="616" customFormat="1" ht="13.5" x14ac:dyDescent="0.2">
      <c r="A55" s="702" t="s">
        <v>323</v>
      </c>
      <c r="B55" s="690" t="s">
        <v>404</v>
      </c>
      <c r="C55" s="691">
        <v>130</v>
      </c>
      <c r="D55" s="679">
        <v>349</v>
      </c>
      <c r="E55" s="679">
        <v>354</v>
      </c>
      <c r="F55" s="679">
        <v>686</v>
      </c>
      <c r="G55" s="679">
        <v>1586</v>
      </c>
      <c r="H55" s="679">
        <v>194</v>
      </c>
      <c r="I55" s="679">
        <v>1562</v>
      </c>
      <c r="J55" s="679">
        <v>422</v>
      </c>
      <c r="K55" s="679">
        <v>73</v>
      </c>
      <c r="L55" s="679">
        <v>569</v>
      </c>
      <c r="M55" s="679">
        <v>256</v>
      </c>
      <c r="N55" s="692">
        <v>202</v>
      </c>
      <c r="O55" s="679">
        <v>193</v>
      </c>
      <c r="P55" s="679">
        <v>511</v>
      </c>
      <c r="Q55" s="679">
        <v>171</v>
      </c>
      <c r="R55" s="679">
        <v>996</v>
      </c>
      <c r="S55" s="679">
        <v>263</v>
      </c>
      <c r="T55" s="679">
        <v>252</v>
      </c>
      <c r="U55" s="691">
        <v>156</v>
      </c>
      <c r="V55" s="679">
        <v>736</v>
      </c>
      <c r="W55" s="679">
        <v>114</v>
      </c>
      <c r="X55" s="684">
        <v>108</v>
      </c>
      <c r="Y55" s="617">
        <v>8860</v>
      </c>
      <c r="Z55" s="680">
        <v>60400</v>
      </c>
    </row>
    <row r="56" spans="1:26" s="616" customFormat="1" ht="13.5" x14ac:dyDescent="0.2">
      <c r="A56" s="702" t="s">
        <v>325</v>
      </c>
      <c r="B56" s="690" t="s">
        <v>405</v>
      </c>
      <c r="C56" s="691">
        <v>7</v>
      </c>
      <c r="D56" s="679">
        <v>10</v>
      </c>
      <c r="E56" s="679">
        <v>10</v>
      </c>
      <c r="F56" s="679">
        <v>73</v>
      </c>
      <c r="G56" s="679">
        <v>43</v>
      </c>
      <c r="H56" s="679">
        <v>7</v>
      </c>
      <c r="I56" s="679">
        <v>34</v>
      </c>
      <c r="J56" s="679">
        <v>22</v>
      </c>
      <c r="K56" s="679">
        <v>0</v>
      </c>
      <c r="L56" s="679">
        <v>36</v>
      </c>
      <c r="M56" s="679">
        <v>23</v>
      </c>
      <c r="N56" s="692">
        <v>14</v>
      </c>
      <c r="O56" s="679" t="s">
        <v>73</v>
      </c>
      <c r="P56" s="679">
        <v>17</v>
      </c>
      <c r="Q56" s="679">
        <v>0</v>
      </c>
      <c r="R56" s="679">
        <v>65</v>
      </c>
      <c r="S56" s="679" t="s">
        <v>73</v>
      </c>
      <c r="T56" s="679">
        <v>7</v>
      </c>
      <c r="U56" s="691" t="s">
        <v>73</v>
      </c>
      <c r="V56" s="679">
        <v>17</v>
      </c>
      <c r="W56" s="679" t="s">
        <v>73</v>
      </c>
      <c r="X56" s="684" t="s">
        <v>73</v>
      </c>
      <c r="Y56" s="617">
        <v>380</v>
      </c>
      <c r="Z56" s="680">
        <v>2250</v>
      </c>
    </row>
    <row r="57" spans="1:26" s="616" customFormat="1" ht="13.5" x14ac:dyDescent="0.2">
      <c r="A57" s="702" t="s">
        <v>327</v>
      </c>
      <c r="B57" s="690" t="s">
        <v>406</v>
      </c>
      <c r="C57" s="691">
        <v>144</v>
      </c>
      <c r="D57" s="679">
        <v>371</v>
      </c>
      <c r="E57" s="679">
        <v>446</v>
      </c>
      <c r="F57" s="679">
        <v>538</v>
      </c>
      <c r="G57" s="679">
        <v>1838</v>
      </c>
      <c r="H57" s="679">
        <v>285</v>
      </c>
      <c r="I57" s="679">
        <v>1624</v>
      </c>
      <c r="J57" s="679">
        <v>539</v>
      </c>
      <c r="K57" s="679">
        <v>97</v>
      </c>
      <c r="L57" s="679">
        <v>634</v>
      </c>
      <c r="M57" s="679">
        <v>258</v>
      </c>
      <c r="N57" s="692">
        <v>252</v>
      </c>
      <c r="O57" s="679">
        <v>173</v>
      </c>
      <c r="P57" s="679">
        <v>622</v>
      </c>
      <c r="Q57" s="679">
        <v>495</v>
      </c>
      <c r="R57" s="679">
        <v>1064</v>
      </c>
      <c r="S57" s="679">
        <v>266</v>
      </c>
      <c r="T57" s="679">
        <v>233</v>
      </c>
      <c r="U57" s="691">
        <v>171</v>
      </c>
      <c r="V57" s="679">
        <v>729</v>
      </c>
      <c r="W57" s="679">
        <v>89</v>
      </c>
      <c r="X57" s="684">
        <v>61</v>
      </c>
      <c r="Y57" s="617">
        <v>9810</v>
      </c>
      <c r="Z57" s="680">
        <v>62210</v>
      </c>
    </row>
    <row r="58" spans="1:26" s="616" customFormat="1" ht="13.5" x14ac:dyDescent="0.2">
      <c r="A58" s="702" t="s">
        <v>329</v>
      </c>
      <c r="B58" s="690" t="s">
        <v>407</v>
      </c>
      <c r="C58" s="691">
        <v>20</v>
      </c>
      <c r="D58" s="679">
        <v>81</v>
      </c>
      <c r="E58" s="679">
        <v>75</v>
      </c>
      <c r="F58" s="679">
        <v>110</v>
      </c>
      <c r="G58" s="679">
        <v>300</v>
      </c>
      <c r="H58" s="679">
        <v>44</v>
      </c>
      <c r="I58" s="679">
        <v>299</v>
      </c>
      <c r="J58" s="679">
        <v>80</v>
      </c>
      <c r="K58" s="679">
        <v>8</v>
      </c>
      <c r="L58" s="679">
        <v>105</v>
      </c>
      <c r="M58" s="679">
        <v>47</v>
      </c>
      <c r="N58" s="692">
        <v>60</v>
      </c>
      <c r="O58" s="679">
        <v>25</v>
      </c>
      <c r="P58" s="679">
        <v>124</v>
      </c>
      <c r="Q58" s="679">
        <v>18</v>
      </c>
      <c r="R58" s="679">
        <v>181</v>
      </c>
      <c r="S58" s="679">
        <v>51</v>
      </c>
      <c r="T58" s="679">
        <v>39</v>
      </c>
      <c r="U58" s="691">
        <v>34</v>
      </c>
      <c r="V58" s="679">
        <v>166</v>
      </c>
      <c r="W58" s="679">
        <v>10</v>
      </c>
      <c r="X58" s="684">
        <v>10</v>
      </c>
      <c r="Y58" s="617">
        <v>1670</v>
      </c>
      <c r="Z58" s="680">
        <v>10310</v>
      </c>
    </row>
    <row r="59" spans="1:26" s="616" customFormat="1" ht="13.5" x14ac:dyDescent="0.2">
      <c r="A59" s="702" t="s">
        <v>331</v>
      </c>
      <c r="B59" s="690" t="s">
        <v>408</v>
      </c>
      <c r="C59" s="893"/>
      <c r="D59" s="889"/>
      <c r="E59" s="889"/>
      <c r="F59" s="889"/>
      <c r="G59" s="889"/>
      <c r="H59" s="889"/>
      <c r="I59" s="889"/>
      <c r="J59" s="889"/>
      <c r="K59" s="889"/>
      <c r="L59" s="889"/>
      <c r="M59" s="889"/>
      <c r="N59" s="892"/>
      <c r="O59" s="889"/>
      <c r="P59" s="889"/>
      <c r="Q59" s="889"/>
      <c r="R59" s="889"/>
      <c r="S59" s="889"/>
      <c r="T59" s="889"/>
      <c r="U59" s="893"/>
      <c r="V59" s="889"/>
      <c r="W59" s="889"/>
      <c r="X59" s="891"/>
      <c r="Y59" s="895"/>
      <c r="Z59" s="890"/>
    </row>
    <row r="60" spans="1:26" s="616" customFormat="1" ht="13.5" x14ac:dyDescent="0.2">
      <c r="A60" s="702" t="s">
        <v>333</v>
      </c>
      <c r="B60" s="690" t="s">
        <v>409</v>
      </c>
      <c r="C60" s="691">
        <v>104</v>
      </c>
      <c r="D60" s="679">
        <v>472</v>
      </c>
      <c r="E60" s="679">
        <v>435</v>
      </c>
      <c r="F60" s="679">
        <v>546</v>
      </c>
      <c r="G60" s="679">
        <v>1333</v>
      </c>
      <c r="H60" s="679">
        <v>202</v>
      </c>
      <c r="I60" s="679">
        <v>1867</v>
      </c>
      <c r="J60" s="679">
        <v>426</v>
      </c>
      <c r="K60" s="679">
        <v>339</v>
      </c>
      <c r="L60" s="679">
        <v>510</v>
      </c>
      <c r="M60" s="679">
        <v>320</v>
      </c>
      <c r="N60" s="692">
        <v>209</v>
      </c>
      <c r="O60" s="679">
        <v>196</v>
      </c>
      <c r="P60" s="679">
        <v>487</v>
      </c>
      <c r="Q60" s="679">
        <v>582</v>
      </c>
      <c r="R60" s="679">
        <v>779</v>
      </c>
      <c r="S60" s="679">
        <v>250</v>
      </c>
      <c r="T60" s="679">
        <v>306</v>
      </c>
      <c r="U60" s="691">
        <v>171</v>
      </c>
      <c r="V60" s="679">
        <v>644</v>
      </c>
      <c r="W60" s="679">
        <v>99</v>
      </c>
      <c r="X60" s="684">
        <v>75</v>
      </c>
      <c r="Y60" s="617">
        <v>9310</v>
      </c>
      <c r="Z60" s="680">
        <v>69470</v>
      </c>
    </row>
    <row r="61" spans="1:26" s="616" customFormat="1" ht="13.5" x14ac:dyDescent="0.2">
      <c r="A61" s="702" t="s">
        <v>335</v>
      </c>
      <c r="B61" s="690" t="s">
        <v>410</v>
      </c>
      <c r="C61" s="904">
        <f>SUM(C68:C71)</f>
        <v>75</v>
      </c>
      <c r="D61" s="904">
        <f t="shared" ref="D61:Z61" si="0">SUM(D68:D71)</f>
        <v>365</v>
      </c>
      <c r="E61" s="904">
        <f t="shared" si="0"/>
        <v>330</v>
      </c>
      <c r="F61" s="904">
        <f t="shared" si="0"/>
        <v>445</v>
      </c>
      <c r="G61" s="904">
        <f t="shared" si="0"/>
        <v>1060</v>
      </c>
      <c r="H61" s="904">
        <f t="shared" si="0"/>
        <v>155</v>
      </c>
      <c r="I61" s="904">
        <f t="shared" si="0"/>
        <v>1230</v>
      </c>
      <c r="J61" s="904">
        <f t="shared" si="0"/>
        <v>355</v>
      </c>
      <c r="K61" s="904">
        <f t="shared" si="0"/>
        <v>250</v>
      </c>
      <c r="L61" s="904">
        <f t="shared" si="0"/>
        <v>375</v>
      </c>
      <c r="M61" s="904">
        <f t="shared" si="0"/>
        <v>265</v>
      </c>
      <c r="N61" s="904">
        <f t="shared" si="0"/>
        <v>160</v>
      </c>
      <c r="O61" s="904">
        <f t="shared" si="0"/>
        <v>155</v>
      </c>
      <c r="P61" s="904">
        <f t="shared" si="0"/>
        <v>390</v>
      </c>
      <c r="Q61" s="904">
        <f t="shared" si="0"/>
        <v>515</v>
      </c>
      <c r="R61" s="904">
        <f t="shared" si="0"/>
        <v>560</v>
      </c>
      <c r="S61" s="904">
        <f t="shared" si="0"/>
        <v>175</v>
      </c>
      <c r="T61" s="904">
        <f t="shared" si="0"/>
        <v>245</v>
      </c>
      <c r="U61" s="904">
        <f t="shared" si="0"/>
        <v>125</v>
      </c>
      <c r="V61" s="904">
        <f t="shared" si="0"/>
        <v>450</v>
      </c>
      <c r="W61" s="904">
        <f t="shared" si="0"/>
        <v>70</v>
      </c>
      <c r="X61" s="904">
        <f t="shared" si="0"/>
        <v>55</v>
      </c>
      <c r="Y61" s="617">
        <f t="shared" si="0"/>
        <v>7020</v>
      </c>
      <c r="Z61" s="908">
        <f t="shared" si="0"/>
        <v>54280</v>
      </c>
    </row>
    <row r="62" spans="1:26" s="616" customFormat="1" ht="13.5" x14ac:dyDescent="0.2">
      <c r="A62" s="702" t="s">
        <v>337</v>
      </c>
      <c r="B62" s="690" t="s">
        <v>411</v>
      </c>
      <c r="C62" s="691"/>
      <c r="D62" s="679"/>
      <c r="E62" s="679"/>
      <c r="F62" s="679"/>
      <c r="G62" s="679"/>
      <c r="H62" s="679"/>
      <c r="I62" s="679"/>
      <c r="J62" s="679"/>
      <c r="K62" s="679"/>
      <c r="L62" s="679"/>
      <c r="M62" s="679"/>
      <c r="N62" s="692"/>
      <c r="O62" s="679"/>
      <c r="P62" s="679"/>
      <c r="Q62" s="679"/>
      <c r="R62" s="679"/>
      <c r="S62" s="679"/>
      <c r="T62" s="679"/>
      <c r="U62" s="691"/>
      <c r="V62" s="679"/>
      <c r="W62" s="679"/>
      <c r="X62" s="684"/>
      <c r="Y62" s="617"/>
      <c r="Z62" s="680"/>
    </row>
    <row r="63" spans="1:26" s="616" customFormat="1" ht="13.5" x14ac:dyDescent="0.2">
      <c r="A63" s="702" t="s">
        <v>339</v>
      </c>
      <c r="B63" s="697" t="s">
        <v>412</v>
      </c>
      <c r="C63" s="686"/>
      <c r="D63" s="679"/>
      <c r="E63" s="679"/>
      <c r="F63" s="679"/>
      <c r="G63" s="679"/>
      <c r="H63" s="679"/>
      <c r="I63" s="679"/>
      <c r="J63" s="679"/>
      <c r="K63" s="679"/>
      <c r="L63" s="679"/>
      <c r="M63" s="679"/>
      <c r="N63" s="692"/>
      <c r="O63" s="679"/>
      <c r="P63" s="679"/>
      <c r="Q63" s="679"/>
      <c r="R63" s="679"/>
      <c r="S63" s="679"/>
      <c r="T63" s="679"/>
      <c r="U63" s="691"/>
      <c r="V63" s="679"/>
      <c r="W63" s="679"/>
      <c r="X63" s="684"/>
      <c r="Y63" s="617"/>
      <c r="Z63" s="680"/>
    </row>
    <row r="64" spans="1:26" s="616" customFormat="1" ht="13.5" x14ac:dyDescent="0.2">
      <c r="A64" s="702">
        <v>24</v>
      </c>
      <c r="B64" s="697" t="s">
        <v>760</v>
      </c>
      <c r="C64" s="691" t="s">
        <v>73</v>
      </c>
      <c r="D64" s="679">
        <v>10</v>
      </c>
      <c r="E64" s="679">
        <v>18</v>
      </c>
      <c r="F64" s="679">
        <v>6</v>
      </c>
      <c r="G64" s="679">
        <v>20</v>
      </c>
      <c r="H64" s="679">
        <v>0</v>
      </c>
      <c r="I64" s="679">
        <v>367</v>
      </c>
      <c r="J64" s="679" t="s">
        <v>73</v>
      </c>
      <c r="K64" s="679">
        <v>25</v>
      </c>
      <c r="L64" s="679">
        <v>42</v>
      </c>
      <c r="M64" s="679">
        <v>9</v>
      </c>
      <c r="N64" s="692" t="s">
        <v>73</v>
      </c>
      <c r="O64" s="679">
        <v>10</v>
      </c>
      <c r="P64" s="679" t="s">
        <v>73</v>
      </c>
      <c r="Q64" s="679">
        <v>6</v>
      </c>
      <c r="R64" s="679">
        <v>100</v>
      </c>
      <c r="S64" s="679" t="s">
        <v>73</v>
      </c>
      <c r="T64" s="679">
        <v>0</v>
      </c>
      <c r="U64" s="691">
        <v>10</v>
      </c>
      <c r="V64" s="679">
        <v>36</v>
      </c>
      <c r="W64" s="679">
        <v>9</v>
      </c>
      <c r="X64" s="684" t="s">
        <v>73</v>
      </c>
      <c r="Y64" s="617">
        <v>680</v>
      </c>
      <c r="Z64" s="907">
        <v>2760</v>
      </c>
    </row>
    <row r="65" spans="1:26" s="616" customFormat="1" ht="13.5" x14ac:dyDescent="0.2">
      <c r="A65" s="701"/>
      <c r="B65" s="697" t="s">
        <v>696</v>
      </c>
      <c r="C65" s="691"/>
      <c r="D65" s="679"/>
      <c r="E65" s="679"/>
      <c r="F65" s="679"/>
      <c r="G65" s="679"/>
      <c r="H65" s="679"/>
      <c r="I65" s="679"/>
      <c r="J65" s="679"/>
      <c r="K65" s="679"/>
      <c r="L65" s="679"/>
      <c r="M65" s="679"/>
      <c r="N65" s="692"/>
      <c r="O65" s="679"/>
      <c r="P65" s="679"/>
      <c r="Q65" s="679"/>
      <c r="R65" s="679"/>
      <c r="S65" s="679"/>
      <c r="T65" s="679"/>
      <c r="U65" s="691"/>
      <c r="V65" s="679"/>
      <c r="W65" s="679"/>
      <c r="X65" s="684"/>
      <c r="Y65" s="617"/>
      <c r="Z65" s="680"/>
    </row>
    <row r="66" spans="1:26" s="616" customFormat="1" ht="13.5" x14ac:dyDescent="0.2">
      <c r="A66" s="701"/>
      <c r="B66" s="697" t="s">
        <v>751</v>
      </c>
      <c r="C66" s="893"/>
      <c r="D66" s="889"/>
      <c r="E66" s="889"/>
      <c r="F66" s="889"/>
      <c r="G66" s="889"/>
      <c r="H66" s="889"/>
      <c r="I66" s="889"/>
      <c r="J66" s="889"/>
      <c r="K66" s="889"/>
      <c r="L66" s="889"/>
      <c r="M66" s="889"/>
      <c r="N66" s="892"/>
      <c r="O66" s="889"/>
      <c r="P66" s="889"/>
      <c r="Q66" s="889"/>
      <c r="R66" s="889"/>
      <c r="S66" s="889"/>
      <c r="T66" s="889"/>
      <c r="U66" s="893"/>
      <c r="V66" s="889"/>
      <c r="W66" s="889"/>
      <c r="X66" s="891"/>
      <c r="Y66" s="895"/>
      <c r="Z66" s="890"/>
    </row>
    <row r="67" spans="1:26" s="616" customFormat="1" ht="13.5" x14ac:dyDescent="0.2">
      <c r="A67" s="701"/>
      <c r="B67" s="697" t="s">
        <v>752</v>
      </c>
      <c r="C67" s="893"/>
      <c r="D67" s="889"/>
      <c r="E67" s="889"/>
      <c r="F67" s="889"/>
      <c r="G67" s="889"/>
      <c r="H67" s="889"/>
      <c r="I67" s="889"/>
      <c r="J67" s="889"/>
      <c r="K67" s="889"/>
      <c r="L67" s="889"/>
      <c r="M67" s="889"/>
      <c r="N67" s="892"/>
      <c r="O67" s="889"/>
      <c r="P67" s="889"/>
      <c r="Q67" s="889"/>
      <c r="R67" s="889"/>
      <c r="S67" s="889"/>
      <c r="T67" s="889"/>
      <c r="U67" s="893"/>
      <c r="V67" s="889"/>
      <c r="W67" s="889"/>
      <c r="X67" s="891"/>
      <c r="Y67" s="895"/>
      <c r="Z67" s="890"/>
    </row>
    <row r="68" spans="1:26" s="616" customFormat="1" ht="13.5" x14ac:dyDescent="0.2">
      <c r="A68" s="701"/>
      <c r="B68" s="697" t="s">
        <v>768</v>
      </c>
      <c r="C68" s="691" t="s">
        <v>73</v>
      </c>
      <c r="D68" s="679">
        <v>35</v>
      </c>
      <c r="E68" s="679">
        <v>20</v>
      </c>
      <c r="F68" s="679">
        <v>25</v>
      </c>
      <c r="G68" s="679">
        <v>70</v>
      </c>
      <c r="H68" s="679">
        <v>10</v>
      </c>
      <c r="I68" s="679">
        <v>75</v>
      </c>
      <c r="J68" s="679">
        <v>30</v>
      </c>
      <c r="K68" s="679">
        <v>15</v>
      </c>
      <c r="L68" s="679">
        <v>30</v>
      </c>
      <c r="M68" s="679">
        <v>25</v>
      </c>
      <c r="N68" s="692">
        <v>15</v>
      </c>
      <c r="O68" s="679">
        <v>15</v>
      </c>
      <c r="P68" s="679">
        <v>30</v>
      </c>
      <c r="Q68" s="679">
        <v>35</v>
      </c>
      <c r="R68" s="679">
        <v>30</v>
      </c>
      <c r="S68" s="679">
        <v>10</v>
      </c>
      <c r="T68" s="679">
        <v>20</v>
      </c>
      <c r="U68" s="691">
        <v>5</v>
      </c>
      <c r="V68" s="679">
        <v>40</v>
      </c>
      <c r="W68" s="679" t="s">
        <v>73</v>
      </c>
      <c r="X68" s="684" t="s">
        <v>73</v>
      </c>
      <c r="Y68" s="617">
        <v>490</v>
      </c>
      <c r="Z68" s="680">
        <v>3710</v>
      </c>
    </row>
    <row r="69" spans="1:26" s="616" customFormat="1" ht="13.5" x14ac:dyDescent="0.2">
      <c r="A69" s="701"/>
      <c r="B69" s="697" t="s">
        <v>769</v>
      </c>
      <c r="C69" s="691">
        <v>15</v>
      </c>
      <c r="D69" s="679">
        <v>55</v>
      </c>
      <c r="E69" s="679">
        <v>65</v>
      </c>
      <c r="F69" s="679">
        <v>75</v>
      </c>
      <c r="G69" s="679">
        <v>195</v>
      </c>
      <c r="H69" s="679">
        <v>35</v>
      </c>
      <c r="I69" s="679">
        <v>130</v>
      </c>
      <c r="J69" s="679">
        <v>75</v>
      </c>
      <c r="K69" s="679">
        <v>40</v>
      </c>
      <c r="L69" s="679">
        <v>65</v>
      </c>
      <c r="M69" s="679">
        <v>60</v>
      </c>
      <c r="N69" s="692">
        <v>25</v>
      </c>
      <c r="O69" s="679">
        <v>30</v>
      </c>
      <c r="P69" s="679">
        <v>75</v>
      </c>
      <c r="Q69" s="679">
        <v>145</v>
      </c>
      <c r="R69" s="679">
        <v>95</v>
      </c>
      <c r="S69" s="679">
        <v>30</v>
      </c>
      <c r="T69" s="679">
        <v>40</v>
      </c>
      <c r="U69" s="691">
        <v>20</v>
      </c>
      <c r="V69" s="679">
        <v>70</v>
      </c>
      <c r="W69" s="679">
        <v>10</v>
      </c>
      <c r="X69" s="684" t="s">
        <v>73</v>
      </c>
      <c r="Y69" s="617">
        <v>1210</v>
      </c>
      <c r="Z69" s="680">
        <v>10120</v>
      </c>
    </row>
    <row r="70" spans="1:26" s="616" customFormat="1" ht="13.5" x14ac:dyDescent="0.2">
      <c r="A70" s="701"/>
      <c r="B70" s="697" t="s">
        <v>770</v>
      </c>
      <c r="C70" s="691">
        <v>15</v>
      </c>
      <c r="D70" s="679">
        <v>90</v>
      </c>
      <c r="E70" s="679">
        <v>80</v>
      </c>
      <c r="F70" s="679">
        <v>125</v>
      </c>
      <c r="G70" s="679">
        <v>290</v>
      </c>
      <c r="H70" s="679">
        <v>30</v>
      </c>
      <c r="I70" s="679">
        <v>320</v>
      </c>
      <c r="J70" s="679">
        <v>100</v>
      </c>
      <c r="K70" s="679">
        <v>80</v>
      </c>
      <c r="L70" s="679">
        <v>75</v>
      </c>
      <c r="M70" s="679">
        <v>70</v>
      </c>
      <c r="N70" s="692">
        <v>50</v>
      </c>
      <c r="O70" s="679">
        <v>40</v>
      </c>
      <c r="P70" s="679">
        <v>85</v>
      </c>
      <c r="Q70" s="679">
        <v>155</v>
      </c>
      <c r="R70" s="679">
        <v>115</v>
      </c>
      <c r="S70" s="679">
        <v>45</v>
      </c>
      <c r="T70" s="679">
        <v>70</v>
      </c>
      <c r="U70" s="691">
        <v>30</v>
      </c>
      <c r="V70" s="679">
        <v>90</v>
      </c>
      <c r="W70" s="679">
        <v>20</v>
      </c>
      <c r="X70" s="684">
        <v>10</v>
      </c>
      <c r="Y70" s="617">
        <v>1790</v>
      </c>
      <c r="Z70" s="680">
        <v>14310</v>
      </c>
    </row>
    <row r="71" spans="1:26" s="616" customFormat="1" ht="13.5" x14ac:dyDescent="0.2">
      <c r="A71" s="701"/>
      <c r="B71" s="697" t="s">
        <v>771</v>
      </c>
      <c r="C71" s="691">
        <v>45</v>
      </c>
      <c r="D71" s="679">
        <v>185</v>
      </c>
      <c r="E71" s="679">
        <v>165</v>
      </c>
      <c r="F71" s="679">
        <v>220</v>
      </c>
      <c r="G71" s="679">
        <v>505</v>
      </c>
      <c r="H71" s="679">
        <v>80</v>
      </c>
      <c r="I71" s="679">
        <v>705</v>
      </c>
      <c r="J71" s="679">
        <v>150</v>
      </c>
      <c r="K71" s="679">
        <v>115</v>
      </c>
      <c r="L71" s="679">
        <v>205</v>
      </c>
      <c r="M71" s="679">
        <v>110</v>
      </c>
      <c r="N71" s="692">
        <v>70</v>
      </c>
      <c r="O71" s="679">
        <v>70</v>
      </c>
      <c r="P71" s="679">
        <v>200</v>
      </c>
      <c r="Q71" s="679">
        <v>180</v>
      </c>
      <c r="R71" s="679">
        <v>320</v>
      </c>
      <c r="S71" s="679">
        <v>90</v>
      </c>
      <c r="T71" s="679">
        <v>115</v>
      </c>
      <c r="U71" s="691">
        <v>70</v>
      </c>
      <c r="V71" s="679">
        <v>250</v>
      </c>
      <c r="W71" s="679">
        <v>40</v>
      </c>
      <c r="X71" s="684">
        <v>45</v>
      </c>
      <c r="Y71" s="617">
        <v>3530</v>
      </c>
      <c r="Z71" s="680">
        <v>26140</v>
      </c>
    </row>
    <row r="72" spans="1:26" s="616" customFormat="1" ht="13.5" x14ac:dyDescent="0.2">
      <c r="A72" s="701"/>
      <c r="B72" s="697" t="s">
        <v>772</v>
      </c>
      <c r="C72" s="691">
        <v>25</v>
      </c>
      <c r="D72" s="679">
        <v>110</v>
      </c>
      <c r="E72" s="679">
        <v>100</v>
      </c>
      <c r="F72" s="679">
        <v>100</v>
      </c>
      <c r="G72" s="679">
        <v>280</v>
      </c>
      <c r="H72" s="679">
        <v>50</v>
      </c>
      <c r="I72" s="679">
        <v>640</v>
      </c>
      <c r="J72" s="679">
        <v>70</v>
      </c>
      <c r="K72" s="679">
        <v>85</v>
      </c>
      <c r="L72" s="679">
        <v>140</v>
      </c>
      <c r="M72" s="679">
        <v>55</v>
      </c>
      <c r="N72" s="692">
        <v>45</v>
      </c>
      <c r="O72" s="679">
        <v>40</v>
      </c>
      <c r="P72" s="679">
        <v>100</v>
      </c>
      <c r="Q72" s="679">
        <v>70</v>
      </c>
      <c r="R72" s="679">
        <v>220</v>
      </c>
      <c r="S72" s="679">
        <v>75</v>
      </c>
      <c r="T72" s="679">
        <v>60</v>
      </c>
      <c r="U72" s="691">
        <v>40</v>
      </c>
      <c r="V72" s="679">
        <v>185</v>
      </c>
      <c r="W72" s="679">
        <v>25</v>
      </c>
      <c r="X72" s="684">
        <v>15</v>
      </c>
      <c r="Y72" s="617">
        <v>2300</v>
      </c>
      <c r="Z72" s="680">
        <v>15270</v>
      </c>
    </row>
    <row r="73" spans="1:26" s="616" customFormat="1" ht="13.5" x14ac:dyDescent="0.2">
      <c r="A73" s="677"/>
      <c r="B73" s="678" t="s">
        <v>697</v>
      </c>
      <c r="C73" s="691">
        <v>46</v>
      </c>
      <c r="D73" s="679">
        <v>195</v>
      </c>
      <c r="E73" s="679">
        <v>158</v>
      </c>
      <c r="F73" s="679">
        <v>156</v>
      </c>
      <c r="G73" s="679">
        <v>600</v>
      </c>
      <c r="H73" s="679">
        <v>86</v>
      </c>
      <c r="I73" s="679">
        <v>909</v>
      </c>
      <c r="J73" s="679">
        <v>238</v>
      </c>
      <c r="K73" s="679">
        <v>168</v>
      </c>
      <c r="L73" s="679">
        <v>289</v>
      </c>
      <c r="M73" s="679">
        <v>155</v>
      </c>
      <c r="N73" s="685">
        <v>84</v>
      </c>
      <c r="O73" s="679">
        <v>119</v>
      </c>
      <c r="P73" s="679">
        <v>287</v>
      </c>
      <c r="Q73" s="679">
        <v>266</v>
      </c>
      <c r="R73" s="679">
        <v>348</v>
      </c>
      <c r="S73" s="679">
        <v>130</v>
      </c>
      <c r="T73" s="679">
        <v>122</v>
      </c>
      <c r="U73" s="686">
        <v>81</v>
      </c>
      <c r="V73" s="679">
        <v>366</v>
      </c>
      <c r="W73" s="679">
        <v>39</v>
      </c>
      <c r="X73" s="684">
        <v>41</v>
      </c>
      <c r="Y73" s="617">
        <v>4340</v>
      </c>
      <c r="Z73" s="680">
        <v>31350</v>
      </c>
    </row>
    <row r="74" spans="1:26" s="616" customFormat="1" ht="13.5" x14ac:dyDescent="0.2">
      <c r="A74" s="677"/>
      <c r="B74" s="678" t="s">
        <v>698</v>
      </c>
      <c r="C74" s="887"/>
      <c r="D74" s="882"/>
      <c r="E74" s="882"/>
      <c r="F74" s="882"/>
      <c r="G74" s="882"/>
      <c r="H74" s="882"/>
      <c r="I74" s="882"/>
      <c r="J74" s="882"/>
      <c r="K74" s="882"/>
      <c r="L74" s="882"/>
      <c r="M74" s="882"/>
      <c r="N74" s="886"/>
      <c r="O74" s="882"/>
      <c r="P74" s="882"/>
      <c r="Q74" s="882"/>
      <c r="R74" s="882"/>
      <c r="S74" s="882"/>
      <c r="T74" s="882"/>
      <c r="U74" s="887"/>
      <c r="V74" s="882"/>
      <c r="W74" s="882"/>
      <c r="X74" s="885"/>
      <c r="Y74" s="896"/>
      <c r="Z74" s="883"/>
    </row>
    <row r="75" spans="1:26" s="616" customFormat="1" ht="13.5" x14ac:dyDescent="0.2">
      <c r="A75" s="677"/>
      <c r="B75" s="678" t="s">
        <v>699</v>
      </c>
      <c r="C75" s="887"/>
      <c r="D75" s="882"/>
      <c r="E75" s="882"/>
      <c r="F75" s="882"/>
      <c r="G75" s="882"/>
      <c r="H75" s="882"/>
      <c r="I75" s="882"/>
      <c r="J75" s="882"/>
      <c r="K75" s="882"/>
      <c r="L75" s="882"/>
      <c r="M75" s="882"/>
      <c r="N75" s="886"/>
      <c r="O75" s="882"/>
      <c r="P75" s="882"/>
      <c r="Q75" s="882"/>
      <c r="R75" s="882"/>
      <c r="S75" s="882"/>
      <c r="T75" s="882"/>
      <c r="U75" s="887"/>
      <c r="V75" s="882"/>
      <c r="W75" s="882"/>
      <c r="X75" s="885"/>
      <c r="Y75" s="896"/>
      <c r="Z75" s="883"/>
    </row>
    <row r="76" spans="1:26" s="616" customFormat="1" ht="13.5" x14ac:dyDescent="0.2">
      <c r="A76" s="702">
        <v>25</v>
      </c>
      <c r="B76" s="697" t="s">
        <v>790</v>
      </c>
      <c r="C76" s="698">
        <v>5</v>
      </c>
      <c r="D76" s="679">
        <v>25</v>
      </c>
      <c r="E76" s="679">
        <v>25</v>
      </c>
      <c r="F76" s="679">
        <v>40</v>
      </c>
      <c r="G76" s="679">
        <v>70</v>
      </c>
      <c r="H76" s="679">
        <v>10</v>
      </c>
      <c r="I76" s="679">
        <v>70</v>
      </c>
      <c r="J76" s="679">
        <v>20</v>
      </c>
      <c r="K76" s="679">
        <v>10</v>
      </c>
      <c r="L76" s="679">
        <v>30</v>
      </c>
      <c r="M76" s="679">
        <v>15</v>
      </c>
      <c r="N76" s="692">
        <v>20</v>
      </c>
      <c r="O76" s="679" t="s">
        <v>73</v>
      </c>
      <c r="P76" s="679">
        <v>25</v>
      </c>
      <c r="Q76" s="679">
        <v>50</v>
      </c>
      <c r="R76" s="679">
        <v>40</v>
      </c>
      <c r="S76" s="679" t="s">
        <v>73</v>
      </c>
      <c r="T76" s="679">
        <v>20</v>
      </c>
      <c r="U76" s="691" t="s">
        <v>73</v>
      </c>
      <c r="V76" s="679">
        <v>30</v>
      </c>
      <c r="W76" s="679">
        <v>10</v>
      </c>
      <c r="X76" s="684" t="s">
        <v>73</v>
      </c>
      <c r="Y76" s="617">
        <v>500</v>
      </c>
      <c r="Z76" s="680">
        <v>3320</v>
      </c>
    </row>
    <row r="77" spans="1:26" s="616" customFormat="1" ht="13.5" x14ac:dyDescent="0.2">
      <c r="A77" s="702" t="s">
        <v>341</v>
      </c>
      <c r="B77" s="697" t="s">
        <v>413</v>
      </c>
      <c r="C77" s="686">
        <v>58</v>
      </c>
      <c r="D77" s="679">
        <v>192</v>
      </c>
      <c r="E77" s="679">
        <v>162</v>
      </c>
      <c r="F77" s="679">
        <v>189</v>
      </c>
      <c r="G77" s="679">
        <v>546</v>
      </c>
      <c r="H77" s="679">
        <v>79</v>
      </c>
      <c r="I77" s="679">
        <v>877</v>
      </c>
      <c r="J77" s="679">
        <v>195</v>
      </c>
      <c r="K77" s="679">
        <v>137</v>
      </c>
      <c r="L77" s="679">
        <v>249</v>
      </c>
      <c r="M77" s="679">
        <v>164</v>
      </c>
      <c r="N77" s="692">
        <v>84</v>
      </c>
      <c r="O77" s="679">
        <v>113</v>
      </c>
      <c r="P77" s="679">
        <v>299</v>
      </c>
      <c r="Q77" s="679">
        <v>192</v>
      </c>
      <c r="R77" s="679">
        <v>374</v>
      </c>
      <c r="S77" s="679">
        <v>135</v>
      </c>
      <c r="T77" s="679">
        <v>124</v>
      </c>
      <c r="U77" s="691">
        <v>65</v>
      </c>
      <c r="V77" s="679">
        <v>328</v>
      </c>
      <c r="W77" s="679">
        <v>47</v>
      </c>
      <c r="X77" s="684">
        <v>39</v>
      </c>
      <c r="Y77" s="617">
        <f t="shared" ref="Y77" si="1">SUM(C77:O77,Q77:R77,U77:X77)</f>
        <v>4090</v>
      </c>
      <c r="Z77" s="680">
        <v>31350</v>
      </c>
    </row>
    <row r="78" spans="1:26" s="616" customFormat="1" ht="13.5" x14ac:dyDescent="0.2">
      <c r="A78" s="702" t="s">
        <v>343</v>
      </c>
      <c r="B78" s="697" t="s">
        <v>414</v>
      </c>
      <c r="C78" s="698">
        <v>6</v>
      </c>
      <c r="D78" s="679">
        <v>51</v>
      </c>
      <c r="E78" s="679">
        <v>32</v>
      </c>
      <c r="F78" s="679">
        <v>43</v>
      </c>
      <c r="G78" s="679">
        <v>86</v>
      </c>
      <c r="H78" s="679">
        <v>7</v>
      </c>
      <c r="I78" s="679">
        <v>181</v>
      </c>
      <c r="J78" s="679">
        <v>48</v>
      </c>
      <c r="K78" s="679">
        <v>12</v>
      </c>
      <c r="L78" s="679">
        <v>37</v>
      </c>
      <c r="M78" s="679">
        <v>34</v>
      </c>
      <c r="N78" s="699">
        <v>19</v>
      </c>
      <c r="O78" s="679">
        <v>23</v>
      </c>
      <c r="P78" s="679">
        <v>57</v>
      </c>
      <c r="Q78" s="679">
        <v>51</v>
      </c>
      <c r="R78" s="679">
        <v>50</v>
      </c>
      <c r="S78" s="679">
        <v>13</v>
      </c>
      <c r="T78" s="679">
        <v>19</v>
      </c>
      <c r="U78" s="698" t="s">
        <v>73</v>
      </c>
      <c r="V78" s="679">
        <v>41</v>
      </c>
      <c r="W78" s="679">
        <v>7</v>
      </c>
      <c r="X78" s="684" t="s">
        <v>73</v>
      </c>
      <c r="Y78" s="617">
        <v>740</v>
      </c>
      <c r="Z78" s="680">
        <v>5360</v>
      </c>
    </row>
    <row r="79" spans="1:26" s="616" customFormat="1" ht="13.5" x14ac:dyDescent="0.2">
      <c r="A79" s="702" t="s">
        <v>345</v>
      </c>
      <c r="B79" s="697" t="s">
        <v>415</v>
      </c>
      <c r="C79" s="889"/>
      <c r="D79" s="889"/>
      <c r="E79" s="889"/>
      <c r="F79" s="889"/>
      <c r="G79" s="889"/>
      <c r="H79" s="889"/>
      <c r="I79" s="889"/>
      <c r="J79" s="889"/>
      <c r="K79" s="889"/>
      <c r="L79" s="889"/>
      <c r="M79" s="889"/>
      <c r="N79" s="889"/>
      <c r="O79" s="889"/>
      <c r="P79" s="889"/>
      <c r="Q79" s="889"/>
      <c r="R79" s="889"/>
      <c r="S79" s="889"/>
      <c r="T79" s="889"/>
      <c r="U79" s="889"/>
      <c r="V79" s="889"/>
      <c r="W79" s="889"/>
      <c r="X79" s="891"/>
      <c r="Y79" s="895"/>
      <c r="Z79" s="890"/>
    </row>
    <row r="80" spans="1:26" s="616" customFormat="1" ht="13.5" x14ac:dyDescent="0.2">
      <c r="A80" s="702" t="s">
        <v>347</v>
      </c>
      <c r="B80" s="697" t="s">
        <v>416</v>
      </c>
      <c r="C80" s="889"/>
      <c r="D80" s="889"/>
      <c r="E80" s="889"/>
      <c r="F80" s="889"/>
      <c r="G80" s="889"/>
      <c r="H80" s="889"/>
      <c r="I80" s="889"/>
      <c r="J80" s="889"/>
      <c r="K80" s="889"/>
      <c r="L80" s="889"/>
      <c r="M80" s="889"/>
      <c r="N80" s="889"/>
      <c r="O80" s="889"/>
      <c r="P80" s="889"/>
      <c r="Q80" s="889"/>
      <c r="R80" s="889"/>
      <c r="S80" s="889"/>
      <c r="T80" s="889"/>
      <c r="U80" s="889"/>
      <c r="V80" s="889"/>
      <c r="W80" s="889"/>
      <c r="X80" s="891"/>
      <c r="Y80" s="895"/>
      <c r="Z80" s="890"/>
    </row>
    <row r="81" spans="1:26" s="616" customFormat="1" ht="13.5" x14ac:dyDescent="0.2">
      <c r="A81" s="677"/>
      <c r="B81" s="683" t="s">
        <v>691</v>
      </c>
      <c r="C81" s="882"/>
      <c r="D81" s="882"/>
      <c r="E81" s="882"/>
      <c r="F81" s="882"/>
      <c r="G81" s="882"/>
      <c r="H81" s="882"/>
      <c r="I81" s="882"/>
      <c r="J81" s="882"/>
      <c r="K81" s="882"/>
      <c r="L81" s="882"/>
      <c r="M81" s="882"/>
      <c r="N81" s="882"/>
      <c r="O81" s="882"/>
      <c r="P81" s="882"/>
      <c r="Q81" s="882"/>
      <c r="R81" s="882"/>
      <c r="S81" s="882"/>
      <c r="T81" s="882"/>
      <c r="U81" s="882"/>
      <c r="V81" s="882"/>
      <c r="W81" s="882"/>
      <c r="X81" s="885"/>
      <c r="Y81" s="896"/>
      <c r="Z81" s="888"/>
    </row>
    <row r="82" spans="1:26" s="616" customFormat="1" ht="13.5" x14ac:dyDescent="0.2">
      <c r="A82" s="677"/>
      <c r="B82" s="683" t="s">
        <v>692</v>
      </c>
      <c r="C82" s="882"/>
      <c r="D82" s="882"/>
      <c r="E82" s="882"/>
      <c r="F82" s="882"/>
      <c r="G82" s="882"/>
      <c r="H82" s="882"/>
      <c r="I82" s="882"/>
      <c r="J82" s="882"/>
      <c r="K82" s="882"/>
      <c r="L82" s="882"/>
      <c r="M82" s="882"/>
      <c r="N82" s="882"/>
      <c r="O82" s="882"/>
      <c r="P82" s="882"/>
      <c r="Q82" s="882"/>
      <c r="R82" s="882"/>
      <c r="S82" s="882"/>
      <c r="T82" s="882"/>
      <c r="U82" s="882"/>
      <c r="V82" s="882"/>
      <c r="W82" s="882"/>
      <c r="X82" s="885"/>
      <c r="Y82" s="896"/>
      <c r="Z82" s="888"/>
    </row>
    <row r="83" spans="1:26" s="616" customFormat="1" ht="13.5" x14ac:dyDescent="0.2">
      <c r="A83" s="677"/>
      <c r="B83" s="683" t="s">
        <v>693</v>
      </c>
      <c r="C83" s="882"/>
      <c r="D83" s="882"/>
      <c r="E83" s="882"/>
      <c r="F83" s="882"/>
      <c r="G83" s="882"/>
      <c r="H83" s="882"/>
      <c r="I83" s="882"/>
      <c r="J83" s="882"/>
      <c r="K83" s="882"/>
      <c r="L83" s="882"/>
      <c r="M83" s="882"/>
      <c r="N83" s="882"/>
      <c r="O83" s="882"/>
      <c r="P83" s="882"/>
      <c r="Q83" s="882"/>
      <c r="R83" s="882"/>
      <c r="S83" s="882"/>
      <c r="T83" s="882"/>
      <c r="U83" s="882"/>
      <c r="V83" s="882"/>
      <c r="W83" s="882"/>
      <c r="X83" s="885"/>
      <c r="Y83" s="896"/>
      <c r="Z83" s="888"/>
    </row>
    <row r="84" spans="1:26" s="616" customFormat="1" ht="13.5" x14ac:dyDescent="0.2">
      <c r="A84" s="677"/>
      <c r="B84" s="683" t="s">
        <v>694</v>
      </c>
      <c r="C84" s="882"/>
      <c r="D84" s="882"/>
      <c r="E84" s="882"/>
      <c r="F84" s="882"/>
      <c r="G84" s="882"/>
      <c r="H84" s="882"/>
      <c r="I84" s="882"/>
      <c r="J84" s="882"/>
      <c r="K84" s="882"/>
      <c r="L84" s="882"/>
      <c r="M84" s="882"/>
      <c r="N84" s="882"/>
      <c r="O84" s="882"/>
      <c r="P84" s="882"/>
      <c r="Q84" s="882"/>
      <c r="R84" s="882"/>
      <c r="S84" s="882"/>
      <c r="T84" s="882"/>
      <c r="U84" s="882"/>
      <c r="V84" s="882"/>
      <c r="W84" s="882"/>
      <c r="X84" s="885"/>
      <c r="Y84" s="896"/>
      <c r="Z84" s="888"/>
    </row>
    <row r="85" spans="1:26" s="616" customFormat="1" ht="13.5" x14ac:dyDescent="0.2">
      <c r="A85" s="677"/>
      <c r="B85" s="683" t="s">
        <v>695</v>
      </c>
      <c r="C85" s="882"/>
      <c r="D85" s="882"/>
      <c r="E85" s="882"/>
      <c r="F85" s="882"/>
      <c r="G85" s="882"/>
      <c r="H85" s="882"/>
      <c r="I85" s="882"/>
      <c r="J85" s="882"/>
      <c r="K85" s="882"/>
      <c r="L85" s="882"/>
      <c r="M85" s="882"/>
      <c r="N85" s="882"/>
      <c r="O85" s="882"/>
      <c r="P85" s="882"/>
      <c r="Q85" s="882"/>
      <c r="R85" s="882"/>
      <c r="S85" s="882"/>
      <c r="T85" s="882"/>
      <c r="U85" s="882"/>
      <c r="V85" s="882"/>
      <c r="W85" s="882"/>
      <c r="X85" s="885"/>
      <c r="Y85" s="896"/>
      <c r="Z85" s="888"/>
    </row>
    <row r="86" spans="1:26" s="616" customFormat="1" ht="13.5" x14ac:dyDescent="0.2">
      <c r="A86" s="701"/>
      <c r="B86" s="697" t="s">
        <v>802</v>
      </c>
      <c r="C86" s="679" t="s">
        <v>73</v>
      </c>
      <c r="D86" s="679">
        <v>5</v>
      </c>
      <c r="E86" s="679" t="s">
        <v>73</v>
      </c>
      <c r="F86" s="679">
        <v>10</v>
      </c>
      <c r="G86" s="679">
        <v>10</v>
      </c>
      <c r="H86" s="679" t="s">
        <v>73</v>
      </c>
      <c r="I86" s="679">
        <v>25</v>
      </c>
      <c r="J86" s="679">
        <v>0</v>
      </c>
      <c r="K86" s="679" t="s">
        <v>73</v>
      </c>
      <c r="L86" s="679">
        <v>10</v>
      </c>
      <c r="M86" s="679">
        <v>5</v>
      </c>
      <c r="N86" s="679">
        <v>0</v>
      </c>
      <c r="O86" s="679" t="s">
        <v>73</v>
      </c>
      <c r="P86" s="679">
        <v>5</v>
      </c>
      <c r="Q86" s="679">
        <v>10</v>
      </c>
      <c r="R86" s="679">
        <v>5</v>
      </c>
      <c r="S86" s="679" t="s">
        <v>73</v>
      </c>
      <c r="T86" s="679">
        <v>5</v>
      </c>
      <c r="U86" s="679">
        <v>5</v>
      </c>
      <c r="V86" s="679">
        <v>0</v>
      </c>
      <c r="W86" s="679">
        <v>0</v>
      </c>
      <c r="X86" s="684" t="s">
        <v>73</v>
      </c>
      <c r="Y86" s="617">
        <v>100</v>
      </c>
      <c r="Z86" s="682">
        <v>1020</v>
      </c>
    </row>
    <row r="87" spans="1:26" s="616" customFormat="1" ht="13.5" x14ac:dyDescent="0.2">
      <c r="A87" s="701"/>
      <c r="B87" s="697" t="s">
        <v>803</v>
      </c>
      <c r="C87" s="679">
        <v>10</v>
      </c>
      <c r="D87" s="679">
        <v>25</v>
      </c>
      <c r="E87" s="679">
        <v>20</v>
      </c>
      <c r="F87" s="679">
        <v>15</v>
      </c>
      <c r="G87" s="679">
        <v>40</v>
      </c>
      <c r="H87" s="679">
        <v>5</v>
      </c>
      <c r="I87" s="679">
        <v>55</v>
      </c>
      <c r="J87" s="679">
        <v>10</v>
      </c>
      <c r="K87" s="679">
        <v>15</v>
      </c>
      <c r="L87" s="679">
        <v>40</v>
      </c>
      <c r="M87" s="679">
        <v>15</v>
      </c>
      <c r="N87" s="679">
        <v>15</v>
      </c>
      <c r="O87" s="679">
        <v>5</v>
      </c>
      <c r="P87" s="679">
        <v>15</v>
      </c>
      <c r="Q87" s="679">
        <v>10</v>
      </c>
      <c r="R87" s="679">
        <v>50</v>
      </c>
      <c r="S87" s="679">
        <v>10</v>
      </c>
      <c r="T87" s="679">
        <v>10</v>
      </c>
      <c r="U87" s="679">
        <v>10</v>
      </c>
      <c r="V87" s="679">
        <v>20</v>
      </c>
      <c r="W87" s="679">
        <v>10</v>
      </c>
      <c r="X87" s="684" t="s">
        <v>805</v>
      </c>
      <c r="Y87" s="617">
        <v>380</v>
      </c>
      <c r="Z87" s="682">
        <v>3550</v>
      </c>
    </row>
    <row r="88" spans="1:26" s="616" customFormat="1" ht="13.5" x14ac:dyDescent="0.2">
      <c r="A88" s="702" t="s">
        <v>349</v>
      </c>
      <c r="B88" s="697" t="s">
        <v>417</v>
      </c>
      <c r="C88" s="889"/>
      <c r="D88" s="889"/>
      <c r="E88" s="889"/>
      <c r="F88" s="889"/>
      <c r="G88" s="889"/>
      <c r="H88" s="889"/>
      <c r="I88" s="889"/>
      <c r="J88" s="889"/>
      <c r="K88" s="889"/>
      <c r="L88" s="889"/>
      <c r="M88" s="889"/>
      <c r="N88" s="889"/>
      <c r="O88" s="889"/>
      <c r="P88" s="889"/>
      <c r="Q88" s="889"/>
      <c r="R88" s="889"/>
      <c r="S88" s="889"/>
      <c r="T88" s="889"/>
      <c r="U88" s="889"/>
      <c r="V88" s="889"/>
      <c r="W88" s="889"/>
      <c r="X88" s="891"/>
      <c r="Y88" s="895"/>
      <c r="Z88" s="894"/>
    </row>
    <row r="89" spans="1:26" s="616" customFormat="1" ht="13.5" x14ac:dyDescent="0.2">
      <c r="A89" s="702" t="s">
        <v>351</v>
      </c>
      <c r="B89" s="697" t="s">
        <v>418</v>
      </c>
      <c r="C89" s="754"/>
      <c r="D89" s="754"/>
      <c r="E89" s="754"/>
      <c r="F89" s="754"/>
      <c r="G89" s="754"/>
      <c r="H89" s="754"/>
      <c r="I89" s="754"/>
      <c r="J89" s="754"/>
      <c r="K89" s="754"/>
      <c r="L89" s="754"/>
      <c r="M89" s="754"/>
      <c r="N89" s="754"/>
      <c r="O89" s="754"/>
      <c r="P89" s="754"/>
      <c r="Q89" s="754"/>
      <c r="R89" s="754"/>
      <c r="S89" s="754"/>
      <c r="T89" s="754"/>
      <c r="U89" s="754"/>
      <c r="V89" s="754"/>
      <c r="W89" s="754"/>
      <c r="X89" s="755"/>
      <c r="Y89" s="756"/>
      <c r="Z89" s="757"/>
    </row>
    <row r="90" spans="1:26" s="616" customFormat="1" ht="13.5" x14ac:dyDescent="0.2">
      <c r="A90" s="702" t="s">
        <v>353</v>
      </c>
      <c r="B90" s="697" t="s">
        <v>419</v>
      </c>
      <c r="C90" s="889"/>
      <c r="D90" s="889"/>
      <c r="E90" s="889"/>
      <c r="F90" s="889"/>
      <c r="G90" s="889"/>
      <c r="H90" s="889"/>
      <c r="I90" s="889"/>
      <c r="J90" s="889"/>
      <c r="K90" s="889"/>
      <c r="L90" s="889"/>
      <c r="M90" s="889"/>
      <c r="N90" s="889"/>
      <c r="O90" s="889"/>
      <c r="P90" s="889"/>
      <c r="Q90" s="889"/>
      <c r="R90" s="889"/>
      <c r="S90" s="889"/>
      <c r="T90" s="889"/>
      <c r="U90" s="889"/>
      <c r="V90" s="889"/>
      <c r="W90" s="889"/>
      <c r="X90" s="891"/>
      <c r="Y90" s="895"/>
      <c r="Z90" s="894"/>
    </row>
    <row r="91" spans="1:26" s="616" customFormat="1" ht="13.5" x14ac:dyDescent="0.2">
      <c r="A91" s="702" t="s">
        <v>355</v>
      </c>
      <c r="B91" s="697" t="s">
        <v>420</v>
      </c>
      <c r="C91" s="754"/>
      <c r="D91" s="754"/>
      <c r="E91" s="754"/>
      <c r="F91" s="754"/>
      <c r="G91" s="754"/>
      <c r="H91" s="754"/>
      <c r="I91" s="754"/>
      <c r="J91" s="754"/>
      <c r="K91" s="754"/>
      <c r="L91" s="754"/>
      <c r="M91" s="754"/>
      <c r="N91" s="754"/>
      <c r="O91" s="754"/>
      <c r="P91" s="754"/>
      <c r="Q91" s="754"/>
      <c r="R91" s="754"/>
      <c r="S91" s="754"/>
      <c r="T91" s="754"/>
      <c r="U91" s="754"/>
      <c r="V91" s="754"/>
      <c r="W91" s="754"/>
      <c r="X91" s="755"/>
      <c r="Y91" s="756"/>
      <c r="Z91" s="757"/>
    </row>
    <row r="92" spans="1:26" s="616" customFormat="1" ht="13.5" x14ac:dyDescent="0.2">
      <c r="A92" s="677"/>
      <c r="B92" s="683" t="s">
        <v>681</v>
      </c>
      <c r="C92" s="882"/>
      <c r="D92" s="882"/>
      <c r="E92" s="882"/>
      <c r="F92" s="882"/>
      <c r="G92" s="882"/>
      <c r="H92" s="882"/>
      <c r="I92" s="882"/>
      <c r="J92" s="882"/>
      <c r="K92" s="882"/>
      <c r="L92" s="882"/>
      <c r="M92" s="882"/>
      <c r="N92" s="882"/>
      <c r="O92" s="882"/>
      <c r="P92" s="882"/>
      <c r="Q92" s="882"/>
      <c r="R92" s="882"/>
      <c r="S92" s="882"/>
      <c r="T92" s="882"/>
      <c r="U92" s="882"/>
      <c r="V92" s="882"/>
      <c r="W92" s="882"/>
      <c r="X92" s="885"/>
      <c r="Y92" s="896"/>
      <c r="Z92" s="888"/>
    </row>
    <row r="93" spans="1:26" s="616" customFormat="1" ht="13.5" x14ac:dyDescent="0.2">
      <c r="A93" s="677"/>
      <c r="B93" s="683" t="s">
        <v>682</v>
      </c>
      <c r="C93" s="882"/>
      <c r="D93" s="882"/>
      <c r="E93" s="882"/>
      <c r="F93" s="882"/>
      <c r="G93" s="882"/>
      <c r="H93" s="882"/>
      <c r="I93" s="882"/>
      <c r="J93" s="882"/>
      <c r="K93" s="882"/>
      <c r="L93" s="882"/>
      <c r="M93" s="882"/>
      <c r="N93" s="882"/>
      <c r="O93" s="882"/>
      <c r="P93" s="882"/>
      <c r="Q93" s="882"/>
      <c r="R93" s="882"/>
      <c r="S93" s="882"/>
      <c r="T93" s="882"/>
      <c r="U93" s="882"/>
      <c r="V93" s="882"/>
      <c r="W93" s="882"/>
      <c r="X93" s="885"/>
      <c r="Y93" s="896"/>
      <c r="Z93" s="888"/>
    </row>
    <row r="94" spans="1:26" s="616" customFormat="1" ht="13.5" x14ac:dyDescent="0.2">
      <c r="A94" s="677"/>
      <c r="B94" s="683" t="s">
        <v>683</v>
      </c>
      <c r="C94" s="882"/>
      <c r="D94" s="882"/>
      <c r="E94" s="882"/>
      <c r="F94" s="882"/>
      <c r="G94" s="882"/>
      <c r="H94" s="882"/>
      <c r="I94" s="882"/>
      <c r="J94" s="882"/>
      <c r="K94" s="882"/>
      <c r="L94" s="882"/>
      <c r="M94" s="882"/>
      <c r="N94" s="882"/>
      <c r="O94" s="882"/>
      <c r="P94" s="882"/>
      <c r="Q94" s="882"/>
      <c r="R94" s="882"/>
      <c r="S94" s="882"/>
      <c r="T94" s="882"/>
      <c r="U94" s="882"/>
      <c r="V94" s="882"/>
      <c r="W94" s="882"/>
      <c r="X94" s="885"/>
      <c r="Y94" s="896"/>
      <c r="Z94" s="888"/>
    </row>
    <row r="95" spans="1:26" s="616" customFormat="1" ht="13.5" x14ac:dyDescent="0.2">
      <c r="A95" s="677"/>
      <c r="B95" s="683" t="s">
        <v>684</v>
      </c>
      <c r="C95" s="882"/>
      <c r="D95" s="882"/>
      <c r="E95" s="882"/>
      <c r="F95" s="882"/>
      <c r="G95" s="882"/>
      <c r="H95" s="882"/>
      <c r="I95" s="882"/>
      <c r="J95" s="882"/>
      <c r="K95" s="882"/>
      <c r="L95" s="882"/>
      <c r="M95" s="882"/>
      <c r="N95" s="882"/>
      <c r="O95" s="882"/>
      <c r="P95" s="882"/>
      <c r="Q95" s="882"/>
      <c r="R95" s="897"/>
      <c r="S95" s="882"/>
      <c r="T95" s="882"/>
      <c r="U95" s="882"/>
      <c r="V95" s="882"/>
      <c r="W95" s="882"/>
      <c r="X95" s="885"/>
      <c r="Y95" s="896"/>
      <c r="Z95" s="888"/>
    </row>
    <row r="96" spans="1:26" s="616" customFormat="1" ht="13.5" x14ac:dyDescent="0.2">
      <c r="A96" s="677"/>
      <c r="B96" s="683" t="s">
        <v>685</v>
      </c>
      <c r="C96" s="882"/>
      <c r="D96" s="882"/>
      <c r="E96" s="882"/>
      <c r="F96" s="882"/>
      <c r="G96" s="882"/>
      <c r="H96" s="882"/>
      <c r="I96" s="882"/>
      <c r="J96" s="882"/>
      <c r="K96" s="882"/>
      <c r="L96" s="882"/>
      <c r="M96" s="882"/>
      <c r="N96" s="882"/>
      <c r="O96" s="882"/>
      <c r="P96" s="882"/>
      <c r="Q96" s="882"/>
      <c r="R96" s="882"/>
      <c r="S96" s="882"/>
      <c r="T96" s="882"/>
      <c r="U96" s="882"/>
      <c r="V96" s="882"/>
      <c r="W96" s="882"/>
      <c r="X96" s="885"/>
      <c r="Y96" s="896"/>
      <c r="Z96" s="888"/>
    </row>
    <row r="97" spans="1:26" s="616" customFormat="1" ht="13.5" x14ac:dyDescent="0.2">
      <c r="A97" s="677"/>
      <c r="B97" s="683" t="s">
        <v>686</v>
      </c>
      <c r="C97" s="882"/>
      <c r="D97" s="882"/>
      <c r="E97" s="882"/>
      <c r="F97" s="882"/>
      <c r="G97" s="882"/>
      <c r="H97" s="882"/>
      <c r="I97" s="882"/>
      <c r="J97" s="882"/>
      <c r="K97" s="882"/>
      <c r="L97" s="882"/>
      <c r="M97" s="882"/>
      <c r="N97" s="882"/>
      <c r="O97" s="882"/>
      <c r="P97" s="882"/>
      <c r="Q97" s="882"/>
      <c r="R97" s="882"/>
      <c r="S97" s="882"/>
      <c r="T97" s="882"/>
      <c r="U97" s="882"/>
      <c r="V97" s="882"/>
      <c r="W97" s="882"/>
      <c r="X97" s="885"/>
      <c r="Y97" s="896"/>
      <c r="Z97" s="888"/>
    </row>
    <row r="98" spans="1:26" s="616" customFormat="1" ht="13.5" x14ac:dyDescent="0.2">
      <c r="A98" s="677"/>
      <c r="B98" s="683" t="s">
        <v>687</v>
      </c>
      <c r="C98" s="882"/>
      <c r="D98" s="882"/>
      <c r="E98" s="882"/>
      <c r="F98" s="882"/>
      <c r="G98" s="882"/>
      <c r="H98" s="882"/>
      <c r="I98" s="882"/>
      <c r="J98" s="882"/>
      <c r="K98" s="882"/>
      <c r="L98" s="882"/>
      <c r="M98" s="882"/>
      <c r="N98" s="882"/>
      <c r="O98" s="882"/>
      <c r="P98" s="882"/>
      <c r="Q98" s="882"/>
      <c r="R98" s="882"/>
      <c r="S98" s="882"/>
      <c r="T98" s="882"/>
      <c r="U98" s="882"/>
      <c r="V98" s="882"/>
      <c r="W98" s="882"/>
      <c r="X98" s="885"/>
      <c r="Y98" s="896"/>
      <c r="Z98" s="888"/>
    </row>
    <row r="99" spans="1:26" s="616" customFormat="1" ht="13.5" x14ac:dyDescent="0.2">
      <c r="A99" s="677"/>
      <c r="B99" s="683" t="s">
        <v>688</v>
      </c>
      <c r="C99" s="882"/>
      <c r="D99" s="882"/>
      <c r="E99" s="882"/>
      <c r="F99" s="882"/>
      <c r="G99" s="882"/>
      <c r="H99" s="882"/>
      <c r="I99" s="882"/>
      <c r="J99" s="882"/>
      <c r="K99" s="882"/>
      <c r="L99" s="882"/>
      <c r="M99" s="882"/>
      <c r="N99" s="882"/>
      <c r="O99" s="882"/>
      <c r="P99" s="882"/>
      <c r="Q99" s="882"/>
      <c r="R99" s="882"/>
      <c r="S99" s="882"/>
      <c r="T99" s="882"/>
      <c r="U99" s="882"/>
      <c r="V99" s="882"/>
      <c r="W99" s="882"/>
      <c r="X99" s="885"/>
      <c r="Y99" s="896"/>
      <c r="Z99" s="888"/>
    </row>
    <row r="100" spans="1:26" s="616" customFormat="1" ht="13.5" x14ac:dyDescent="0.2">
      <c r="A100" s="677"/>
      <c r="B100" s="683" t="s">
        <v>689</v>
      </c>
      <c r="C100" s="882"/>
      <c r="D100" s="882"/>
      <c r="E100" s="882"/>
      <c r="F100" s="882"/>
      <c r="G100" s="882"/>
      <c r="H100" s="882"/>
      <c r="I100" s="882"/>
      <c r="J100" s="882"/>
      <c r="K100" s="882"/>
      <c r="L100" s="882"/>
      <c r="M100" s="882"/>
      <c r="N100" s="882"/>
      <c r="O100" s="882"/>
      <c r="P100" s="882"/>
      <c r="Q100" s="882"/>
      <c r="R100" s="882"/>
      <c r="S100" s="882"/>
      <c r="T100" s="882"/>
      <c r="U100" s="882"/>
      <c r="V100" s="882"/>
      <c r="W100" s="882"/>
      <c r="X100" s="885"/>
      <c r="Y100" s="896"/>
      <c r="Z100" s="888"/>
    </row>
    <row r="101" spans="1:26" s="616" customFormat="1" ht="13.5" x14ac:dyDescent="0.2">
      <c r="A101" s="677"/>
      <c r="B101" s="683" t="s">
        <v>690</v>
      </c>
      <c r="C101" s="882"/>
      <c r="D101" s="882"/>
      <c r="E101" s="882"/>
      <c r="F101" s="882"/>
      <c r="G101" s="882"/>
      <c r="H101" s="882"/>
      <c r="I101" s="882"/>
      <c r="J101" s="882"/>
      <c r="K101" s="882"/>
      <c r="L101" s="882"/>
      <c r="M101" s="882"/>
      <c r="N101" s="882"/>
      <c r="O101" s="882"/>
      <c r="P101" s="882"/>
      <c r="Q101" s="882"/>
      <c r="R101" s="882"/>
      <c r="S101" s="882"/>
      <c r="T101" s="882"/>
      <c r="U101" s="882"/>
      <c r="V101" s="882"/>
      <c r="W101" s="882"/>
      <c r="X101" s="885"/>
      <c r="Y101" s="896"/>
      <c r="Z101" s="888"/>
    </row>
    <row r="102" spans="1:26" x14ac:dyDescent="0.2">
      <c r="A102" s="682"/>
      <c r="B102" s="700" t="s">
        <v>421</v>
      </c>
      <c r="C102" s="680">
        <f t="shared" ref="C102:X102" si="2">SUM(C40:C43)</f>
        <v>969</v>
      </c>
      <c r="D102" s="680">
        <f t="shared" si="2"/>
        <v>1471</v>
      </c>
      <c r="E102" s="680">
        <f t="shared" si="2"/>
        <v>5120</v>
      </c>
      <c r="F102" s="680">
        <f t="shared" si="2"/>
        <v>1387</v>
      </c>
      <c r="G102" s="680">
        <f t="shared" si="2"/>
        <v>13575</v>
      </c>
      <c r="H102" s="680">
        <f t="shared" si="2"/>
        <v>1593</v>
      </c>
      <c r="I102" s="680">
        <f t="shared" si="2"/>
        <v>13997</v>
      </c>
      <c r="J102" s="680">
        <f t="shared" si="2"/>
        <v>2788</v>
      </c>
      <c r="K102" s="680">
        <f t="shared" si="2"/>
        <v>1919</v>
      </c>
      <c r="L102" s="680">
        <f t="shared" si="2"/>
        <v>2818</v>
      </c>
      <c r="M102" s="680">
        <f t="shared" si="2"/>
        <v>1328</v>
      </c>
      <c r="N102" s="680">
        <f t="shared" si="2"/>
        <v>1003</v>
      </c>
      <c r="O102" s="680">
        <f t="shared" si="2"/>
        <v>1762</v>
      </c>
      <c r="P102" s="680">
        <f t="shared" si="2"/>
        <v>4203</v>
      </c>
      <c r="Q102" s="680">
        <f t="shared" si="2"/>
        <v>1931</v>
      </c>
      <c r="R102" s="680">
        <f t="shared" si="2"/>
        <v>6659</v>
      </c>
      <c r="S102" s="680">
        <f t="shared" si="2"/>
        <v>1724</v>
      </c>
      <c r="T102" s="680">
        <f t="shared" si="2"/>
        <v>1064</v>
      </c>
      <c r="U102" s="680">
        <f t="shared" si="2"/>
        <v>632</v>
      </c>
      <c r="V102" s="680">
        <f t="shared" si="2"/>
        <v>4975</v>
      </c>
      <c r="W102" s="680">
        <f t="shared" si="2"/>
        <v>591</v>
      </c>
      <c r="X102" s="681">
        <f t="shared" si="2"/>
        <v>868</v>
      </c>
      <c r="Y102" s="681">
        <f t="shared" ref="Y102:Z102" si="3">SUM(Y40:Y43)</f>
        <v>65380</v>
      </c>
      <c r="Z102" s="680">
        <f t="shared" si="3"/>
        <v>448910</v>
      </c>
    </row>
    <row r="103" spans="1:26" x14ac:dyDescent="0.2">
      <c r="A103" s="682"/>
      <c r="B103" s="700" t="s">
        <v>422</v>
      </c>
      <c r="C103" s="680">
        <f t="shared" ref="C103:X103" si="4">SUM(C40:C44)</f>
        <v>978</v>
      </c>
      <c r="D103" s="680">
        <f t="shared" si="4"/>
        <v>2770</v>
      </c>
      <c r="E103" s="680">
        <f t="shared" si="4"/>
        <v>6180</v>
      </c>
      <c r="F103" s="680">
        <f t="shared" si="4"/>
        <v>2684</v>
      </c>
      <c r="G103" s="680">
        <f t="shared" si="4"/>
        <v>17096</v>
      </c>
      <c r="H103" s="680">
        <f t="shared" si="4"/>
        <v>1984</v>
      </c>
      <c r="I103" s="680">
        <f t="shared" si="4"/>
        <v>15802</v>
      </c>
      <c r="J103" s="680">
        <f t="shared" si="4"/>
        <v>3699</v>
      </c>
      <c r="K103" s="680">
        <f t="shared" si="4"/>
        <v>2000</v>
      </c>
      <c r="L103" s="680">
        <f t="shared" si="4"/>
        <v>3767</v>
      </c>
      <c r="M103" s="680">
        <f t="shared" si="4"/>
        <v>1453</v>
      </c>
      <c r="N103" s="680">
        <f t="shared" si="4"/>
        <v>1197</v>
      </c>
      <c r="O103" s="680">
        <f t="shared" si="4"/>
        <v>1879</v>
      </c>
      <c r="P103" s="680">
        <f t="shared" si="4"/>
        <v>4524</v>
      </c>
      <c r="Q103" s="680">
        <f t="shared" si="4"/>
        <v>2109</v>
      </c>
      <c r="R103" s="680">
        <f t="shared" si="4"/>
        <v>8993</v>
      </c>
      <c r="S103" s="680">
        <f t="shared" si="4"/>
        <v>2649</v>
      </c>
      <c r="T103" s="680">
        <f t="shared" si="4"/>
        <v>1488</v>
      </c>
      <c r="U103" s="680">
        <f t="shared" si="4"/>
        <v>887</v>
      </c>
      <c r="V103" s="680">
        <f t="shared" si="4"/>
        <v>5185</v>
      </c>
      <c r="W103" s="680">
        <f t="shared" si="4"/>
        <v>779</v>
      </c>
      <c r="X103" s="681">
        <f t="shared" si="4"/>
        <v>877</v>
      </c>
      <c r="Y103" s="918">
        <f t="shared" ref="Y103:Z103" si="5">SUM(Y40:Y44)</f>
        <v>80400</v>
      </c>
      <c r="Z103" s="680">
        <f t="shared" si="5"/>
        <v>550810</v>
      </c>
    </row>
  </sheetData>
  <conditionalFormatting sqref="Q43:Q44">
    <cfRule type="containsErrors" dxfId="306" priority="6">
      <formula>ISERROR(Q43)</formula>
    </cfRule>
  </conditionalFormatting>
  <conditionalFormatting sqref="C1:X1">
    <cfRule type="expression" dxfId="305" priority="1">
      <formula>$C1=#REF!</formula>
    </cfRule>
  </conditionalFormatting>
  <conditionalFormatting sqref="D1:X1">
    <cfRule type="expression" dxfId="304" priority="2">
      <formula>SUM(D$3:D$82)=0</formula>
    </cfRule>
    <cfRule type="containsErrors" dxfId="303" priority="3">
      <formula>ISERROR(D1)</formula>
    </cfRule>
  </conditionalFormatting>
  <conditionalFormatting sqref="C1">
    <cfRule type="expression" dxfId="302" priority="4">
      <formula>SUM(C$3:C$79)=0</formula>
    </cfRule>
    <cfRule type="containsErrors" dxfId="301" priority="5">
      <formula>ISERROR(C1)</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0" tint="-4.9989318521683403E-2"/>
  </sheetPr>
  <dimension ref="A1:Z103"/>
  <sheetViews>
    <sheetView zoomScaleNormal="100" workbookViewId="0">
      <pane xSplit="2" ySplit="1" topLeftCell="C2" activePane="bottomRight" state="frozen"/>
      <selection activeCell="W29" sqref="W29"/>
      <selection pane="topRight" activeCell="W29" sqref="W29"/>
      <selection pane="bottomLeft" activeCell="W29" sqref="W29"/>
      <selection pane="bottomRight" activeCell="W29" sqref="W29"/>
    </sheetView>
  </sheetViews>
  <sheetFormatPr defaultRowHeight="12.75" x14ac:dyDescent="0.2"/>
  <cols>
    <col min="1" max="1" width="4.42578125" style="515" customWidth="1"/>
    <col min="2" max="2" width="40.7109375" style="618" customWidth="1"/>
    <col min="3" max="24" width="5" style="515" customWidth="1"/>
    <col min="25" max="25" width="6" style="923" customWidth="1"/>
    <col min="26" max="26" width="6" style="515" customWidth="1"/>
    <col min="27" max="16384" width="9.140625" style="515"/>
  </cols>
  <sheetData>
    <row r="1" spans="1:26" s="615" customFormat="1" ht="67.5" customHeight="1" x14ac:dyDescent="0.2">
      <c r="A1" s="675" t="s">
        <v>748</v>
      </c>
      <c r="B1" s="676"/>
      <c r="C1" s="671" t="s">
        <v>0</v>
      </c>
      <c r="D1" s="671" t="s">
        <v>32</v>
      </c>
      <c r="E1" s="671" t="s">
        <v>9</v>
      </c>
      <c r="F1" s="671" t="s">
        <v>4</v>
      </c>
      <c r="G1" s="671" t="s">
        <v>6</v>
      </c>
      <c r="H1" s="671" t="s">
        <v>1</v>
      </c>
      <c r="I1" s="671" t="s">
        <v>10</v>
      </c>
      <c r="J1" s="671" t="s">
        <v>2</v>
      </c>
      <c r="K1" s="671" t="s">
        <v>11</v>
      </c>
      <c r="L1" s="671" t="s">
        <v>12</v>
      </c>
      <c r="M1" s="671" t="s">
        <v>13</v>
      </c>
      <c r="N1" s="671" t="s">
        <v>3</v>
      </c>
      <c r="O1" s="671" t="s">
        <v>14</v>
      </c>
      <c r="P1" s="671" t="s">
        <v>93</v>
      </c>
      <c r="Q1" s="671" t="s">
        <v>15</v>
      </c>
      <c r="R1" s="671" t="s">
        <v>7</v>
      </c>
      <c r="S1" s="671" t="s">
        <v>116</v>
      </c>
      <c r="T1" s="671" t="s">
        <v>117</v>
      </c>
      <c r="U1" s="671" t="s">
        <v>16</v>
      </c>
      <c r="V1" s="671" t="s">
        <v>5</v>
      </c>
      <c r="W1" s="671" t="s">
        <v>31</v>
      </c>
      <c r="X1" s="672" t="s">
        <v>17</v>
      </c>
      <c r="Y1" s="673" t="s">
        <v>74</v>
      </c>
      <c r="Z1" s="674" t="s">
        <v>130</v>
      </c>
    </row>
    <row r="2" spans="1:26" s="616" customFormat="1" ht="13.5" x14ac:dyDescent="0.2">
      <c r="A2" s="677"/>
      <c r="B2" s="678" t="s">
        <v>722</v>
      </c>
      <c r="C2" s="882"/>
      <c r="D2" s="882"/>
      <c r="E2" s="882"/>
      <c r="F2" s="882"/>
      <c r="G2" s="882"/>
      <c r="H2" s="882"/>
      <c r="I2" s="882"/>
      <c r="J2" s="882"/>
      <c r="K2" s="882"/>
      <c r="L2" s="882"/>
      <c r="M2" s="882"/>
      <c r="N2" s="882"/>
      <c r="O2" s="882"/>
      <c r="P2" s="882"/>
      <c r="Q2" s="882"/>
      <c r="R2" s="882"/>
      <c r="S2" s="882"/>
      <c r="T2" s="882"/>
      <c r="U2" s="882"/>
      <c r="V2" s="882"/>
      <c r="W2" s="883"/>
      <c r="X2" s="884"/>
      <c r="Y2" s="896"/>
      <c r="Z2" s="888"/>
    </row>
    <row r="3" spans="1:26" s="616" customFormat="1" ht="13.5" x14ac:dyDescent="0.2">
      <c r="A3" s="702">
        <v>1</v>
      </c>
      <c r="B3" s="683" t="s">
        <v>423</v>
      </c>
      <c r="C3" s="889"/>
      <c r="D3" s="889"/>
      <c r="E3" s="889"/>
      <c r="F3" s="889"/>
      <c r="G3" s="889"/>
      <c r="H3" s="889"/>
      <c r="I3" s="889"/>
      <c r="J3" s="889"/>
      <c r="K3" s="889"/>
      <c r="L3" s="889"/>
      <c r="M3" s="889"/>
      <c r="N3" s="889"/>
      <c r="O3" s="889"/>
      <c r="P3" s="889"/>
      <c r="Q3" s="889"/>
      <c r="R3" s="889"/>
      <c r="S3" s="889"/>
      <c r="T3" s="889"/>
      <c r="U3" s="889"/>
      <c r="V3" s="889"/>
      <c r="W3" s="889"/>
      <c r="X3" s="891"/>
      <c r="Y3" s="895"/>
      <c r="Z3" s="890"/>
    </row>
    <row r="4" spans="1:26" s="616" customFormat="1" ht="13.5" x14ac:dyDescent="0.2">
      <c r="A4" s="702">
        <v>2</v>
      </c>
      <c r="B4" s="683" t="s">
        <v>424</v>
      </c>
      <c r="C4" s="889"/>
      <c r="D4" s="889"/>
      <c r="E4" s="889"/>
      <c r="F4" s="889"/>
      <c r="G4" s="889"/>
      <c r="H4" s="889"/>
      <c r="I4" s="889"/>
      <c r="J4" s="889"/>
      <c r="K4" s="889"/>
      <c r="L4" s="889"/>
      <c r="M4" s="889"/>
      <c r="N4" s="889"/>
      <c r="O4" s="889"/>
      <c r="P4" s="889"/>
      <c r="Q4" s="889"/>
      <c r="R4" s="889"/>
      <c r="S4" s="889"/>
      <c r="T4" s="889"/>
      <c r="U4" s="889"/>
      <c r="V4" s="889"/>
      <c r="W4" s="889"/>
      <c r="X4" s="891"/>
      <c r="Y4" s="895"/>
      <c r="Z4" s="890"/>
    </row>
    <row r="5" spans="1:26" s="616" customFormat="1" ht="13.5" x14ac:dyDescent="0.2">
      <c r="A5" s="702">
        <v>3</v>
      </c>
      <c r="B5" s="683" t="s">
        <v>425</v>
      </c>
      <c r="C5" s="889"/>
      <c r="D5" s="889"/>
      <c r="E5" s="889"/>
      <c r="F5" s="889"/>
      <c r="G5" s="889"/>
      <c r="H5" s="889"/>
      <c r="I5" s="889"/>
      <c r="J5" s="889"/>
      <c r="K5" s="889"/>
      <c r="L5" s="889"/>
      <c r="M5" s="889"/>
      <c r="N5" s="889"/>
      <c r="O5" s="889"/>
      <c r="P5" s="889"/>
      <c r="Q5" s="889"/>
      <c r="R5" s="889"/>
      <c r="S5" s="889"/>
      <c r="T5" s="889"/>
      <c r="U5" s="889"/>
      <c r="V5" s="889"/>
      <c r="W5" s="889"/>
      <c r="X5" s="891"/>
      <c r="Y5" s="895"/>
      <c r="Z5" s="890"/>
    </row>
    <row r="6" spans="1:26" s="616" customFormat="1" ht="13.5" x14ac:dyDescent="0.2">
      <c r="A6" s="702">
        <v>4</v>
      </c>
      <c r="B6" s="683" t="s">
        <v>426</v>
      </c>
      <c r="C6" s="889"/>
      <c r="D6" s="889"/>
      <c r="E6" s="889"/>
      <c r="F6" s="889"/>
      <c r="G6" s="889"/>
      <c r="H6" s="889"/>
      <c r="I6" s="889"/>
      <c r="J6" s="889"/>
      <c r="K6" s="889"/>
      <c r="L6" s="889"/>
      <c r="M6" s="889"/>
      <c r="N6" s="892"/>
      <c r="O6" s="889"/>
      <c r="P6" s="889"/>
      <c r="Q6" s="889"/>
      <c r="R6" s="889"/>
      <c r="S6" s="889"/>
      <c r="T6" s="889"/>
      <c r="U6" s="893"/>
      <c r="V6" s="889"/>
      <c r="W6" s="889"/>
      <c r="X6" s="891"/>
      <c r="Y6" s="895"/>
      <c r="Z6" s="890"/>
    </row>
    <row r="7" spans="1:26" s="616" customFormat="1" ht="13.5" x14ac:dyDescent="0.2">
      <c r="A7" s="702">
        <v>5</v>
      </c>
      <c r="B7" s="683" t="s">
        <v>427</v>
      </c>
      <c r="C7" s="889"/>
      <c r="D7" s="889"/>
      <c r="E7" s="889"/>
      <c r="F7" s="889"/>
      <c r="G7" s="889"/>
      <c r="H7" s="889"/>
      <c r="I7" s="889"/>
      <c r="J7" s="889"/>
      <c r="K7" s="889"/>
      <c r="L7" s="889"/>
      <c r="M7" s="889"/>
      <c r="N7" s="892"/>
      <c r="O7" s="889"/>
      <c r="P7" s="889"/>
      <c r="Q7" s="889"/>
      <c r="R7" s="889"/>
      <c r="S7" s="889"/>
      <c r="T7" s="889"/>
      <c r="U7" s="893"/>
      <c r="V7" s="889"/>
      <c r="W7" s="889"/>
      <c r="X7" s="891"/>
      <c r="Y7" s="895"/>
      <c r="Z7" s="890"/>
    </row>
    <row r="8" spans="1:26" s="616" customFormat="1" ht="22.5" x14ac:dyDescent="0.2">
      <c r="A8" s="702">
        <v>6</v>
      </c>
      <c r="B8" s="687" t="s">
        <v>275</v>
      </c>
      <c r="C8" s="687"/>
      <c r="D8" s="687"/>
      <c r="E8" s="687"/>
      <c r="F8" s="687"/>
      <c r="G8" s="687"/>
      <c r="H8" s="687"/>
      <c r="I8" s="687"/>
      <c r="J8" s="687"/>
      <c r="K8" s="687"/>
      <c r="L8" s="687"/>
      <c r="M8" s="687"/>
      <c r="N8" s="687"/>
      <c r="O8" s="687"/>
      <c r="P8" s="687"/>
      <c r="Q8" s="687"/>
      <c r="R8" s="687"/>
      <c r="S8" s="687"/>
      <c r="T8" s="687"/>
      <c r="U8" s="687"/>
      <c r="V8" s="687"/>
      <c r="W8" s="687"/>
      <c r="X8" s="687"/>
      <c r="Y8" s="687"/>
      <c r="Z8" s="906"/>
    </row>
    <row r="9" spans="1:26" s="616" customFormat="1" ht="13.5" x14ac:dyDescent="0.2">
      <c r="A9" s="898"/>
      <c r="B9" s="683" t="s">
        <v>428</v>
      </c>
      <c r="C9" s="889"/>
      <c r="D9" s="889"/>
      <c r="E9" s="889"/>
      <c r="F9" s="889"/>
      <c r="G9" s="889"/>
      <c r="H9" s="889"/>
      <c r="I9" s="889"/>
      <c r="J9" s="889"/>
      <c r="K9" s="889"/>
      <c r="L9" s="889"/>
      <c r="M9" s="889"/>
      <c r="N9" s="892"/>
      <c r="O9" s="889"/>
      <c r="P9" s="889"/>
      <c r="Q9" s="889"/>
      <c r="R9" s="889"/>
      <c r="S9" s="889"/>
      <c r="T9" s="889"/>
      <c r="U9" s="893"/>
      <c r="V9" s="889"/>
      <c r="W9" s="889"/>
      <c r="X9" s="891"/>
      <c r="Y9" s="895"/>
      <c r="Z9" s="890"/>
    </row>
    <row r="10" spans="1:26" s="616" customFormat="1" x14ac:dyDescent="0.2">
      <c r="A10" s="899"/>
      <c r="B10" s="688" t="s">
        <v>429</v>
      </c>
      <c r="C10" s="889"/>
      <c r="D10" s="889"/>
      <c r="E10" s="889"/>
      <c r="F10" s="889"/>
      <c r="G10" s="889"/>
      <c r="H10" s="889"/>
      <c r="I10" s="889"/>
      <c r="J10" s="889"/>
      <c r="K10" s="889"/>
      <c r="L10" s="889"/>
      <c r="M10" s="889"/>
      <c r="N10" s="892"/>
      <c r="O10" s="889"/>
      <c r="P10" s="889"/>
      <c r="Q10" s="889"/>
      <c r="R10" s="889"/>
      <c r="S10" s="889"/>
      <c r="T10" s="889"/>
      <c r="U10" s="893"/>
      <c r="V10" s="889"/>
      <c r="W10" s="889"/>
      <c r="X10" s="891"/>
      <c r="Y10" s="895"/>
      <c r="Z10" s="890"/>
    </row>
    <row r="11" spans="1:26" s="616" customFormat="1" ht="13.5" x14ac:dyDescent="0.2">
      <c r="A11" s="702">
        <v>7</v>
      </c>
      <c r="B11" s="683" t="s">
        <v>430</v>
      </c>
      <c r="C11" s="889"/>
      <c r="D11" s="889"/>
      <c r="E11" s="889"/>
      <c r="F11" s="889"/>
      <c r="G11" s="889"/>
      <c r="H11" s="889"/>
      <c r="I11" s="889"/>
      <c r="J11" s="889"/>
      <c r="K11" s="889"/>
      <c r="L11" s="889"/>
      <c r="M11" s="889"/>
      <c r="N11" s="892"/>
      <c r="O11" s="889"/>
      <c r="P11" s="889"/>
      <c r="Q11" s="889"/>
      <c r="R11" s="889"/>
      <c r="S11" s="889"/>
      <c r="T11" s="889"/>
      <c r="U11" s="893"/>
      <c r="V11" s="889"/>
      <c r="W11" s="889"/>
      <c r="X11" s="891"/>
      <c r="Y11" s="895"/>
      <c r="Z11" s="890"/>
    </row>
    <row r="12" spans="1:26" s="616" customFormat="1" ht="13.5" x14ac:dyDescent="0.2">
      <c r="A12" s="702">
        <v>8</v>
      </c>
      <c r="B12" s="683" t="s">
        <v>431</v>
      </c>
      <c r="C12" s="679">
        <v>1306</v>
      </c>
      <c r="D12" s="679">
        <v>3426</v>
      </c>
      <c r="E12" s="679">
        <v>6958</v>
      </c>
      <c r="F12" s="679">
        <v>3198</v>
      </c>
      <c r="G12" s="679">
        <v>16666</v>
      </c>
      <c r="H12" s="679">
        <v>2389</v>
      </c>
      <c r="I12" s="679">
        <v>15342</v>
      </c>
      <c r="J12" s="679">
        <v>3368</v>
      </c>
      <c r="K12" s="679">
        <v>2769</v>
      </c>
      <c r="L12" s="679">
        <v>6750</v>
      </c>
      <c r="M12" s="679">
        <v>2093</v>
      </c>
      <c r="N12" s="679">
        <v>3078</v>
      </c>
      <c r="O12" s="679">
        <v>2774</v>
      </c>
      <c r="P12" s="679">
        <v>4133</v>
      </c>
      <c r="Q12" s="679">
        <v>4116</v>
      </c>
      <c r="R12" s="679">
        <v>11768</v>
      </c>
      <c r="S12" s="679">
        <v>3405</v>
      </c>
      <c r="T12" s="679">
        <v>1988</v>
      </c>
      <c r="U12" s="679">
        <v>1365</v>
      </c>
      <c r="V12" s="679">
        <v>8147</v>
      </c>
      <c r="W12" s="679">
        <v>1115</v>
      </c>
      <c r="X12" s="684">
        <v>1131</v>
      </c>
      <c r="Y12" s="617">
        <v>97760</v>
      </c>
      <c r="Z12" s="680">
        <v>621470</v>
      </c>
    </row>
    <row r="13" spans="1:26" s="616" customFormat="1" ht="13.5" x14ac:dyDescent="0.2">
      <c r="A13" s="702">
        <v>9</v>
      </c>
      <c r="B13" s="683" t="s">
        <v>432</v>
      </c>
      <c r="C13" s="889"/>
      <c r="D13" s="889"/>
      <c r="E13" s="889"/>
      <c r="F13" s="889"/>
      <c r="G13" s="889"/>
      <c r="H13" s="889"/>
      <c r="I13" s="889"/>
      <c r="J13" s="889"/>
      <c r="K13" s="889"/>
      <c r="L13" s="889"/>
      <c r="M13" s="889"/>
      <c r="N13" s="889"/>
      <c r="O13" s="889"/>
      <c r="P13" s="889"/>
      <c r="Q13" s="889"/>
      <c r="R13" s="889"/>
      <c r="S13" s="889"/>
      <c r="T13" s="889"/>
      <c r="U13" s="889"/>
      <c r="V13" s="889"/>
      <c r="W13" s="889"/>
      <c r="X13" s="891"/>
      <c r="Y13" s="895"/>
      <c r="Z13" s="890"/>
    </row>
    <row r="14" spans="1:26" s="616" customFormat="1" ht="13.5" x14ac:dyDescent="0.2">
      <c r="A14" s="702">
        <v>10</v>
      </c>
      <c r="B14" s="683" t="s">
        <v>433</v>
      </c>
      <c r="C14" s="679">
        <v>1080</v>
      </c>
      <c r="D14" s="679">
        <v>3099</v>
      </c>
      <c r="E14" s="679">
        <v>5824</v>
      </c>
      <c r="F14" s="679">
        <v>3117</v>
      </c>
      <c r="G14" s="679">
        <v>14993</v>
      </c>
      <c r="H14" s="679">
        <v>2133</v>
      </c>
      <c r="I14" s="679">
        <v>15235</v>
      </c>
      <c r="J14" s="679">
        <v>2964</v>
      </c>
      <c r="K14" s="679">
        <v>2126</v>
      </c>
      <c r="L14" s="679">
        <v>6185</v>
      </c>
      <c r="M14" s="679">
        <v>2041</v>
      </c>
      <c r="N14" s="679">
        <v>2770</v>
      </c>
      <c r="O14" s="679">
        <v>2745</v>
      </c>
      <c r="P14" s="679">
        <v>4108</v>
      </c>
      <c r="Q14" s="679">
        <v>4116</v>
      </c>
      <c r="R14" s="679">
        <v>11586</v>
      </c>
      <c r="S14" s="679">
        <v>2993</v>
      </c>
      <c r="T14" s="679">
        <v>1698</v>
      </c>
      <c r="U14" s="679">
        <v>1365</v>
      </c>
      <c r="V14" s="679">
        <v>7152</v>
      </c>
      <c r="W14" s="679">
        <v>908</v>
      </c>
      <c r="X14" s="684">
        <v>1131</v>
      </c>
      <c r="Y14" s="617">
        <f t="shared" ref="Y14:Y65" si="0">SUM(C14:O14,Q14:R14,U14:X14)</f>
        <v>90570</v>
      </c>
      <c r="Z14" s="680">
        <v>559670</v>
      </c>
    </row>
    <row r="15" spans="1:26" s="616" customFormat="1" ht="13.5" x14ac:dyDescent="0.2">
      <c r="A15" s="702">
        <v>11</v>
      </c>
      <c r="B15" s="687" t="s">
        <v>282</v>
      </c>
      <c r="C15" s="687"/>
      <c r="D15" s="687"/>
      <c r="E15" s="687"/>
      <c r="F15" s="687"/>
      <c r="G15" s="687"/>
      <c r="H15" s="687"/>
      <c r="I15" s="687"/>
      <c r="J15" s="687"/>
      <c r="K15" s="687"/>
      <c r="L15" s="687"/>
      <c r="M15" s="687"/>
      <c r="N15" s="687"/>
      <c r="O15" s="687"/>
      <c r="P15" s="687"/>
      <c r="Q15" s="687"/>
      <c r="R15" s="687"/>
      <c r="S15" s="687"/>
      <c r="T15" s="687"/>
      <c r="U15" s="687"/>
      <c r="V15" s="687"/>
      <c r="W15" s="687"/>
      <c r="X15" s="687"/>
      <c r="Y15" s="687"/>
      <c r="Z15" s="906"/>
    </row>
    <row r="16" spans="1:26" s="616" customFormat="1" ht="13.5" x14ac:dyDescent="0.2">
      <c r="A16" s="703"/>
      <c r="B16" s="689" t="s">
        <v>434</v>
      </c>
      <c r="C16" s="686">
        <v>153</v>
      </c>
      <c r="D16" s="679">
        <v>179</v>
      </c>
      <c r="E16" s="679">
        <v>560</v>
      </c>
      <c r="F16" s="679">
        <v>157</v>
      </c>
      <c r="G16" s="679">
        <v>1835</v>
      </c>
      <c r="H16" s="679">
        <v>248</v>
      </c>
      <c r="I16" s="679">
        <v>1577</v>
      </c>
      <c r="J16" s="679">
        <v>375</v>
      </c>
      <c r="K16" s="679">
        <v>219</v>
      </c>
      <c r="L16" s="679">
        <v>490</v>
      </c>
      <c r="M16" s="679">
        <v>228</v>
      </c>
      <c r="N16" s="679">
        <v>231</v>
      </c>
      <c r="O16" s="679">
        <v>177</v>
      </c>
      <c r="P16" s="679">
        <v>512</v>
      </c>
      <c r="Q16" s="679">
        <v>143</v>
      </c>
      <c r="R16" s="679">
        <v>707</v>
      </c>
      <c r="S16" s="679">
        <v>323</v>
      </c>
      <c r="T16" s="679">
        <v>134</v>
      </c>
      <c r="U16" s="679">
        <v>79</v>
      </c>
      <c r="V16" s="679">
        <v>2017</v>
      </c>
      <c r="W16" s="679">
        <v>105</v>
      </c>
      <c r="X16" s="684">
        <v>368</v>
      </c>
      <c r="Y16" s="617">
        <v>9850</v>
      </c>
      <c r="Z16" s="680">
        <v>57050</v>
      </c>
    </row>
    <row r="17" spans="1:26" s="616" customFormat="1" ht="13.5" x14ac:dyDescent="0.2">
      <c r="A17" s="703"/>
      <c r="B17" s="689" t="s">
        <v>435</v>
      </c>
      <c r="C17" s="893"/>
      <c r="D17" s="889"/>
      <c r="E17" s="889"/>
      <c r="F17" s="889"/>
      <c r="G17" s="889"/>
      <c r="H17" s="889"/>
      <c r="I17" s="889"/>
      <c r="J17" s="889"/>
      <c r="K17" s="889"/>
      <c r="L17" s="889"/>
      <c r="M17" s="889"/>
      <c r="N17" s="889"/>
      <c r="O17" s="889"/>
      <c r="P17" s="889"/>
      <c r="Q17" s="889"/>
      <c r="R17" s="889"/>
      <c r="S17" s="889"/>
      <c r="T17" s="889"/>
      <c r="U17" s="889"/>
      <c r="V17" s="889"/>
      <c r="W17" s="889"/>
      <c r="X17" s="891"/>
      <c r="Y17" s="895"/>
      <c r="Z17" s="890"/>
    </row>
    <row r="18" spans="1:26" s="616" customFormat="1" ht="13.5" x14ac:dyDescent="0.2">
      <c r="A18" s="703"/>
      <c r="B18" s="689" t="s">
        <v>436</v>
      </c>
      <c r="C18" s="893"/>
      <c r="D18" s="889"/>
      <c r="E18" s="889"/>
      <c r="F18" s="889"/>
      <c r="G18" s="889"/>
      <c r="H18" s="889"/>
      <c r="I18" s="889"/>
      <c r="J18" s="889"/>
      <c r="K18" s="889"/>
      <c r="L18" s="889"/>
      <c r="M18" s="889"/>
      <c r="N18" s="889"/>
      <c r="O18" s="889"/>
      <c r="P18" s="889"/>
      <c r="Q18" s="889"/>
      <c r="R18" s="889"/>
      <c r="S18" s="889"/>
      <c r="T18" s="889"/>
      <c r="U18" s="889"/>
      <c r="V18" s="889"/>
      <c r="W18" s="889"/>
      <c r="X18" s="891"/>
      <c r="Y18" s="895"/>
      <c r="Z18" s="890"/>
    </row>
    <row r="19" spans="1:26" s="616" customFormat="1" ht="13.5" x14ac:dyDescent="0.2">
      <c r="A19" s="703"/>
      <c r="B19" s="689" t="s">
        <v>437</v>
      </c>
      <c r="C19" s="893"/>
      <c r="D19" s="889"/>
      <c r="E19" s="889"/>
      <c r="F19" s="889"/>
      <c r="G19" s="889"/>
      <c r="H19" s="889"/>
      <c r="I19" s="889"/>
      <c r="J19" s="889"/>
      <c r="K19" s="889"/>
      <c r="L19" s="889"/>
      <c r="M19" s="889"/>
      <c r="N19" s="889"/>
      <c r="O19" s="889"/>
      <c r="P19" s="889"/>
      <c r="Q19" s="889"/>
      <c r="R19" s="889"/>
      <c r="S19" s="889"/>
      <c r="T19" s="889"/>
      <c r="U19" s="889"/>
      <c r="V19" s="889"/>
      <c r="W19" s="889"/>
      <c r="X19" s="891"/>
      <c r="Y19" s="895"/>
      <c r="Z19" s="890"/>
    </row>
    <row r="20" spans="1:26" s="616" customFormat="1" ht="13.5" x14ac:dyDescent="0.2">
      <c r="A20" s="703"/>
      <c r="B20" s="689" t="s">
        <v>438</v>
      </c>
      <c r="C20" s="686">
        <v>343</v>
      </c>
      <c r="D20" s="679">
        <v>523</v>
      </c>
      <c r="E20" s="679">
        <v>1650</v>
      </c>
      <c r="F20" s="679">
        <v>241</v>
      </c>
      <c r="G20" s="679">
        <v>4149</v>
      </c>
      <c r="H20" s="679">
        <v>672</v>
      </c>
      <c r="I20" s="679">
        <v>2617</v>
      </c>
      <c r="J20" s="679">
        <v>848</v>
      </c>
      <c r="K20" s="679">
        <v>620</v>
      </c>
      <c r="L20" s="679">
        <v>964</v>
      </c>
      <c r="M20" s="679">
        <v>341</v>
      </c>
      <c r="N20" s="685">
        <v>590</v>
      </c>
      <c r="O20" s="679">
        <v>524</v>
      </c>
      <c r="P20" s="679">
        <v>733</v>
      </c>
      <c r="Q20" s="679">
        <v>819</v>
      </c>
      <c r="R20" s="679">
        <v>1850</v>
      </c>
      <c r="S20" s="679">
        <v>597</v>
      </c>
      <c r="T20" s="679">
        <v>307</v>
      </c>
      <c r="U20" s="686">
        <v>224</v>
      </c>
      <c r="V20" s="679">
        <v>1204</v>
      </c>
      <c r="W20" s="679">
        <v>128</v>
      </c>
      <c r="X20" s="684">
        <v>179</v>
      </c>
      <c r="Y20" s="617">
        <v>18490</v>
      </c>
      <c r="Z20" s="680">
        <v>103670</v>
      </c>
    </row>
    <row r="21" spans="1:26" s="616" customFormat="1" ht="13.5" x14ac:dyDescent="0.2">
      <c r="A21" s="703"/>
      <c r="B21" s="689" t="s">
        <v>439</v>
      </c>
      <c r="C21" s="686">
        <v>19</v>
      </c>
      <c r="D21" s="679">
        <v>76</v>
      </c>
      <c r="E21" s="679" t="s">
        <v>73</v>
      </c>
      <c r="F21" s="679">
        <v>20</v>
      </c>
      <c r="G21" s="679">
        <v>0</v>
      </c>
      <c r="H21" s="679">
        <v>0</v>
      </c>
      <c r="I21" s="679">
        <v>216</v>
      </c>
      <c r="J21" s="679">
        <v>57</v>
      </c>
      <c r="K21" s="679">
        <v>69</v>
      </c>
      <c r="L21" s="679">
        <v>322</v>
      </c>
      <c r="M21" s="679">
        <v>45</v>
      </c>
      <c r="N21" s="685">
        <v>56</v>
      </c>
      <c r="O21" s="679">
        <v>48</v>
      </c>
      <c r="P21" s="679">
        <v>85</v>
      </c>
      <c r="Q21" s="679">
        <v>11</v>
      </c>
      <c r="R21" s="679">
        <v>126</v>
      </c>
      <c r="S21" s="679">
        <v>22</v>
      </c>
      <c r="T21" s="679">
        <v>0</v>
      </c>
      <c r="U21" s="686">
        <v>33</v>
      </c>
      <c r="V21" s="679">
        <v>0</v>
      </c>
      <c r="W21" s="679" t="s">
        <v>73</v>
      </c>
      <c r="X21" s="684">
        <v>18</v>
      </c>
      <c r="Y21" s="617">
        <v>1120</v>
      </c>
      <c r="Z21" s="680">
        <v>16900</v>
      </c>
    </row>
    <row r="22" spans="1:26" s="616" customFormat="1" ht="13.5" x14ac:dyDescent="0.2">
      <c r="A22" s="703"/>
      <c r="B22" s="689" t="s">
        <v>440</v>
      </c>
      <c r="C22" s="686">
        <v>118</v>
      </c>
      <c r="D22" s="679">
        <v>488</v>
      </c>
      <c r="E22" s="679">
        <v>1150</v>
      </c>
      <c r="F22" s="679">
        <v>191</v>
      </c>
      <c r="G22" s="679">
        <v>2148</v>
      </c>
      <c r="H22" s="679">
        <v>278</v>
      </c>
      <c r="I22" s="679">
        <v>2128</v>
      </c>
      <c r="J22" s="679">
        <v>350</v>
      </c>
      <c r="K22" s="679">
        <v>270</v>
      </c>
      <c r="L22" s="679">
        <v>1035</v>
      </c>
      <c r="M22" s="679">
        <v>300</v>
      </c>
      <c r="N22" s="685">
        <v>402</v>
      </c>
      <c r="O22" s="679">
        <v>346</v>
      </c>
      <c r="P22" s="679">
        <v>686</v>
      </c>
      <c r="Q22" s="679">
        <v>585</v>
      </c>
      <c r="R22" s="679">
        <v>1597</v>
      </c>
      <c r="S22" s="679">
        <v>392</v>
      </c>
      <c r="T22" s="679">
        <v>260</v>
      </c>
      <c r="U22" s="686">
        <v>146</v>
      </c>
      <c r="V22" s="679">
        <v>765</v>
      </c>
      <c r="W22" s="679">
        <v>111</v>
      </c>
      <c r="X22" s="684">
        <v>53</v>
      </c>
      <c r="Y22" s="617">
        <v>12460</v>
      </c>
      <c r="Z22" s="680">
        <v>89080</v>
      </c>
    </row>
    <row r="23" spans="1:26" s="616" customFormat="1" ht="13.5" x14ac:dyDescent="0.2">
      <c r="A23" s="703"/>
      <c r="B23" s="689" t="s">
        <v>441</v>
      </c>
      <c r="C23" s="893"/>
      <c r="D23" s="889"/>
      <c r="E23" s="889"/>
      <c r="F23" s="889"/>
      <c r="G23" s="889"/>
      <c r="H23" s="889"/>
      <c r="I23" s="889"/>
      <c r="J23" s="889"/>
      <c r="K23" s="889"/>
      <c r="L23" s="889"/>
      <c r="M23" s="889"/>
      <c r="N23" s="892"/>
      <c r="O23" s="889"/>
      <c r="P23" s="889"/>
      <c r="Q23" s="889"/>
      <c r="R23" s="889"/>
      <c r="S23" s="889"/>
      <c r="T23" s="889"/>
      <c r="U23" s="893"/>
      <c r="V23" s="889"/>
      <c r="W23" s="889"/>
      <c r="X23" s="891"/>
      <c r="Y23" s="895"/>
      <c r="Z23" s="890"/>
    </row>
    <row r="24" spans="1:26" s="616" customFormat="1" ht="13.5" x14ac:dyDescent="0.2">
      <c r="A24" s="703"/>
      <c r="B24" s="689" t="s">
        <v>442</v>
      </c>
      <c r="C24" s="893"/>
      <c r="D24" s="889"/>
      <c r="E24" s="889"/>
      <c r="F24" s="889"/>
      <c r="G24" s="889"/>
      <c r="H24" s="889"/>
      <c r="I24" s="889"/>
      <c r="J24" s="889"/>
      <c r="K24" s="889"/>
      <c r="L24" s="889"/>
      <c r="M24" s="889"/>
      <c r="N24" s="892"/>
      <c r="O24" s="889"/>
      <c r="P24" s="889"/>
      <c r="Q24" s="889"/>
      <c r="R24" s="889"/>
      <c r="S24" s="889"/>
      <c r="T24" s="889"/>
      <c r="U24" s="893"/>
      <c r="V24" s="889"/>
      <c r="W24" s="889"/>
      <c r="X24" s="891"/>
      <c r="Y24" s="895"/>
      <c r="Z24" s="890"/>
    </row>
    <row r="25" spans="1:26" s="616" customFormat="1" ht="13.5" x14ac:dyDescent="0.2">
      <c r="A25" s="703"/>
      <c r="B25" s="689" t="s">
        <v>443</v>
      </c>
      <c r="C25" s="893"/>
      <c r="D25" s="889"/>
      <c r="E25" s="889"/>
      <c r="F25" s="889"/>
      <c r="G25" s="889"/>
      <c r="H25" s="889"/>
      <c r="I25" s="889"/>
      <c r="J25" s="889"/>
      <c r="K25" s="889"/>
      <c r="L25" s="889"/>
      <c r="M25" s="889"/>
      <c r="N25" s="892"/>
      <c r="O25" s="889"/>
      <c r="P25" s="889"/>
      <c r="Q25" s="889"/>
      <c r="R25" s="889"/>
      <c r="S25" s="889"/>
      <c r="T25" s="889"/>
      <c r="U25" s="893"/>
      <c r="V25" s="889"/>
      <c r="W25" s="889"/>
      <c r="X25" s="891"/>
      <c r="Y25" s="895"/>
      <c r="Z25" s="890"/>
    </row>
    <row r="26" spans="1:26" s="616" customFormat="1" ht="13.5" x14ac:dyDescent="0.2">
      <c r="A26" s="703"/>
      <c r="B26" s="689" t="s">
        <v>444</v>
      </c>
      <c r="C26" s="893"/>
      <c r="D26" s="889"/>
      <c r="E26" s="889"/>
      <c r="F26" s="889"/>
      <c r="G26" s="889"/>
      <c r="H26" s="889"/>
      <c r="I26" s="889"/>
      <c r="J26" s="889"/>
      <c r="K26" s="889"/>
      <c r="L26" s="889"/>
      <c r="M26" s="889"/>
      <c r="N26" s="892"/>
      <c r="O26" s="889"/>
      <c r="P26" s="889"/>
      <c r="Q26" s="889"/>
      <c r="R26" s="889"/>
      <c r="S26" s="889"/>
      <c r="T26" s="889"/>
      <c r="U26" s="893"/>
      <c r="V26" s="889"/>
      <c r="W26" s="889"/>
      <c r="X26" s="891"/>
      <c r="Y26" s="895"/>
      <c r="Z26" s="890"/>
    </row>
    <row r="27" spans="1:26" s="616" customFormat="1" ht="13.5" x14ac:dyDescent="0.2">
      <c r="A27" s="703"/>
      <c r="B27" s="689" t="s">
        <v>445</v>
      </c>
      <c r="C27" s="893"/>
      <c r="D27" s="889"/>
      <c r="E27" s="889"/>
      <c r="F27" s="889"/>
      <c r="G27" s="889"/>
      <c r="H27" s="889"/>
      <c r="I27" s="889"/>
      <c r="J27" s="889"/>
      <c r="K27" s="889"/>
      <c r="L27" s="889"/>
      <c r="M27" s="889"/>
      <c r="N27" s="892"/>
      <c r="O27" s="889"/>
      <c r="P27" s="889"/>
      <c r="Q27" s="889"/>
      <c r="R27" s="889"/>
      <c r="S27" s="889"/>
      <c r="T27" s="889"/>
      <c r="U27" s="893"/>
      <c r="V27" s="889"/>
      <c r="W27" s="889"/>
      <c r="X27" s="891"/>
      <c r="Y27" s="895"/>
      <c r="Z27" s="890"/>
    </row>
    <row r="28" spans="1:26" s="616" customFormat="1" ht="13.5" x14ac:dyDescent="0.2">
      <c r="A28" s="703"/>
      <c r="B28" s="689" t="s">
        <v>446</v>
      </c>
      <c r="C28" s="686">
        <v>10</v>
      </c>
      <c r="D28" s="679">
        <v>0</v>
      </c>
      <c r="E28" s="679">
        <v>54</v>
      </c>
      <c r="F28" s="679">
        <v>18</v>
      </c>
      <c r="G28" s="679">
        <v>277</v>
      </c>
      <c r="H28" s="679">
        <v>13</v>
      </c>
      <c r="I28" s="679">
        <v>395</v>
      </c>
      <c r="J28" s="679">
        <v>102</v>
      </c>
      <c r="K28" s="679" t="s">
        <v>73</v>
      </c>
      <c r="L28" s="679">
        <v>89</v>
      </c>
      <c r="M28" s="679">
        <v>45</v>
      </c>
      <c r="N28" s="685">
        <v>123</v>
      </c>
      <c r="O28" s="679">
        <v>21</v>
      </c>
      <c r="P28" s="679" t="s">
        <v>73</v>
      </c>
      <c r="Q28" s="679">
        <v>47</v>
      </c>
      <c r="R28" s="679">
        <v>84</v>
      </c>
      <c r="S28" s="679">
        <v>67</v>
      </c>
      <c r="T28" s="679">
        <v>10</v>
      </c>
      <c r="U28" s="686">
        <v>54</v>
      </c>
      <c r="V28" s="679">
        <v>141</v>
      </c>
      <c r="W28" s="679">
        <v>11</v>
      </c>
      <c r="X28" s="684" t="s">
        <v>73</v>
      </c>
      <c r="Y28" s="617">
        <v>1540</v>
      </c>
      <c r="Z28" s="680">
        <v>9710</v>
      </c>
    </row>
    <row r="29" spans="1:26" s="616" customFormat="1" ht="13.5" x14ac:dyDescent="0.2">
      <c r="A29" s="703"/>
      <c r="B29" s="689" t="s">
        <v>447</v>
      </c>
      <c r="C29" s="686">
        <v>229</v>
      </c>
      <c r="D29" s="679">
        <v>709</v>
      </c>
      <c r="E29" s="679">
        <v>937</v>
      </c>
      <c r="F29" s="679">
        <v>300</v>
      </c>
      <c r="G29" s="679">
        <v>1596</v>
      </c>
      <c r="H29" s="679">
        <v>214</v>
      </c>
      <c r="I29" s="679">
        <v>1670</v>
      </c>
      <c r="J29" s="679">
        <v>515</v>
      </c>
      <c r="K29" s="679">
        <v>462</v>
      </c>
      <c r="L29" s="679">
        <v>655</v>
      </c>
      <c r="M29" s="679">
        <v>246</v>
      </c>
      <c r="N29" s="685">
        <v>254</v>
      </c>
      <c r="O29" s="679">
        <v>553</v>
      </c>
      <c r="P29" s="679">
        <v>624</v>
      </c>
      <c r="Q29" s="679">
        <v>417</v>
      </c>
      <c r="R29" s="679">
        <v>1079</v>
      </c>
      <c r="S29" s="679">
        <v>266</v>
      </c>
      <c r="T29" s="679">
        <v>466</v>
      </c>
      <c r="U29" s="686">
        <v>310</v>
      </c>
      <c r="V29" s="679">
        <v>779</v>
      </c>
      <c r="W29" s="679">
        <v>423</v>
      </c>
      <c r="X29" s="684">
        <v>46</v>
      </c>
      <c r="Y29" s="617">
        <v>11390</v>
      </c>
      <c r="Z29" s="680">
        <v>83250</v>
      </c>
    </row>
    <row r="30" spans="1:26" s="616" customFormat="1" ht="13.5" x14ac:dyDescent="0.2">
      <c r="A30" s="703"/>
      <c r="B30" s="689" t="s">
        <v>448</v>
      </c>
      <c r="C30" s="893"/>
      <c r="D30" s="889"/>
      <c r="E30" s="889"/>
      <c r="F30" s="889"/>
      <c r="G30" s="889"/>
      <c r="H30" s="889"/>
      <c r="I30" s="889"/>
      <c r="J30" s="889"/>
      <c r="K30" s="889"/>
      <c r="L30" s="889"/>
      <c r="M30" s="889"/>
      <c r="N30" s="892"/>
      <c r="O30" s="889"/>
      <c r="P30" s="889"/>
      <c r="Q30" s="889"/>
      <c r="R30" s="889"/>
      <c r="S30" s="889"/>
      <c r="T30" s="889"/>
      <c r="U30" s="893"/>
      <c r="V30" s="889"/>
      <c r="W30" s="889"/>
      <c r="X30" s="891"/>
      <c r="Y30" s="895"/>
      <c r="Z30" s="890"/>
    </row>
    <row r="31" spans="1:26" s="616" customFormat="1" ht="13.5" x14ac:dyDescent="0.2">
      <c r="A31" s="703"/>
      <c r="B31" s="689" t="s">
        <v>449</v>
      </c>
      <c r="C31" s="893"/>
      <c r="D31" s="889"/>
      <c r="E31" s="889"/>
      <c r="F31" s="889"/>
      <c r="G31" s="889"/>
      <c r="H31" s="889"/>
      <c r="I31" s="889"/>
      <c r="J31" s="889"/>
      <c r="K31" s="889"/>
      <c r="L31" s="889"/>
      <c r="M31" s="889"/>
      <c r="N31" s="892"/>
      <c r="O31" s="889"/>
      <c r="P31" s="889"/>
      <c r="Q31" s="889"/>
      <c r="R31" s="889"/>
      <c r="S31" s="889"/>
      <c r="T31" s="889"/>
      <c r="U31" s="893"/>
      <c r="V31" s="889"/>
      <c r="W31" s="889"/>
      <c r="X31" s="891"/>
      <c r="Y31" s="895"/>
      <c r="Z31" s="890"/>
    </row>
    <row r="32" spans="1:26" s="616" customFormat="1" ht="13.5" x14ac:dyDescent="0.2">
      <c r="A32" s="703"/>
      <c r="B32" s="689" t="s">
        <v>450</v>
      </c>
      <c r="C32" s="686">
        <v>317</v>
      </c>
      <c r="D32" s="679">
        <v>844</v>
      </c>
      <c r="E32" s="679">
        <v>1884</v>
      </c>
      <c r="F32" s="679">
        <v>552</v>
      </c>
      <c r="G32" s="679">
        <v>4346</v>
      </c>
      <c r="H32" s="679">
        <v>606</v>
      </c>
      <c r="I32" s="679">
        <v>3886</v>
      </c>
      <c r="J32" s="679">
        <v>718</v>
      </c>
      <c r="K32" s="679">
        <v>718</v>
      </c>
      <c r="L32" s="679">
        <v>2323</v>
      </c>
      <c r="M32" s="679">
        <v>655</v>
      </c>
      <c r="N32" s="685">
        <v>1014</v>
      </c>
      <c r="O32" s="679">
        <v>917</v>
      </c>
      <c r="P32" s="679">
        <v>955</v>
      </c>
      <c r="Q32" s="679">
        <v>951</v>
      </c>
      <c r="R32" s="679">
        <v>4858</v>
      </c>
      <c r="S32" s="679">
        <v>1099</v>
      </c>
      <c r="T32" s="679">
        <v>520</v>
      </c>
      <c r="U32" s="686">
        <v>285</v>
      </c>
      <c r="V32" s="679">
        <v>2562</v>
      </c>
      <c r="W32" s="679">
        <v>265</v>
      </c>
      <c r="X32" s="684">
        <v>420</v>
      </c>
      <c r="Y32" s="617">
        <v>28120</v>
      </c>
      <c r="Z32" s="680">
        <v>171380</v>
      </c>
    </row>
    <row r="33" spans="1:26" s="616" customFormat="1" ht="13.5" x14ac:dyDescent="0.2">
      <c r="A33" s="703"/>
      <c r="B33" s="689" t="s">
        <v>451</v>
      </c>
      <c r="C33" s="686">
        <v>21</v>
      </c>
      <c r="D33" s="679">
        <v>69</v>
      </c>
      <c r="E33" s="679">
        <v>158</v>
      </c>
      <c r="F33" s="679">
        <v>57</v>
      </c>
      <c r="G33" s="679">
        <v>370</v>
      </c>
      <c r="H33" s="679">
        <v>53</v>
      </c>
      <c r="I33" s="679">
        <v>1321</v>
      </c>
      <c r="J33" s="679">
        <v>142</v>
      </c>
      <c r="K33" s="679">
        <v>160</v>
      </c>
      <c r="L33" s="679">
        <v>128</v>
      </c>
      <c r="M33" s="679">
        <v>70</v>
      </c>
      <c r="N33" s="685">
        <v>135</v>
      </c>
      <c r="O33" s="679">
        <v>68</v>
      </c>
      <c r="P33" s="679">
        <v>107</v>
      </c>
      <c r="Q33" s="679">
        <v>67</v>
      </c>
      <c r="R33" s="679">
        <v>319</v>
      </c>
      <c r="S33" s="679">
        <v>72</v>
      </c>
      <c r="T33" s="679">
        <v>33</v>
      </c>
      <c r="U33" s="686">
        <v>24</v>
      </c>
      <c r="V33" s="679">
        <v>336</v>
      </c>
      <c r="W33" s="679">
        <v>28</v>
      </c>
      <c r="X33" s="684">
        <v>0</v>
      </c>
      <c r="Y33" s="617">
        <v>3530</v>
      </c>
      <c r="Z33" s="680">
        <v>20840</v>
      </c>
    </row>
    <row r="34" spans="1:26" s="616" customFormat="1" ht="13.5" x14ac:dyDescent="0.2">
      <c r="A34" s="703"/>
      <c r="B34" s="689" t="s">
        <v>452</v>
      </c>
      <c r="C34" s="686">
        <v>84</v>
      </c>
      <c r="D34" s="679">
        <v>99</v>
      </c>
      <c r="E34" s="679">
        <v>421</v>
      </c>
      <c r="F34" s="679">
        <v>153</v>
      </c>
      <c r="G34" s="679">
        <v>1255</v>
      </c>
      <c r="H34" s="679">
        <v>241</v>
      </c>
      <c r="I34" s="679">
        <v>1244</v>
      </c>
      <c r="J34" s="679">
        <v>150</v>
      </c>
      <c r="K34" s="679">
        <v>123</v>
      </c>
      <c r="L34" s="679">
        <v>371</v>
      </c>
      <c r="M34" s="679">
        <v>117</v>
      </c>
      <c r="N34" s="685">
        <v>204</v>
      </c>
      <c r="O34" s="679">
        <v>89</v>
      </c>
      <c r="P34" s="679">
        <v>185</v>
      </c>
      <c r="Q34" s="679">
        <v>188</v>
      </c>
      <c r="R34" s="679">
        <v>878</v>
      </c>
      <c r="S34" s="679">
        <v>59</v>
      </c>
      <c r="T34" s="679">
        <v>165</v>
      </c>
      <c r="U34" s="686">
        <v>207</v>
      </c>
      <c r="V34" s="679">
        <v>67</v>
      </c>
      <c r="W34" s="679">
        <v>33</v>
      </c>
      <c r="X34" s="684" t="s">
        <v>73</v>
      </c>
      <c r="Y34" s="617">
        <v>5930</v>
      </c>
      <c r="Z34" s="680">
        <v>38740</v>
      </c>
    </row>
    <row r="35" spans="1:26" s="616" customFormat="1" ht="13.5" x14ac:dyDescent="0.2">
      <c r="A35" s="703"/>
      <c r="B35" s="689" t="s">
        <v>453</v>
      </c>
      <c r="C35" s="686" t="s">
        <v>73</v>
      </c>
      <c r="D35" s="679">
        <v>87</v>
      </c>
      <c r="E35" s="679">
        <v>100</v>
      </c>
      <c r="F35" s="679">
        <v>28</v>
      </c>
      <c r="G35" s="679">
        <v>400</v>
      </c>
      <c r="H35" s="679">
        <v>64</v>
      </c>
      <c r="I35" s="679">
        <v>230</v>
      </c>
      <c r="J35" s="679">
        <v>96</v>
      </c>
      <c r="K35" s="679">
        <v>73</v>
      </c>
      <c r="L35" s="679">
        <v>198</v>
      </c>
      <c r="M35" s="679">
        <v>46</v>
      </c>
      <c r="N35" s="685">
        <v>22</v>
      </c>
      <c r="O35" s="679">
        <v>31</v>
      </c>
      <c r="P35" s="679">
        <v>184</v>
      </c>
      <c r="Q35" s="679">
        <v>108</v>
      </c>
      <c r="R35" s="679">
        <v>270</v>
      </c>
      <c r="S35" s="679">
        <v>122</v>
      </c>
      <c r="T35" s="679">
        <v>71</v>
      </c>
      <c r="U35" s="686" t="s">
        <v>73</v>
      </c>
      <c r="V35" s="679">
        <v>0</v>
      </c>
      <c r="W35" s="679">
        <v>7</v>
      </c>
      <c r="X35" s="684">
        <v>39</v>
      </c>
      <c r="Y35" s="617">
        <v>1810</v>
      </c>
      <c r="Z35" s="680">
        <v>13770</v>
      </c>
    </row>
    <row r="36" spans="1:26" s="616" customFormat="1" ht="13.5" x14ac:dyDescent="0.2">
      <c r="A36" s="703"/>
      <c r="B36" s="689" t="s">
        <v>454</v>
      </c>
      <c r="C36" s="686" t="s">
        <v>73</v>
      </c>
      <c r="D36" s="679">
        <v>352</v>
      </c>
      <c r="E36" s="679" t="s">
        <v>73</v>
      </c>
      <c r="F36" s="679">
        <v>1481</v>
      </c>
      <c r="G36" s="679">
        <v>290</v>
      </c>
      <c r="H36" s="679">
        <v>0</v>
      </c>
      <c r="I36" s="679">
        <v>58</v>
      </c>
      <c r="J36" s="679">
        <v>15</v>
      </c>
      <c r="K36" s="679" t="s">
        <v>73</v>
      </c>
      <c r="L36" s="679">
        <v>175</v>
      </c>
      <c r="M36" s="679">
        <v>0</v>
      </c>
      <c r="N36" s="685">
        <v>47</v>
      </c>
      <c r="O36" s="679">
        <v>0</v>
      </c>
      <c r="P36" s="679" t="s">
        <v>73</v>
      </c>
      <c r="Q36" s="679">
        <v>780</v>
      </c>
      <c r="R36" s="679">
        <v>0</v>
      </c>
      <c r="S36" s="679">
        <v>386</v>
      </c>
      <c r="T36" s="679">
        <v>22</v>
      </c>
      <c r="U36" s="686" t="s">
        <v>73</v>
      </c>
      <c r="V36" s="679">
        <v>276</v>
      </c>
      <c r="W36" s="679" t="s">
        <v>73</v>
      </c>
      <c r="X36" s="684">
        <v>0</v>
      </c>
      <c r="Y36" s="617">
        <v>3520</v>
      </c>
      <c r="Z36" s="680">
        <v>17080</v>
      </c>
    </row>
    <row r="37" spans="1:26" s="616" customFormat="1" ht="13.5" x14ac:dyDescent="0.2">
      <c r="A37" s="702">
        <v>12</v>
      </c>
      <c r="B37" s="690" t="s">
        <v>455</v>
      </c>
      <c r="C37" s="691">
        <v>224.99999999999991</v>
      </c>
      <c r="D37" s="679">
        <v>1101.0000000000007</v>
      </c>
      <c r="E37" s="679">
        <v>1840.9999999999973</v>
      </c>
      <c r="F37" s="679">
        <v>465.00000000000011</v>
      </c>
      <c r="G37" s="679">
        <v>4695</v>
      </c>
      <c r="H37" s="679">
        <v>786</v>
      </c>
      <c r="I37" s="679">
        <v>3197.0000000000027</v>
      </c>
      <c r="J37" s="679">
        <v>556</v>
      </c>
      <c r="K37" s="679">
        <v>580</v>
      </c>
      <c r="L37" s="679">
        <v>1712</v>
      </c>
      <c r="M37" s="679">
        <v>406.99999999999989</v>
      </c>
      <c r="N37" s="692">
        <v>646</v>
      </c>
      <c r="O37" s="679">
        <v>522.00000000000011</v>
      </c>
      <c r="P37" s="679">
        <v>985</v>
      </c>
      <c r="Q37" s="679">
        <v>790</v>
      </c>
      <c r="R37" s="679">
        <v>2840</v>
      </c>
      <c r="S37" s="679">
        <v>948.99999999999989</v>
      </c>
      <c r="T37" s="679">
        <v>574.00000000000011</v>
      </c>
      <c r="U37" s="691">
        <v>219</v>
      </c>
      <c r="V37" s="679">
        <v>1986.999999999997</v>
      </c>
      <c r="W37" s="679">
        <v>193</v>
      </c>
      <c r="X37" s="684">
        <v>195</v>
      </c>
      <c r="Y37" s="617">
        <v>22960</v>
      </c>
      <c r="Z37" s="680">
        <v>138700</v>
      </c>
    </row>
    <row r="38" spans="1:26" s="616" customFormat="1" ht="13.5" x14ac:dyDescent="0.2">
      <c r="A38" s="702">
        <v>13</v>
      </c>
      <c r="B38" s="690" t="s">
        <v>456</v>
      </c>
      <c r="C38" s="691">
        <v>1099</v>
      </c>
      <c r="D38" s="679">
        <v>2868</v>
      </c>
      <c r="E38" s="679">
        <v>5597</v>
      </c>
      <c r="F38" s="679">
        <v>2485</v>
      </c>
      <c r="G38" s="679">
        <v>16931</v>
      </c>
      <c r="H38" s="679">
        <v>2395</v>
      </c>
      <c r="I38" s="679">
        <v>16440</v>
      </c>
      <c r="J38" s="679">
        <v>3114</v>
      </c>
      <c r="K38" s="679">
        <v>2087</v>
      </c>
      <c r="L38" s="679">
        <v>5516</v>
      </c>
      <c r="M38" s="679">
        <v>1865</v>
      </c>
      <c r="N38" s="692">
        <v>2171</v>
      </c>
      <c r="O38" s="679">
        <v>2588</v>
      </c>
      <c r="P38" s="679">
        <v>4413</v>
      </c>
      <c r="Q38" s="679">
        <v>3035</v>
      </c>
      <c r="R38" s="679">
        <v>12174</v>
      </c>
      <c r="S38" s="679">
        <v>3139</v>
      </c>
      <c r="T38" s="679">
        <v>1558</v>
      </c>
      <c r="U38" s="691">
        <v>1434</v>
      </c>
      <c r="V38" s="679">
        <v>7465</v>
      </c>
      <c r="W38" s="679">
        <v>924</v>
      </c>
      <c r="X38" s="684">
        <v>1128</v>
      </c>
      <c r="Y38" s="617">
        <v>91320</v>
      </c>
      <c r="Z38" s="680">
        <v>571640</v>
      </c>
    </row>
    <row r="39" spans="1:26" s="616" customFormat="1" ht="22.5" x14ac:dyDescent="0.2">
      <c r="A39" s="702">
        <v>14</v>
      </c>
      <c r="B39" s="687" t="s">
        <v>306</v>
      </c>
      <c r="C39" s="687"/>
      <c r="D39" s="687"/>
      <c r="E39" s="687"/>
      <c r="F39" s="687"/>
      <c r="G39" s="687"/>
      <c r="H39" s="687"/>
      <c r="I39" s="687"/>
      <c r="J39" s="687"/>
      <c r="K39" s="687"/>
      <c r="L39" s="687"/>
      <c r="M39" s="687"/>
      <c r="N39" s="687"/>
      <c r="O39" s="687"/>
      <c r="P39" s="687"/>
      <c r="Q39" s="687"/>
      <c r="R39" s="687"/>
      <c r="S39" s="687"/>
      <c r="T39" s="687"/>
      <c r="U39" s="687"/>
      <c r="V39" s="687"/>
      <c r="W39" s="687"/>
      <c r="X39" s="687"/>
      <c r="Y39" s="687"/>
      <c r="Z39" s="906"/>
    </row>
    <row r="40" spans="1:26" s="616" customFormat="1" ht="13.5" x14ac:dyDescent="0.2">
      <c r="A40" s="702"/>
      <c r="B40" s="683" t="s">
        <v>457</v>
      </c>
      <c r="C40" s="686">
        <v>268</v>
      </c>
      <c r="D40" s="679">
        <v>358</v>
      </c>
      <c r="E40" s="679">
        <v>601</v>
      </c>
      <c r="F40" s="693">
        <v>322</v>
      </c>
      <c r="G40" s="679">
        <v>3811</v>
      </c>
      <c r="H40" s="679">
        <v>473</v>
      </c>
      <c r="I40" s="679">
        <v>2185</v>
      </c>
      <c r="J40" s="679">
        <v>211</v>
      </c>
      <c r="K40" s="679">
        <v>543</v>
      </c>
      <c r="L40" s="679">
        <v>585</v>
      </c>
      <c r="M40" s="679">
        <v>812</v>
      </c>
      <c r="N40" s="685">
        <v>1042</v>
      </c>
      <c r="O40" s="679">
        <v>135</v>
      </c>
      <c r="P40" s="679">
        <v>733</v>
      </c>
      <c r="Q40" s="679">
        <v>586</v>
      </c>
      <c r="R40" s="679">
        <v>1162</v>
      </c>
      <c r="S40" s="679">
        <v>653</v>
      </c>
      <c r="T40" s="679">
        <v>461</v>
      </c>
      <c r="U40" s="686">
        <v>172</v>
      </c>
      <c r="V40" s="679">
        <v>4808</v>
      </c>
      <c r="W40" s="679">
        <v>188</v>
      </c>
      <c r="X40" s="684">
        <v>678</v>
      </c>
      <c r="Y40" s="617">
        <f t="shared" si="0"/>
        <v>18940</v>
      </c>
      <c r="Z40" s="680">
        <v>111520</v>
      </c>
    </row>
    <row r="41" spans="1:26" s="616" customFormat="1" ht="13.5" x14ac:dyDescent="0.2">
      <c r="A41" s="702"/>
      <c r="B41" s="683" t="s">
        <v>851</v>
      </c>
      <c r="C41" s="686">
        <v>320</v>
      </c>
      <c r="D41" s="679">
        <v>247</v>
      </c>
      <c r="E41" s="679">
        <v>1000</v>
      </c>
      <c r="F41" s="693">
        <v>225</v>
      </c>
      <c r="G41" s="679">
        <v>6196</v>
      </c>
      <c r="H41" s="679">
        <v>777</v>
      </c>
      <c r="I41" s="679">
        <v>2362</v>
      </c>
      <c r="J41" s="679">
        <v>312</v>
      </c>
      <c r="K41" s="679">
        <v>558</v>
      </c>
      <c r="L41" s="679">
        <v>756</v>
      </c>
      <c r="M41" s="679">
        <v>423</v>
      </c>
      <c r="N41" s="685">
        <v>274</v>
      </c>
      <c r="O41" s="679">
        <v>233</v>
      </c>
      <c r="P41" s="679">
        <v>666</v>
      </c>
      <c r="Q41" s="679">
        <v>857</v>
      </c>
      <c r="R41" s="679">
        <v>1791</v>
      </c>
      <c r="S41" s="679">
        <v>365</v>
      </c>
      <c r="T41" s="679">
        <v>369</v>
      </c>
      <c r="U41" s="686">
        <v>192</v>
      </c>
      <c r="V41" s="679">
        <v>982</v>
      </c>
      <c r="W41" s="679">
        <v>203</v>
      </c>
      <c r="X41" s="684">
        <v>173</v>
      </c>
      <c r="Y41" s="617">
        <v>17880</v>
      </c>
      <c r="Z41" s="680">
        <v>103480</v>
      </c>
    </row>
    <row r="42" spans="1:26" s="616" customFormat="1" ht="13.5" x14ac:dyDescent="0.2">
      <c r="A42" s="702"/>
      <c r="B42" s="683" t="s">
        <v>852</v>
      </c>
      <c r="C42" s="686">
        <v>184</v>
      </c>
      <c r="D42" s="679">
        <v>275</v>
      </c>
      <c r="E42" s="679">
        <v>1813</v>
      </c>
      <c r="F42" s="693">
        <v>232</v>
      </c>
      <c r="G42" s="679">
        <v>2819</v>
      </c>
      <c r="H42" s="679">
        <v>407</v>
      </c>
      <c r="I42" s="679">
        <v>4163</v>
      </c>
      <c r="J42" s="679">
        <v>361</v>
      </c>
      <c r="K42" s="679">
        <v>478</v>
      </c>
      <c r="L42" s="679">
        <v>789</v>
      </c>
      <c r="M42" s="679">
        <v>316</v>
      </c>
      <c r="N42" s="685">
        <v>193</v>
      </c>
      <c r="O42" s="679">
        <v>287</v>
      </c>
      <c r="P42" s="679">
        <v>694</v>
      </c>
      <c r="Q42" s="679">
        <v>582</v>
      </c>
      <c r="R42" s="679">
        <v>1648</v>
      </c>
      <c r="S42" s="679">
        <v>387</v>
      </c>
      <c r="T42" s="679">
        <v>261</v>
      </c>
      <c r="U42" s="686">
        <v>215</v>
      </c>
      <c r="V42" s="679">
        <v>705</v>
      </c>
      <c r="W42" s="679">
        <v>165</v>
      </c>
      <c r="X42" s="684">
        <v>135</v>
      </c>
      <c r="Y42" s="617">
        <v>15770</v>
      </c>
      <c r="Z42" s="680">
        <v>91190</v>
      </c>
    </row>
    <row r="43" spans="1:26" s="616" customFormat="1" ht="13.5" x14ac:dyDescent="0.2">
      <c r="A43" s="702"/>
      <c r="B43" s="683" t="s">
        <v>853</v>
      </c>
      <c r="C43" s="686">
        <v>289</v>
      </c>
      <c r="D43" s="679">
        <v>520</v>
      </c>
      <c r="E43" s="679">
        <v>1472</v>
      </c>
      <c r="F43" s="693">
        <v>560</v>
      </c>
      <c r="G43" s="679">
        <v>2116</v>
      </c>
      <c r="H43" s="679">
        <v>410</v>
      </c>
      <c r="I43" s="679">
        <v>6284</v>
      </c>
      <c r="J43" s="679">
        <v>1712</v>
      </c>
      <c r="K43" s="679">
        <v>368</v>
      </c>
      <c r="L43" s="679">
        <v>1341</v>
      </c>
      <c r="M43" s="679">
        <v>303</v>
      </c>
      <c r="N43" s="685">
        <v>301</v>
      </c>
      <c r="O43" s="679">
        <v>1748</v>
      </c>
      <c r="P43" s="679">
        <v>913</v>
      </c>
      <c r="Q43" s="694">
        <v>550</v>
      </c>
      <c r="R43" s="679">
        <v>3332</v>
      </c>
      <c r="S43" s="679">
        <v>500</v>
      </c>
      <c r="T43" s="679">
        <v>313</v>
      </c>
      <c r="U43" s="686">
        <v>655</v>
      </c>
      <c r="V43" s="679">
        <v>708</v>
      </c>
      <c r="W43" s="679">
        <v>193</v>
      </c>
      <c r="X43" s="684">
        <v>88</v>
      </c>
      <c r="Y43" s="617">
        <v>22950</v>
      </c>
      <c r="Z43" s="680">
        <v>170760</v>
      </c>
    </row>
    <row r="44" spans="1:26" s="616" customFormat="1" ht="13.5" x14ac:dyDescent="0.2">
      <c r="A44" s="702"/>
      <c r="B44" s="683" t="s">
        <v>458</v>
      </c>
      <c r="C44" s="686">
        <v>38</v>
      </c>
      <c r="D44" s="679">
        <v>1468</v>
      </c>
      <c r="E44" s="679">
        <v>711</v>
      </c>
      <c r="F44" s="693">
        <v>1146</v>
      </c>
      <c r="G44" s="679">
        <v>1989</v>
      </c>
      <c r="H44" s="679">
        <v>328</v>
      </c>
      <c r="I44" s="679">
        <v>1446</v>
      </c>
      <c r="J44" s="679">
        <v>518</v>
      </c>
      <c r="K44" s="679">
        <v>140</v>
      </c>
      <c r="L44" s="679">
        <v>2045</v>
      </c>
      <c r="M44" s="679">
        <v>9</v>
      </c>
      <c r="N44" s="685">
        <v>361</v>
      </c>
      <c r="O44" s="679">
        <v>185</v>
      </c>
      <c r="P44" s="679">
        <v>1407</v>
      </c>
      <c r="Q44" s="694">
        <v>460</v>
      </c>
      <c r="R44" s="679">
        <v>4241</v>
      </c>
      <c r="S44" s="679">
        <v>1234</v>
      </c>
      <c r="T44" s="679">
        <v>154</v>
      </c>
      <c r="U44" s="686">
        <v>200</v>
      </c>
      <c r="V44" s="679">
        <v>262</v>
      </c>
      <c r="W44" s="679">
        <v>175</v>
      </c>
      <c r="X44" s="684">
        <v>54</v>
      </c>
      <c r="Y44" s="617">
        <v>15790</v>
      </c>
      <c r="Z44" s="680">
        <v>94690</v>
      </c>
    </row>
    <row r="45" spans="1:26" s="616" customFormat="1" ht="13.5" x14ac:dyDescent="0.2">
      <c r="A45" s="702">
        <v>15</v>
      </c>
      <c r="B45" s="690" t="s">
        <v>459</v>
      </c>
      <c r="C45" s="893"/>
      <c r="D45" s="889"/>
      <c r="E45" s="889"/>
      <c r="F45" s="889"/>
      <c r="G45" s="889"/>
      <c r="H45" s="889"/>
      <c r="I45" s="889"/>
      <c r="J45" s="889"/>
      <c r="K45" s="889"/>
      <c r="L45" s="889"/>
      <c r="M45" s="889"/>
      <c r="N45" s="892"/>
      <c r="O45" s="889"/>
      <c r="P45" s="889"/>
      <c r="Q45" s="889"/>
      <c r="R45" s="889"/>
      <c r="S45" s="889"/>
      <c r="T45" s="889"/>
      <c r="U45" s="893"/>
      <c r="V45" s="889"/>
      <c r="W45" s="889"/>
      <c r="X45" s="891"/>
      <c r="Y45" s="895"/>
      <c r="Z45" s="890"/>
    </row>
    <row r="46" spans="1:26" s="616" customFormat="1" ht="13.5" x14ac:dyDescent="0.2">
      <c r="A46" s="702">
        <v>16</v>
      </c>
      <c r="B46" s="690" t="s">
        <v>460</v>
      </c>
      <c r="C46" s="893"/>
      <c r="D46" s="889"/>
      <c r="E46" s="889"/>
      <c r="F46" s="889"/>
      <c r="G46" s="889"/>
      <c r="H46" s="889"/>
      <c r="I46" s="889"/>
      <c r="J46" s="889"/>
      <c r="K46" s="889"/>
      <c r="L46" s="889"/>
      <c r="M46" s="889"/>
      <c r="N46" s="892"/>
      <c r="O46" s="889"/>
      <c r="P46" s="889"/>
      <c r="Q46" s="889"/>
      <c r="R46" s="889"/>
      <c r="S46" s="889"/>
      <c r="T46" s="889"/>
      <c r="U46" s="893"/>
      <c r="V46" s="889"/>
      <c r="W46" s="889"/>
      <c r="X46" s="891"/>
      <c r="Y46" s="895"/>
      <c r="Z46" s="890"/>
    </row>
    <row r="47" spans="1:26" s="616" customFormat="1" ht="13.5" x14ac:dyDescent="0.2">
      <c r="A47" s="702">
        <v>17</v>
      </c>
      <c r="B47" s="690" t="s">
        <v>461</v>
      </c>
      <c r="C47" s="691">
        <v>839</v>
      </c>
      <c r="D47" s="679">
        <v>2347</v>
      </c>
      <c r="E47" s="679">
        <v>2635</v>
      </c>
      <c r="F47" s="679">
        <v>2999</v>
      </c>
      <c r="G47" s="679">
        <v>8732</v>
      </c>
      <c r="H47" s="679">
        <v>1302</v>
      </c>
      <c r="I47" s="679">
        <v>9290</v>
      </c>
      <c r="J47" s="679">
        <v>2618</v>
      </c>
      <c r="K47" s="679">
        <v>1730</v>
      </c>
      <c r="L47" s="679">
        <v>4636</v>
      </c>
      <c r="M47" s="679">
        <v>1331</v>
      </c>
      <c r="N47" s="692">
        <v>1869</v>
      </c>
      <c r="O47" s="679">
        <v>1601</v>
      </c>
      <c r="P47" s="679">
        <v>2903</v>
      </c>
      <c r="Q47" s="679">
        <v>3444</v>
      </c>
      <c r="R47" s="679">
        <v>6227</v>
      </c>
      <c r="S47" s="679">
        <v>1968</v>
      </c>
      <c r="T47" s="679">
        <v>1180</v>
      </c>
      <c r="U47" s="691">
        <v>1054</v>
      </c>
      <c r="V47" s="679">
        <v>3877</v>
      </c>
      <c r="W47" s="679">
        <v>1013</v>
      </c>
      <c r="X47" s="684">
        <v>563</v>
      </c>
      <c r="Y47" s="617">
        <v>58110</v>
      </c>
      <c r="Z47" s="680">
        <v>394400</v>
      </c>
    </row>
    <row r="48" spans="1:26" s="616" customFormat="1" ht="13.5" x14ac:dyDescent="0.2">
      <c r="A48" s="702">
        <v>18</v>
      </c>
      <c r="B48" s="690" t="s">
        <v>462</v>
      </c>
      <c r="C48" s="691">
        <v>394</v>
      </c>
      <c r="D48" s="679">
        <v>1143</v>
      </c>
      <c r="E48" s="679">
        <v>1924</v>
      </c>
      <c r="F48" s="679">
        <v>868</v>
      </c>
      <c r="G48" s="679">
        <v>4182</v>
      </c>
      <c r="H48" s="679">
        <v>676</v>
      </c>
      <c r="I48" s="679">
        <v>4760</v>
      </c>
      <c r="J48" s="679">
        <v>1631</v>
      </c>
      <c r="K48" s="679">
        <v>569</v>
      </c>
      <c r="L48" s="679">
        <v>1864</v>
      </c>
      <c r="M48" s="679">
        <v>1148</v>
      </c>
      <c r="N48" s="692">
        <v>973</v>
      </c>
      <c r="O48" s="679">
        <v>900</v>
      </c>
      <c r="P48" s="679">
        <v>1297</v>
      </c>
      <c r="Q48" s="679">
        <v>1888</v>
      </c>
      <c r="R48" s="679">
        <v>4489</v>
      </c>
      <c r="S48" s="679">
        <v>766</v>
      </c>
      <c r="T48" s="679">
        <v>789</v>
      </c>
      <c r="U48" s="691">
        <v>644</v>
      </c>
      <c r="V48" s="679">
        <v>1805</v>
      </c>
      <c r="W48" s="679">
        <v>437</v>
      </c>
      <c r="X48" s="684">
        <v>346</v>
      </c>
      <c r="Y48" s="617">
        <v>30640</v>
      </c>
      <c r="Z48" s="680">
        <v>172290</v>
      </c>
    </row>
    <row r="49" spans="1:26" s="616" customFormat="1" ht="13.5" x14ac:dyDescent="0.2">
      <c r="A49" s="702" t="s">
        <v>313</v>
      </c>
      <c r="B49" s="690" t="s">
        <v>463</v>
      </c>
      <c r="C49" s="691">
        <v>158</v>
      </c>
      <c r="D49" s="679">
        <v>544</v>
      </c>
      <c r="E49" s="679">
        <v>749</v>
      </c>
      <c r="F49" s="679">
        <v>483</v>
      </c>
      <c r="G49" s="679">
        <v>1900</v>
      </c>
      <c r="H49" s="679">
        <v>375</v>
      </c>
      <c r="I49" s="679">
        <v>1549</v>
      </c>
      <c r="J49" s="679">
        <v>607</v>
      </c>
      <c r="K49" s="679">
        <v>120</v>
      </c>
      <c r="L49" s="679">
        <v>778</v>
      </c>
      <c r="M49" s="679">
        <v>336</v>
      </c>
      <c r="N49" s="692">
        <v>430</v>
      </c>
      <c r="O49" s="679">
        <v>351</v>
      </c>
      <c r="P49" s="679">
        <v>478</v>
      </c>
      <c r="Q49" s="679">
        <v>555</v>
      </c>
      <c r="R49" s="679">
        <v>1220</v>
      </c>
      <c r="S49" s="679">
        <v>346</v>
      </c>
      <c r="T49" s="679">
        <v>325</v>
      </c>
      <c r="U49" s="691">
        <v>240</v>
      </c>
      <c r="V49" s="679">
        <v>671</v>
      </c>
      <c r="W49" s="679">
        <v>200</v>
      </c>
      <c r="X49" s="684">
        <v>145</v>
      </c>
      <c r="Y49" s="617">
        <v>11410</v>
      </c>
      <c r="Z49" s="680">
        <v>73050</v>
      </c>
    </row>
    <row r="50" spans="1:26" s="616" customFormat="1" ht="13.5" x14ac:dyDescent="0.2">
      <c r="A50" s="702" t="s">
        <v>315</v>
      </c>
      <c r="B50" s="690" t="s">
        <v>464</v>
      </c>
      <c r="C50" s="691">
        <v>105</v>
      </c>
      <c r="D50" s="679">
        <v>346</v>
      </c>
      <c r="E50" s="679">
        <v>516</v>
      </c>
      <c r="F50" s="695">
        <v>292</v>
      </c>
      <c r="G50" s="679">
        <v>1346</v>
      </c>
      <c r="H50" s="679">
        <v>214</v>
      </c>
      <c r="I50" s="679">
        <v>1285</v>
      </c>
      <c r="J50" s="679">
        <v>539</v>
      </c>
      <c r="K50" s="679">
        <v>112</v>
      </c>
      <c r="L50" s="679">
        <v>637</v>
      </c>
      <c r="M50" s="679">
        <v>226</v>
      </c>
      <c r="N50" s="692">
        <v>290</v>
      </c>
      <c r="O50" s="679">
        <v>286</v>
      </c>
      <c r="P50" s="679">
        <v>461</v>
      </c>
      <c r="Q50" s="679">
        <v>343</v>
      </c>
      <c r="R50" s="679">
        <v>810</v>
      </c>
      <c r="S50" s="679">
        <v>270</v>
      </c>
      <c r="T50" s="679">
        <v>262</v>
      </c>
      <c r="U50" s="691">
        <v>226</v>
      </c>
      <c r="V50" s="679">
        <v>355</v>
      </c>
      <c r="W50" s="679">
        <v>172</v>
      </c>
      <c r="X50" s="684">
        <v>140</v>
      </c>
      <c r="Y50" s="617">
        <v>8240</v>
      </c>
      <c r="Z50" s="680">
        <v>56000</v>
      </c>
    </row>
    <row r="51" spans="1:26" s="616" customFormat="1" ht="13.5" x14ac:dyDescent="0.2">
      <c r="A51" s="702" t="s">
        <v>317</v>
      </c>
      <c r="B51" s="690" t="s">
        <v>465</v>
      </c>
      <c r="C51" s="691">
        <v>115</v>
      </c>
      <c r="D51" s="679">
        <v>392</v>
      </c>
      <c r="E51" s="679">
        <v>454</v>
      </c>
      <c r="F51" s="679">
        <v>456</v>
      </c>
      <c r="G51" s="679">
        <v>1441</v>
      </c>
      <c r="H51" s="679">
        <v>214</v>
      </c>
      <c r="I51" s="679">
        <v>1049</v>
      </c>
      <c r="J51" s="679">
        <v>539</v>
      </c>
      <c r="K51" s="679">
        <v>92</v>
      </c>
      <c r="L51" s="679">
        <v>571</v>
      </c>
      <c r="M51" s="679">
        <v>275</v>
      </c>
      <c r="N51" s="692">
        <v>252</v>
      </c>
      <c r="O51" s="679">
        <v>230</v>
      </c>
      <c r="P51" s="679">
        <v>280</v>
      </c>
      <c r="Q51" s="679">
        <v>333</v>
      </c>
      <c r="R51" s="679">
        <v>881</v>
      </c>
      <c r="S51" s="679">
        <v>238</v>
      </c>
      <c r="T51" s="679">
        <v>130</v>
      </c>
      <c r="U51" s="691">
        <v>145</v>
      </c>
      <c r="V51" s="679">
        <v>417</v>
      </c>
      <c r="W51" s="679">
        <v>145</v>
      </c>
      <c r="X51" s="684">
        <v>65</v>
      </c>
      <c r="Y51" s="617">
        <v>8070</v>
      </c>
      <c r="Z51" s="680">
        <v>50310</v>
      </c>
    </row>
    <row r="52" spans="1:26" s="616" customFormat="1" ht="13.5" x14ac:dyDescent="0.2">
      <c r="A52" s="702" t="s">
        <v>319</v>
      </c>
      <c r="B52" s="690" t="s">
        <v>466</v>
      </c>
      <c r="C52" s="691">
        <v>66</v>
      </c>
      <c r="D52" s="679">
        <v>301</v>
      </c>
      <c r="E52" s="679">
        <v>294</v>
      </c>
      <c r="F52" s="679">
        <v>343</v>
      </c>
      <c r="G52" s="679">
        <v>1117</v>
      </c>
      <c r="H52" s="679">
        <v>145</v>
      </c>
      <c r="I52" s="679">
        <v>710</v>
      </c>
      <c r="J52" s="679">
        <v>395</v>
      </c>
      <c r="K52" s="679">
        <v>46</v>
      </c>
      <c r="L52" s="679">
        <v>393</v>
      </c>
      <c r="M52" s="679">
        <v>218</v>
      </c>
      <c r="N52" s="692">
        <v>149</v>
      </c>
      <c r="O52" s="679">
        <v>127</v>
      </c>
      <c r="P52" s="679">
        <v>187</v>
      </c>
      <c r="Q52" s="679">
        <v>200</v>
      </c>
      <c r="R52" s="679">
        <v>618</v>
      </c>
      <c r="S52" s="679">
        <v>160</v>
      </c>
      <c r="T52" s="679">
        <v>106</v>
      </c>
      <c r="U52" s="691">
        <v>94</v>
      </c>
      <c r="V52" s="679">
        <v>278</v>
      </c>
      <c r="W52" s="679">
        <v>83</v>
      </c>
      <c r="X52" s="684">
        <v>38</v>
      </c>
      <c r="Y52" s="617">
        <v>5620</v>
      </c>
      <c r="Z52" s="680">
        <v>34580</v>
      </c>
    </row>
    <row r="53" spans="1:26" s="616" customFormat="1" ht="13.5" x14ac:dyDescent="0.2">
      <c r="A53" s="702" t="s">
        <v>321</v>
      </c>
      <c r="B53" s="690" t="s">
        <v>467</v>
      </c>
      <c r="C53" s="691">
        <v>65</v>
      </c>
      <c r="D53" s="679">
        <v>295</v>
      </c>
      <c r="E53" s="679">
        <v>273</v>
      </c>
      <c r="F53" s="695">
        <v>335</v>
      </c>
      <c r="G53" s="679">
        <v>987</v>
      </c>
      <c r="H53" s="679">
        <v>141</v>
      </c>
      <c r="I53" s="679">
        <v>710</v>
      </c>
      <c r="J53" s="679">
        <v>391</v>
      </c>
      <c r="K53" s="679">
        <v>44</v>
      </c>
      <c r="L53" s="679">
        <v>376</v>
      </c>
      <c r="M53" s="679">
        <v>204</v>
      </c>
      <c r="N53" s="692">
        <v>117</v>
      </c>
      <c r="O53" s="679">
        <v>122</v>
      </c>
      <c r="P53" s="679">
        <v>182</v>
      </c>
      <c r="Q53" s="679">
        <v>144</v>
      </c>
      <c r="R53" s="679">
        <v>601</v>
      </c>
      <c r="S53" s="679">
        <v>151</v>
      </c>
      <c r="T53" s="679">
        <v>96</v>
      </c>
      <c r="U53" s="691">
        <v>93</v>
      </c>
      <c r="V53" s="679">
        <v>256</v>
      </c>
      <c r="W53" s="679">
        <v>83</v>
      </c>
      <c r="X53" s="684">
        <v>36</v>
      </c>
      <c r="Y53" s="617">
        <v>5270</v>
      </c>
      <c r="Z53" s="680">
        <v>32410</v>
      </c>
    </row>
    <row r="54" spans="1:26" s="616" customFormat="1" ht="13.5" x14ac:dyDescent="0.2">
      <c r="A54" s="677"/>
      <c r="B54" s="696" t="s">
        <v>721</v>
      </c>
      <c r="C54" s="887"/>
      <c r="D54" s="882"/>
      <c r="E54" s="882"/>
      <c r="F54" s="882"/>
      <c r="G54" s="882"/>
      <c r="H54" s="882"/>
      <c r="I54" s="882"/>
      <c r="J54" s="882"/>
      <c r="K54" s="882"/>
      <c r="L54" s="882"/>
      <c r="M54" s="882"/>
      <c r="N54" s="886"/>
      <c r="O54" s="882"/>
      <c r="P54" s="882"/>
      <c r="Q54" s="882"/>
      <c r="R54" s="882"/>
      <c r="S54" s="882"/>
      <c r="T54" s="882"/>
      <c r="U54" s="887"/>
      <c r="V54" s="882"/>
      <c r="W54" s="882"/>
      <c r="X54" s="885"/>
      <c r="Y54" s="896"/>
      <c r="Z54" s="883"/>
    </row>
    <row r="55" spans="1:26" s="616" customFormat="1" ht="13.5" x14ac:dyDescent="0.2">
      <c r="A55" s="702" t="s">
        <v>323</v>
      </c>
      <c r="B55" s="690" t="s">
        <v>468</v>
      </c>
      <c r="C55" s="691">
        <v>148</v>
      </c>
      <c r="D55" s="679">
        <v>352</v>
      </c>
      <c r="E55" s="679">
        <v>479</v>
      </c>
      <c r="F55" s="679">
        <v>469</v>
      </c>
      <c r="G55" s="679">
        <v>1585</v>
      </c>
      <c r="H55" s="679">
        <v>332</v>
      </c>
      <c r="I55" s="679">
        <v>1511</v>
      </c>
      <c r="J55" s="679">
        <v>492</v>
      </c>
      <c r="K55" s="679">
        <v>74</v>
      </c>
      <c r="L55" s="679">
        <v>705</v>
      </c>
      <c r="M55" s="679">
        <v>260</v>
      </c>
      <c r="N55" s="692">
        <v>287</v>
      </c>
      <c r="O55" s="679">
        <v>311</v>
      </c>
      <c r="P55" s="679">
        <v>653</v>
      </c>
      <c r="Q55" s="679">
        <v>553</v>
      </c>
      <c r="R55" s="679">
        <v>1115</v>
      </c>
      <c r="S55" s="679">
        <v>256</v>
      </c>
      <c r="T55" s="679">
        <v>292</v>
      </c>
      <c r="U55" s="691">
        <v>183</v>
      </c>
      <c r="V55" s="679">
        <v>595</v>
      </c>
      <c r="W55" s="679">
        <v>94</v>
      </c>
      <c r="X55" s="684">
        <v>97</v>
      </c>
      <c r="Y55" s="617">
        <v>9640</v>
      </c>
      <c r="Z55" s="680">
        <v>62750</v>
      </c>
    </row>
    <row r="56" spans="1:26" s="616" customFormat="1" ht="13.5" x14ac:dyDescent="0.2">
      <c r="A56" s="702" t="s">
        <v>325</v>
      </c>
      <c r="B56" s="690" t="s">
        <v>469</v>
      </c>
      <c r="C56" s="691">
        <v>18</v>
      </c>
      <c r="D56" s="679">
        <v>27</v>
      </c>
      <c r="E56" s="679">
        <v>17</v>
      </c>
      <c r="F56" s="679">
        <v>35</v>
      </c>
      <c r="G56" s="679">
        <v>65</v>
      </c>
      <c r="H56" s="679">
        <v>15</v>
      </c>
      <c r="I56" s="679">
        <v>44</v>
      </c>
      <c r="J56" s="679">
        <v>22</v>
      </c>
      <c r="K56" s="679" t="s">
        <v>73</v>
      </c>
      <c r="L56" s="679">
        <v>35</v>
      </c>
      <c r="M56" s="679" t="s">
        <v>73</v>
      </c>
      <c r="N56" s="692">
        <v>9</v>
      </c>
      <c r="O56" s="679" t="s">
        <v>73</v>
      </c>
      <c r="P56" s="679">
        <v>31</v>
      </c>
      <c r="Q56" s="679">
        <v>6</v>
      </c>
      <c r="R56" s="679">
        <v>110</v>
      </c>
      <c r="S56" s="679">
        <v>8</v>
      </c>
      <c r="T56" s="679" t="s">
        <v>73</v>
      </c>
      <c r="U56" s="691" t="s">
        <v>73</v>
      </c>
      <c r="V56" s="679">
        <v>21</v>
      </c>
      <c r="W56" s="679">
        <v>0</v>
      </c>
      <c r="X56" s="684" t="s">
        <v>73</v>
      </c>
      <c r="Y56" s="617">
        <v>440</v>
      </c>
      <c r="Z56" s="680">
        <v>2410</v>
      </c>
    </row>
    <row r="57" spans="1:26" s="616" customFormat="1" ht="13.5" x14ac:dyDescent="0.2">
      <c r="A57" s="702" t="s">
        <v>327</v>
      </c>
      <c r="B57" s="690" t="s">
        <v>470</v>
      </c>
      <c r="C57" s="691">
        <v>141</v>
      </c>
      <c r="D57" s="679">
        <v>435</v>
      </c>
      <c r="E57" s="679">
        <v>612</v>
      </c>
      <c r="F57" s="679">
        <v>445</v>
      </c>
      <c r="G57" s="679">
        <v>1672</v>
      </c>
      <c r="H57" s="679">
        <v>292</v>
      </c>
      <c r="I57" s="679">
        <v>1319</v>
      </c>
      <c r="J57" s="679">
        <v>556</v>
      </c>
      <c r="K57" s="679">
        <v>109</v>
      </c>
      <c r="L57" s="679">
        <v>708</v>
      </c>
      <c r="M57" s="679">
        <v>297</v>
      </c>
      <c r="N57" s="692">
        <v>335</v>
      </c>
      <c r="O57" s="679">
        <v>316</v>
      </c>
      <c r="P57" s="679">
        <v>411</v>
      </c>
      <c r="Q57" s="679">
        <v>490</v>
      </c>
      <c r="R57" s="679">
        <v>1005</v>
      </c>
      <c r="S57" s="679">
        <v>289</v>
      </c>
      <c r="T57" s="679">
        <v>268</v>
      </c>
      <c r="U57" s="691">
        <v>204</v>
      </c>
      <c r="V57" s="679">
        <v>544</v>
      </c>
      <c r="W57" s="679">
        <v>175</v>
      </c>
      <c r="X57" s="684">
        <v>114</v>
      </c>
      <c r="Y57" s="617">
        <v>9770</v>
      </c>
      <c r="Z57" s="680">
        <v>63310</v>
      </c>
    </row>
    <row r="58" spans="1:26" s="616" customFormat="1" ht="13.5" x14ac:dyDescent="0.2">
      <c r="A58" s="702" t="s">
        <v>329</v>
      </c>
      <c r="B58" s="690" t="s">
        <v>471</v>
      </c>
      <c r="C58" s="691">
        <v>35</v>
      </c>
      <c r="D58" s="679">
        <v>111</v>
      </c>
      <c r="E58" s="679">
        <v>118</v>
      </c>
      <c r="F58" s="679">
        <v>111</v>
      </c>
      <c r="G58" s="679">
        <v>336</v>
      </c>
      <c r="H58" s="679">
        <v>43</v>
      </c>
      <c r="I58" s="679">
        <v>265</v>
      </c>
      <c r="J58" s="679">
        <v>101</v>
      </c>
      <c r="K58" s="679" t="s">
        <v>73</v>
      </c>
      <c r="L58" s="679">
        <v>151</v>
      </c>
      <c r="M58" s="679">
        <v>60</v>
      </c>
      <c r="N58" s="692">
        <v>73</v>
      </c>
      <c r="O58" s="679">
        <v>53</v>
      </c>
      <c r="P58" s="679">
        <v>104</v>
      </c>
      <c r="Q58" s="679">
        <v>145</v>
      </c>
      <c r="R58" s="679">
        <v>232</v>
      </c>
      <c r="S58" s="679">
        <v>55</v>
      </c>
      <c r="T58" s="679">
        <v>62</v>
      </c>
      <c r="U58" s="691">
        <v>22</v>
      </c>
      <c r="V58" s="679">
        <v>124</v>
      </c>
      <c r="W58" s="679">
        <v>24</v>
      </c>
      <c r="X58" s="684">
        <v>17</v>
      </c>
      <c r="Y58" s="617">
        <v>2020</v>
      </c>
      <c r="Z58" s="680">
        <v>11350</v>
      </c>
    </row>
    <row r="59" spans="1:26" s="616" customFormat="1" ht="13.5" x14ac:dyDescent="0.2">
      <c r="A59" s="702" t="s">
        <v>331</v>
      </c>
      <c r="B59" s="690" t="s">
        <v>472</v>
      </c>
      <c r="C59" s="893"/>
      <c r="D59" s="889"/>
      <c r="E59" s="889"/>
      <c r="F59" s="889"/>
      <c r="G59" s="889"/>
      <c r="H59" s="889"/>
      <c r="I59" s="889"/>
      <c r="J59" s="889"/>
      <c r="K59" s="889"/>
      <c r="L59" s="889"/>
      <c r="M59" s="889"/>
      <c r="N59" s="892"/>
      <c r="O59" s="889"/>
      <c r="P59" s="889"/>
      <c r="Q59" s="889"/>
      <c r="R59" s="889"/>
      <c r="S59" s="889"/>
      <c r="T59" s="889"/>
      <c r="U59" s="893"/>
      <c r="V59" s="889"/>
      <c r="W59" s="889"/>
      <c r="X59" s="891"/>
      <c r="Y59" s="895"/>
      <c r="Z59" s="890"/>
    </row>
    <row r="60" spans="1:26" s="616" customFormat="1" ht="13.5" x14ac:dyDescent="0.2">
      <c r="A60" s="702" t="s">
        <v>333</v>
      </c>
      <c r="B60" s="690" t="s">
        <v>473</v>
      </c>
      <c r="C60" s="691">
        <v>98</v>
      </c>
      <c r="D60" s="679">
        <v>438</v>
      </c>
      <c r="E60" s="679">
        <v>459</v>
      </c>
      <c r="F60" s="679">
        <v>543</v>
      </c>
      <c r="G60" s="679">
        <v>1305</v>
      </c>
      <c r="H60" s="679">
        <v>204</v>
      </c>
      <c r="I60" s="679">
        <v>2314</v>
      </c>
      <c r="J60" s="679">
        <v>430</v>
      </c>
      <c r="K60" s="679">
        <v>345</v>
      </c>
      <c r="L60" s="679">
        <v>593</v>
      </c>
      <c r="M60" s="679">
        <v>322</v>
      </c>
      <c r="N60" s="692">
        <v>220</v>
      </c>
      <c r="O60" s="679">
        <v>179</v>
      </c>
      <c r="P60" s="679">
        <v>501</v>
      </c>
      <c r="Q60" s="679">
        <v>591</v>
      </c>
      <c r="R60" s="679">
        <v>867</v>
      </c>
      <c r="S60" s="679">
        <v>293</v>
      </c>
      <c r="T60" s="679">
        <v>279</v>
      </c>
      <c r="U60" s="691">
        <v>157</v>
      </c>
      <c r="V60" s="679">
        <v>639</v>
      </c>
      <c r="W60" s="679">
        <v>89</v>
      </c>
      <c r="X60" s="684">
        <v>81</v>
      </c>
      <c r="Y60" s="617">
        <v>9870</v>
      </c>
      <c r="Z60" s="680">
        <v>70400</v>
      </c>
    </row>
    <row r="61" spans="1:26" s="616" customFormat="1" ht="13.5" x14ac:dyDescent="0.2">
      <c r="A61" s="702" t="s">
        <v>335</v>
      </c>
      <c r="B61" s="690" t="s">
        <v>474</v>
      </c>
      <c r="C61" s="691">
        <f>SUM(C68:C71)</f>
        <v>60</v>
      </c>
      <c r="D61" s="691">
        <f t="shared" ref="D61:Z61" si="1">SUM(D68:D71)</f>
        <v>320</v>
      </c>
      <c r="E61" s="691">
        <f t="shared" si="1"/>
        <v>355</v>
      </c>
      <c r="F61" s="691">
        <f t="shared" si="1"/>
        <v>450</v>
      </c>
      <c r="G61" s="691">
        <f t="shared" si="1"/>
        <v>1045</v>
      </c>
      <c r="H61" s="691">
        <f t="shared" si="1"/>
        <v>145</v>
      </c>
      <c r="I61" s="691">
        <f t="shared" si="1"/>
        <v>1310</v>
      </c>
      <c r="J61" s="691">
        <f t="shared" si="1"/>
        <v>345</v>
      </c>
      <c r="K61" s="691">
        <f t="shared" si="1"/>
        <v>250</v>
      </c>
      <c r="L61" s="691">
        <f t="shared" si="1"/>
        <v>435</v>
      </c>
      <c r="M61" s="691">
        <f t="shared" si="1"/>
        <v>260</v>
      </c>
      <c r="N61" s="691">
        <f t="shared" si="1"/>
        <v>175</v>
      </c>
      <c r="O61" s="691">
        <f t="shared" si="1"/>
        <v>150</v>
      </c>
      <c r="P61" s="691">
        <f t="shared" si="1"/>
        <v>390</v>
      </c>
      <c r="Q61" s="691">
        <f t="shared" si="1"/>
        <v>515</v>
      </c>
      <c r="R61" s="691">
        <f t="shared" si="1"/>
        <v>600</v>
      </c>
      <c r="S61" s="691">
        <f t="shared" si="1"/>
        <v>225</v>
      </c>
      <c r="T61" s="691">
        <f t="shared" si="1"/>
        <v>225</v>
      </c>
      <c r="U61" s="691">
        <f t="shared" si="1"/>
        <v>100</v>
      </c>
      <c r="V61" s="691">
        <f t="shared" si="1"/>
        <v>455</v>
      </c>
      <c r="W61" s="691">
        <f t="shared" si="1"/>
        <v>50</v>
      </c>
      <c r="X61" s="691">
        <f t="shared" si="1"/>
        <v>50</v>
      </c>
      <c r="Y61" s="617">
        <f t="shared" si="1"/>
        <v>7070</v>
      </c>
      <c r="Z61" s="691">
        <f t="shared" si="1"/>
        <v>53990</v>
      </c>
    </row>
    <row r="62" spans="1:26" s="616" customFormat="1" ht="13.5" x14ac:dyDescent="0.2">
      <c r="A62" s="702" t="s">
        <v>337</v>
      </c>
      <c r="B62" s="690" t="s">
        <v>475</v>
      </c>
      <c r="C62" s="691">
        <v>25</v>
      </c>
      <c r="D62" s="679">
        <v>140</v>
      </c>
      <c r="E62" s="679">
        <v>150</v>
      </c>
      <c r="F62" s="679">
        <v>240</v>
      </c>
      <c r="G62" s="679">
        <v>420</v>
      </c>
      <c r="H62" s="679">
        <v>60</v>
      </c>
      <c r="I62" s="679">
        <v>565</v>
      </c>
      <c r="J62" s="679">
        <v>130</v>
      </c>
      <c r="K62" s="679">
        <v>110</v>
      </c>
      <c r="L62" s="679">
        <v>120</v>
      </c>
      <c r="M62" s="679">
        <v>110</v>
      </c>
      <c r="N62" s="692">
        <v>65</v>
      </c>
      <c r="O62" s="679">
        <v>55</v>
      </c>
      <c r="P62" s="679">
        <v>150</v>
      </c>
      <c r="Q62" s="679">
        <v>195</v>
      </c>
      <c r="R62" s="679">
        <v>235</v>
      </c>
      <c r="S62" s="679">
        <v>65</v>
      </c>
      <c r="T62" s="679">
        <v>120</v>
      </c>
      <c r="U62" s="691">
        <v>45</v>
      </c>
      <c r="V62" s="679">
        <v>170</v>
      </c>
      <c r="W62" s="679">
        <v>35</v>
      </c>
      <c r="X62" s="684">
        <v>20</v>
      </c>
      <c r="Y62" s="617">
        <f t="shared" si="0"/>
        <v>2890</v>
      </c>
      <c r="Z62" s="680">
        <v>23640</v>
      </c>
    </row>
    <row r="63" spans="1:26" s="616" customFormat="1" ht="13.5" x14ac:dyDescent="0.2">
      <c r="A63" s="702" t="s">
        <v>339</v>
      </c>
      <c r="B63" s="697" t="s">
        <v>476</v>
      </c>
      <c r="C63" s="686">
        <v>15</v>
      </c>
      <c r="D63" s="679">
        <v>90</v>
      </c>
      <c r="E63" s="679">
        <v>95</v>
      </c>
      <c r="F63" s="679">
        <v>155</v>
      </c>
      <c r="G63" s="679">
        <v>280</v>
      </c>
      <c r="H63" s="679">
        <v>40</v>
      </c>
      <c r="I63" s="679">
        <v>390</v>
      </c>
      <c r="J63" s="679">
        <v>95</v>
      </c>
      <c r="K63" s="679">
        <v>60</v>
      </c>
      <c r="L63" s="679">
        <v>80</v>
      </c>
      <c r="M63" s="679">
        <v>60</v>
      </c>
      <c r="N63" s="692">
        <v>40</v>
      </c>
      <c r="O63" s="679">
        <v>30</v>
      </c>
      <c r="P63" s="679">
        <v>85</v>
      </c>
      <c r="Q63" s="679">
        <v>135</v>
      </c>
      <c r="R63" s="679">
        <v>165</v>
      </c>
      <c r="S63" s="679">
        <v>40</v>
      </c>
      <c r="T63" s="679">
        <v>55</v>
      </c>
      <c r="U63" s="691">
        <v>35</v>
      </c>
      <c r="V63" s="679">
        <v>125</v>
      </c>
      <c r="W63" s="679">
        <v>25</v>
      </c>
      <c r="X63" s="684">
        <v>10</v>
      </c>
      <c r="Y63" s="617">
        <f t="shared" si="0"/>
        <v>1925</v>
      </c>
      <c r="Z63" s="680">
        <v>16190</v>
      </c>
    </row>
    <row r="64" spans="1:26" s="616" customFormat="1" ht="13.5" x14ac:dyDescent="0.2">
      <c r="A64" s="702">
        <v>24</v>
      </c>
      <c r="B64" s="697" t="s">
        <v>761</v>
      </c>
      <c r="C64" s="691" t="s">
        <v>73</v>
      </c>
      <c r="D64" s="679">
        <v>34</v>
      </c>
      <c r="E64" s="679">
        <v>19</v>
      </c>
      <c r="F64" s="679">
        <v>17</v>
      </c>
      <c r="G64" s="679">
        <v>29</v>
      </c>
      <c r="H64" s="679">
        <v>0</v>
      </c>
      <c r="I64" s="679">
        <v>868</v>
      </c>
      <c r="J64" s="679" t="s">
        <v>73</v>
      </c>
      <c r="K64" s="679">
        <v>41</v>
      </c>
      <c r="L64" s="679">
        <v>58</v>
      </c>
      <c r="M64" s="679">
        <v>32</v>
      </c>
      <c r="N64" s="692">
        <v>6</v>
      </c>
      <c r="O64" s="679">
        <v>12</v>
      </c>
      <c r="P64" s="679" t="s">
        <v>73</v>
      </c>
      <c r="Q64" s="679" t="s">
        <v>73</v>
      </c>
      <c r="R64" s="679">
        <v>151</v>
      </c>
      <c r="S64" s="679">
        <v>14</v>
      </c>
      <c r="T64" s="679">
        <v>0</v>
      </c>
      <c r="U64" s="691">
        <v>13</v>
      </c>
      <c r="V64" s="679">
        <v>64</v>
      </c>
      <c r="W64" s="679" t="s">
        <v>73</v>
      </c>
      <c r="X64" s="684" t="s">
        <v>73</v>
      </c>
      <c r="Y64" s="614">
        <v>1360</v>
      </c>
      <c r="Z64" s="680">
        <v>4340</v>
      </c>
    </row>
    <row r="65" spans="1:26" s="616" customFormat="1" ht="13.5" x14ac:dyDescent="0.2">
      <c r="A65" s="701"/>
      <c r="B65" s="697" t="s">
        <v>717</v>
      </c>
      <c r="C65" s="691">
        <v>15</v>
      </c>
      <c r="D65" s="679">
        <v>65</v>
      </c>
      <c r="E65" s="679">
        <v>35</v>
      </c>
      <c r="F65" s="679">
        <v>60</v>
      </c>
      <c r="G65" s="679">
        <v>225</v>
      </c>
      <c r="H65" s="679">
        <v>25</v>
      </c>
      <c r="I65" s="679">
        <v>290</v>
      </c>
      <c r="J65" s="679">
        <v>40</v>
      </c>
      <c r="K65" s="679">
        <v>40</v>
      </c>
      <c r="L65" s="679">
        <v>40</v>
      </c>
      <c r="M65" s="679">
        <v>50</v>
      </c>
      <c r="N65" s="692">
        <v>20</v>
      </c>
      <c r="O65" s="679">
        <v>25</v>
      </c>
      <c r="P65" s="679">
        <v>65</v>
      </c>
      <c r="Q65" s="679">
        <v>80</v>
      </c>
      <c r="R65" s="679">
        <v>90</v>
      </c>
      <c r="S65" s="679">
        <v>30</v>
      </c>
      <c r="T65" s="679">
        <v>60</v>
      </c>
      <c r="U65" s="691">
        <v>10</v>
      </c>
      <c r="V65" s="679">
        <v>70</v>
      </c>
      <c r="W65" s="679">
        <v>15</v>
      </c>
      <c r="X65" s="684">
        <v>10</v>
      </c>
      <c r="Y65" s="617">
        <f t="shared" si="0"/>
        <v>1205</v>
      </c>
      <c r="Z65" s="680">
        <v>7250</v>
      </c>
    </row>
    <row r="66" spans="1:26" s="616" customFormat="1" ht="13.5" x14ac:dyDescent="0.2">
      <c r="A66" s="701"/>
      <c r="B66" s="697" t="s">
        <v>753</v>
      </c>
      <c r="C66" s="893"/>
      <c r="D66" s="889"/>
      <c r="E66" s="889"/>
      <c r="F66" s="889"/>
      <c r="G66" s="889"/>
      <c r="H66" s="889"/>
      <c r="I66" s="889"/>
      <c r="J66" s="889"/>
      <c r="K66" s="889"/>
      <c r="L66" s="889"/>
      <c r="M66" s="889"/>
      <c r="N66" s="892"/>
      <c r="O66" s="889"/>
      <c r="P66" s="889"/>
      <c r="Q66" s="889"/>
      <c r="R66" s="889"/>
      <c r="S66" s="889"/>
      <c r="T66" s="889"/>
      <c r="U66" s="893"/>
      <c r="V66" s="889"/>
      <c r="W66" s="889"/>
      <c r="X66" s="891"/>
      <c r="Y66" s="895"/>
      <c r="Z66" s="890"/>
    </row>
    <row r="67" spans="1:26" s="616" customFormat="1" ht="13.5" x14ac:dyDescent="0.2">
      <c r="A67" s="701"/>
      <c r="B67" s="697" t="s">
        <v>754</v>
      </c>
      <c r="C67" s="893"/>
      <c r="D67" s="889"/>
      <c r="E67" s="889"/>
      <c r="F67" s="889"/>
      <c r="G67" s="889"/>
      <c r="H67" s="889"/>
      <c r="I67" s="889"/>
      <c r="J67" s="889"/>
      <c r="K67" s="889"/>
      <c r="L67" s="889"/>
      <c r="M67" s="889"/>
      <c r="N67" s="892"/>
      <c r="O67" s="889"/>
      <c r="P67" s="889"/>
      <c r="Q67" s="889"/>
      <c r="R67" s="889"/>
      <c r="S67" s="889"/>
      <c r="T67" s="889"/>
      <c r="U67" s="893"/>
      <c r="V67" s="889"/>
      <c r="W67" s="889"/>
      <c r="X67" s="891"/>
      <c r="Y67" s="895"/>
      <c r="Z67" s="890"/>
    </row>
    <row r="68" spans="1:26" s="616" customFormat="1" ht="13.5" x14ac:dyDescent="0.2">
      <c r="A68" s="701"/>
      <c r="B68" s="697" t="s">
        <v>773</v>
      </c>
      <c r="C68" s="691" t="s">
        <v>73</v>
      </c>
      <c r="D68" s="679">
        <v>35</v>
      </c>
      <c r="E68" s="679">
        <v>25</v>
      </c>
      <c r="F68" s="679">
        <v>30</v>
      </c>
      <c r="G68" s="679">
        <v>60</v>
      </c>
      <c r="H68" s="679">
        <v>5</v>
      </c>
      <c r="I68" s="679">
        <v>45</v>
      </c>
      <c r="J68" s="679">
        <v>30</v>
      </c>
      <c r="K68" s="679">
        <v>15</v>
      </c>
      <c r="L68" s="679">
        <v>35</v>
      </c>
      <c r="M68" s="679">
        <v>15</v>
      </c>
      <c r="N68" s="692">
        <v>20</v>
      </c>
      <c r="O68" s="679">
        <v>15</v>
      </c>
      <c r="P68" s="679">
        <v>30</v>
      </c>
      <c r="Q68" s="679">
        <v>30</v>
      </c>
      <c r="R68" s="679">
        <v>30</v>
      </c>
      <c r="S68" s="679">
        <v>15</v>
      </c>
      <c r="T68" s="679">
        <v>10</v>
      </c>
      <c r="U68" s="691" t="s">
        <v>73</v>
      </c>
      <c r="V68" s="679">
        <v>30</v>
      </c>
      <c r="W68" s="679" t="s">
        <v>73</v>
      </c>
      <c r="X68" s="684" t="s">
        <v>73</v>
      </c>
      <c r="Y68" s="617">
        <f t="shared" ref="Y68:Y87" si="2">SUM(C68:O68,Q68:R68,U68:X68)</f>
        <v>420</v>
      </c>
      <c r="Z68" s="680">
        <v>3540</v>
      </c>
    </row>
    <row r="69" spans="1:26" s="616" customFormat="1" ht="13.5" x14ac:dyDescent="0.2">
      <c r="A69" s="701"/>
      <c r="B69" s="697" t="s">
        <v>774</v>
      </c>
      <c r="C69" s="691" t="s">
        <v>73</v>
      </c>
      <c r="D69" s="679">
        <v>45</v>
      </c>
      <c r="E69" s="679">
        <v>65</v>
      </c>
      <c r="F69" s="679">
        <v>55</v>
      </c>
      <c r="G69" s="679">
        <v>160</v>
      </c>
      <c r="H69" s="679">
        <v>35</v>
      </c>
      <c r="I69" s="679">
        <v>120</v>
      </c>
      <c r="J69" s="679">
        <v>65</v>
      </c>
      <c r="K69" s="679">
        <v>35</v>
      </c>
      <c r="L69" s="679">
        <v>65</v>
      </c>
      <c r="M69" s="679">
        <v>45</v>
      </c>
      <c r="N69" s="692">
        <v>25</v>
      </c>
      <c r="O69" s="679">
        <v>20</v>
      </c>
      <c r="P69" s="679">
        <v>50</v>
      </c>
      <c r="Q69" s="679">
        <v>130</v>
      </c>
      <c r="R69" s="679">
        <v>95</v>
      </c>
      <c r="S69" s="679">
        <v>45</v>
      </c>
      <c r="T69" s="679">
        <v>30</v>
      </c>
      <c r="U69" s="691">
        <v>15</v>
      </c>
      <c r="V69" s="679">
        <v>75</v>
      </c>
      <c r="W69" s="679" t="s">
        <v>73</v>
      </c>
      <c r="X69" s="684">
        <v>10</v>
      </c>
      <c r="Y69" s="617">
        <f t="shared" si="2"/>
        <v>1060</v>
      </c>
      <c r="Z69" s="680">
        <v>9140</v>
      </c>
    </row>
    <row r="70" spans="1:26" s="616" customFormat="1" ht="13.5" x14ac:dyDescent="0.2">
      <c r="A70" s="701"/>
      <c r="B70" s="697" t="s">
        <v>775</v>
      </c>
      <c r="C70" s="691">
        <v>15</v>
      </c>
      <c r="D70" s="679">
        <v>60</v>
      </c>
      <c r="E70" s="679">
        <v>85</v>
      </c>
      <c r="F70" s="679">
        <v>125</v>
      </c>
      <c r="G70" s="679">
        <v>290</v>
      </c>
      <c r="H70" s="679">
        <v>35</v>
      </c>
      <c r="I70" s="679">
        <v>305</v>
      </c>
      <c r="J70" s="679">
        <v>85</v>
      </c>
      <c r="K70" s="679">
        <v>60</v>
      </c>
      <c r="L70" s="679">
        <v>100</v>
      </c>
      <c r="M70" s="679">
        <v>70</v>
      </c>
      <c r="N70" s="692">
        <v>45</v>
      </c>
      <c r="O70" s="679">
        <v>40</v>
      </c>
      <c r="P70" s="679">
        <v>100</v>
      </c>
      <c r="Q70" s="679">
        <v>165</v>
      </c>
      <c r="R70" s="679">
        <v>135</v>
      </c>
      <c r="S70" s="679">
        <v>50</v>
      </c>
      <c r="T70" s="679">
        <v>70</v>
      </c>
      <c r="U70" s="691">
        <v>25</v>
      </c>
      <c r="V70" s="679">
        <v>80</v>
      </c>
      <c r="W70" s="679">
        <v>10</v>
      </c>
      <c r="X70" s="684" t="s">
        <v>73</v>
      </c>
      <c r="Y70" s="617">
        <f t="shared" si="2"/>
        <v>1730</v>
      </c>
      <c r="Z70" s="680">
        <v>14090</v>
      </c>
    </row>
    <row r="71" spans="1:26" s="616" customFormat="1" ht="13.5" x14ac:dyDescent="0.2">
      <c r="A71" s="701"/>
      <c r="B71" s="697" t="s">
        <v>776</v>
      </c>
      <c r="C71" s="691">
        <v>45</v>
      </c>
      <c r="D71" s="679">
        <v>180</v>
      </c>
      <c r="E71" s="679">
        <v>180</v>
      </c>
      <c r="F71" s="679">
        <v>240</v>
      </c>
      <c r="G71" s="679">
        <v>535</v>
      </c>
      <c r="H71" s="679">
        <v>70</v>
      </c>
      <c r="I71" s="679">
        <v>840</v>
      </c>
      <c r="J71" s="679">
        <v>165</v>
      </c>
      <c r="K71" s="679">
        <v>140</v>
      </c>
      <c r="L71" s="679">
        <v>235</v>
      </c>
      <c r="M71" s="679">
        <v>130</v>
      </c>
      <c r="N71" s="692">
        <v>85</v>
      </c>
      <c r="O71" s="679">
        <v>75</v>
      </c>
      <c r="P71" s="679">
        <v>210</v>
      </c>
      <c r="Q71" s="679">
        <v>190</v>
      </c>
      <c r="R71" s="679">
        <v>340</v>
      </c>
      <c r="S71" s="679">
        <v>115</v>
      </c>
      <c r="T71" s="679">
        <v>115</v>
      </c>
      <c r="U71" s="691">
        <v>60</v>
      </c>
      <c r="V71" s="679">
        <v>270</v>
      </c>
      <c r="W71" s="679">
        <v>40</v>
      </c>
      <c r="X71" s="684">
        <v>40</v>
      </c>
      <c r="Y71" s="617">
        <f t="shared" si="2"/>
        <v>3860</v>
      </c>
      <c r="Z71" s="680">
        <v>27220</v>
      </c>
    </row>
    <row r="72" spans="1:26" s="616" customFormat="1" ht="13.5" x14ac:dyDescent="0.2">
      <c r="A72" s="701"/>
      <c r="B72" s="697" t="s">
        <v>777</v>
      </c>
      <c r="C72" s="691">
        <v>30</v>
      </c>
      <c r="D72" s="679">
        <v>120</v>
      </c>
      <c r="E72" s="679">
        <v>100</v>
      </c>
      <c r="F72" s="679">
        <v>95</v>
      </c>
      <c r="G72" s="679">
        <v>260</v>
      </c>
      <c r="H72" s="679">
        <v>55</v>
      </c>
      <c r="I72" s="679">
        <v>995</v>
      </c>
      <c r="J72" s="679">
        <v>80</v>
      </c>
      <c r="K72" s="679">
        <v>90</v>
      </c>
      <c r="L72" s="679">
        <v>155</v>
      </c>
      <c r="M72" s="679">
        <v>65</v>
      </c>
      <c r="N72" s="692">
        <v>45</v>
      </c>
      <c r="O72" s="679">
        <v>45</v>
      </c>
      <c r="P72" s="679">
        <v>110</v>
      </c>
      <c r="Q72" s="679">
        <v>75</v>
      </c>
      <c r="R72" s="679">
        <v>275</v>
      </c>
      <c r="S72" s="679">
        <v>75</v>
      </c>
      <c r="T72" s="679">
        <v>50</v>
      </c>
      <c r="U72" s="691">
        <v>50</v>
      </c>
      <c r="V72" s="679">
        <v>185</v>
      </c>
      <c r="W72" s="679">
        <v>25</v>
      </c>
      <c r="X72" s="684">
        <v>25</v>
      </c>
      <c r="Y72" s="617">
        <f t="shared" si="2"/>
        <v>2770</v>
      </c>
      <c r="Z72" s="680">
        <v>16460</v>
      </c>
    </row>
    <row r="73" spans="1:26" s="616" customFormat="1" ht="13.5" x14ac:dyDescent="0.2">
      <c r="A73" s="677"/>
      <c r="B73" s="678" t="s">
        <v>718</v>
      </c>
      <c r="C73" s="691">
        <v>60</v>
      </c>
      <c r="D73" s="679">
        <v>204</v>
      </c>
      <c r="E73" s="679">
        <v>249</v>
      </c>
      <c r="F73" s="679">
        <v>184</v>
      </c>
      <c r="G73" s="679">
        <v>507</v>
      </c>
      <c r="H73" s="679">
        <v>73</v>
      </c>
      <c r="I73" s="679">
        <v>1498</v>
      </c>
      <c r="J73" s="679">
        <v>208</v>
      </c>
      <c r="K73" s="679">
        <v>183</v>
      </c>
      <c r="L73" s="679">
        <v>357</v>
      </c>
      <c r="M73" s="679">
        <v>128</v>
      </c>
      <c r="N73" s="685">
        <v>130</v>
      </c>
      <c r="O73" s="679">
        <v>129</v>
      </c>
      <c r="P73" s="679">
        <v>235</v>
      </c>
      <c r="Q73" s="679">
        <v>214</v>
      </c>
      <c r="R73" s="679">
        <v>489</v>
      </c>
      <c r="S73" s="679">
        <v>181</v>
      </c>
      <c r="T73" s="679">
        <v>96</v>
      </c>
      <c r="U73" s="686">
        <v>54</v>
      </c>
      <c r="V73" s="679">
        <v>380</v>
      </c>
      <c r="W73" s="679">
        <v>32</v>
      </c>
      <c r="X73" s="684">
        <v>38</v>
      </c>
      <c r="Y73" s="617">
        <v>5120</v>
      </c>
      <c r="Z73" s="680">
        <v>32160</v>
      </c>
    </row>
    <row r="74" spans="1:26" s="616" customFormat="1" ht="13.5" x14ac:dyDescent="0.2">
      <c r="A74" s="677"/>
      <c r="B74" s="678" t="s">
        <v>719</v>
      </c>
      <c r="C74" s="887"/>
      <c r="D74" s="882"/>
      <c r="E74" s="882"/>
      <c r="F74" s="882"/>
      <c r="G74" s="882"/>
      <c r="H74" s="882"/>
      <c r="I74" s="882"/>
      <c r="J74" s="882"/>
      <c r="K74" s="882"/>
      <c r="L74" s="882"/>
      <c r="M74" s="882"/>
      <c r="N74" s="886"/>
      <c r="O74" s="882"/>
      <c r="P74" s="882"/>
      <c r="Q74" s="882"/>
      <c r="R74" s="882"/>
      <c r="S74" s="882"/>
      <c r="T74" s="882"/>
      <c r="U74" s="887"/>
      <c r="V74" s="882"/>
      <c r="W74" s="882"/>
      <c r="X74" s="885"/>
      <c r="Y74" s="896"/>
      <c r="Z74" s="883"/>
    </row>
    <row r="75" spans="1:26" s="616" customFormat="1" ht="13.5" x14ac:dyDescent="0.2">
      <c r="A75" s="677"/>
      <c r="B75" s="678" t="s">
        <v>720</v>
      </c>
      <c r="C75" s="887"/>
      <c r="D75" s="882"/>
      <c r="E75" s="882"/>
      <c r="F75" s="882"/>
      <c r="G75" s="882"/>
      <c r="H75" s="882"/>
      <c r="I75" s="882"/>
      <c r="J75" s="882"/>
      <c r="K75" s="882"/>
      <c r="L75" s="882"/>
      <c r="M75" s="882"/>
      <c r="N75" s="886"/>
      <c r="O75" s="882"/>
      <c r="P75" s="882"/>
      <c r="Q75" s="882"/>
      <c r="R75" s="882"/>
      <c r="S75" s="882"/>
      <c r="T75" s="882"/>
      <c r="U75" s="887"/>
      <c r="V75" s="882"/>
      <c r="W75" s="882"/>
      <c r="X75" s="885"/>
      <c r="Y75" s="896"/>
      <c r="Z75" s="883"/>
    </row>
    <row r="76" spans="1:26" s="616" customFormat="1" ht="13.5" x14ac:dyDescent="0.2">
      <c r="A76" s="702">
        <v>25</v>
      </c>
      <c r="B76" s="697" t="s">
        <v>791</v>
      </c>
      <c r="C76" s="698">
        <v>5</v>
      </c>
      <c r="D76" s="679">
        <v>15</v>
      </c>
      <c r="E76" s="679">
        <v>25</v>
      </c>
      <c r="F76" s="679">
        <v>30</v>
      </c>
      <c r="G76" s="679">
        <v>60</v>
      </c>
      <c r="H76" s="679" t="s">
        <v>73</v>
      </c>
      <c r="I76" s="679">
        <v>50</v>
      </c>
      <c r="J76" s="679">
        <v>25</v>
      </c>
      <c r="K76" s="679" t="s">
        <v>73</v>
      </c>
      <c r="L76" s="679">
        <v>20</v>
      </c>
      <c r="M76" s="679">
        <v>20</v>
      </c>
      <c r="N76" s="692">
        <v>5</v>
      </c>
      <c r="O76" s="679">
        <v>5</v>
      </c>
      <c r="P76" s="679">
        <v>15</v>
      </c>
      <c r="Q76" s="679">
        <v>60</v>
      </c>
      <c r="R76" s="679">
        <v>35</v>
      </c>
      <c r="S76" s="679">
        <v>5</v>
      </c>
      <c r="T76" s="679">
        <v>10</v>
      </c>
      <c r="U76" s="691">
        <v>10</v>
      </c>
      <c r="V76" s="679">
        <v>45</v>
      </c>
      <c r="W76" s="679" t="s">
        <v>73</v>
      </c>
      <c r="X76" s="684" t="s">
        <v>73</v>
      </c>
      <c r="Y76" s="617">
        <f t="shared" si="2"/>
        <v>410</v>
      </c>
      <c r="Z76" s="680">
        <v>2940</v>
      </c>
    </row>
    <row r="77" spans="1:26" s="616" customFormat="1" ht="13.5" x14ac:dyDescent="0.2">
      <c r="A77" s="702" t="s">
        <v>341</v>
      </c>
      <c r="B77" s="697" t="s">
        <v>477</v>
      </c>
      <c r="C77" s="686">
        <v>68</v>
      </c>
      <c r="D77" s="679">
        <v>245</v>
      </c>
      <c r="E77" s="679">
        <v>227</v>
      </c>
      <c r="F77" s="679">
        <v>192</v>
      </c>
      <c r="G77" s="679">
        <v>545</v>
      </c>
      <c r="H77" s="679">
        <v>73</v>
      </c>
      <c r="I77" s="679">
        <v>1073</v>
      </c>
      <c r="J77" s="679">
        <v>210</v>
      </c>
      <c r="K77" s="679">
        <v>186</v>
      </c>
      <c r="L77" s="679">
        <v>280</v>
      </c>
      <c r="M77" s="679">
        <v>126</v>
      </c>
      <c r="N77" s="692">
        <v>123</v>
      </c>
      <c r="O77" s="679">
        <v>154</v>
      </c>
      <c r="P77" s="679">
        <v>229</v>
      </c>
      <c r="Q77" s="679">
        <v>205</v>
      </c>
      <c r="R77" s="679">
        <v>405</v>
      </c>
      <c r="S77" s="679">
        <v>139</v>
      </c>
      <c r="T77" s="679">
        <v>125</v>
      </c>
      <c r="U77" s="691">
        <v>69</v>
      </c>
      <c r="V77" s="679">
        <v>386</v>
      </c>
      <c r="W77" s="679">
        <v>43</v>
      </c>
      <c r="X77" s="684">
        <v>34</v>
      </c>
      <c r="Y77" s="614">
        <v>4640</v>
      </c>
      <c r="Z77" s="680">
        <v>31850</v>
      </c>
    </row>
    <row r="78" spans="1:26" s="616" customFormat="1" ht="13.5" x14ac:dyDescent="0.2">
      <c r="A78" s="702" t="s">
        <v>343</v>
      </c>
      <c r="B78" s="697" t="s">
        <v>478</v>
      </c>
      <c r="C78" s="698">
        <v>9</v>
      </c>
      <c r="D78" s="679">
        <v>39</v>
      </c>
      <c r="E78" s="679">
        <v>38</v>
      </c>
      <c r="F78" s="679">
        <v>47</v>
      </c>
      <c r="G78" s="679">
        <v>84</v>
      </c>
      <c r="H78" s="679">
        <v>9</v>
      </c>
      <c r="I78" s="679">
        <v>108</v>
      </c>
      <c r="J78" s="679">
        <v>24</v>
      </c>
      <c r="K78" s="679">
        <v>19</v>
      </c>
      <c r="L78" s="679">
        <v>50</v>
      </c>
      <c r="M78" s="679">
        <v>27</v>
      </c>
      <c r="N78" s="699">
        <v>25</v>
      </c>
      <c r="O78" s="679">
        <v>16</v>
      </c>
      <c r="P78" s="679">
        <v>51</v>
      </c>
      <c r="Q78" s="679">
        <v>63</v>
      </c>
      <c r="R78" s="679">
        <v>51</v>
      </c>
      <c r="S78" s="679">
        <v>7</v>
      </c>
      <c r="T78" s="679">
        <v>28</v>
      </c>
      <c r="U78" s="698">
        <v>7</v>
      </c>
      <c r="V78" s="679">
        <v>33</v>
      </c>
      <c r="W78" s="679">
        <v>7</v>
      </c>
      <c r="X78" s="684" t="s">
        <v>73</v>
      </c>
      <c r="Y78" s="617">
        <v>660</v>
      </c>
      <c r="Z78" s="680">
        <v>4710</v>
      </c>
    </row>
    <row r="79" spans="1:26" s="616" customFormat="1" ht="13.5" x14ac:dyDescent="0.2">
      <c r="A79" s="702" t="s">
        <v>345</v>
      </c>
      <c r="B79" s="697" t="s">
        <v>479</v>
      </c>
      <c r="C79" s="889"/>
      <c r="D79" s="889"/>
      <c r="E79" s="889"/>
      <c r="F79" s="889"/>
      <c r="G79" s="889"/>
      <c r="H79" s="889"/>
      <c r="I79" s="889"/>
      <c r="J79" s="889"/>
      <c r="K79" s="889"/>
      <c r="L79" s="889"/>
      <c r="M79" s="889"/>
      <c r="N79" s="889"/>
      <c r="O79" s="889"/>
      <c r="P79" s="889"/>
      <c r="Q79" s="889"/>
      <c r="R79" s="889"/>
      <c r="S79" s="889"/>
      <c r="T79" s="889"/>
      <c r="U79" s="889"/>
      <c r="V79" s="889"/>
      <c r="W79" s="889"/>
      <c r="X79" s="891"/>
      <c r="Y79" s="895"/>
      <c r="Z79" s="890"/>
    </row>
    <row r="80" spans="1:26" s="616" customFormat="1" ht="13.5" x14ac:dyDescent="0.2">
      <c r="A80" s="702" t="s">
        <v>347</v>
      </c>
      <c r="B80" s="697" t="s">
        <v>480</v>
      </c>
      <c r="C80" s="889"/>
      <c r="D80" s="889"/>
      <c r="E80" s="889"/>
      <c r="F80" s="889"/>
      <c r="G80" s="889"/>
      <c r="H80" s="889"/>
      <c r="I80" s="889"/>
      <c r="J80" s="889"/>
      <c r="K80" s="889"/>
      <c r="L80" s="889"/>
      <c r="M80" s="889"/>
      <c r="N80" s="889"/>
      <c r="O80" s="889"/>
      <c r="P80" s="889"/>
      <c r="Q80" s="889"/>
      <c r="R80" s="889"/>
      <c r="S80" s="889"/>
      <c r="T80" s="889"/>
      <c r="U80" s="889"/>
      <c r="V80" s="889"/>
      <c r="W80" s="889"/>
      <c r="X80" s="891"/>
      <c r="Y80" s="895"/>
      <c r="Z80" s="890"/>
    </row>
    <row r="81" spans="1:26" s="616" customFormat="1" ht="13.5" x14ac:dyDescent="0.2">
      <c r="A81" s="677"/>
      <c r="B81" s="683" t="s">
        <v>712</v>
      </c>
      <c r="C81" s="882"/>
      <c r="D81" s="882"/>
      <c r="E81" s="882"/>
      <c r="F81" s="882"/>
      <c r="G81" s="882"/>
      <c r="H81" s="882"/>
      <c r="I81" s="882"/>
      <c r="J81" s="882"/>
      <c r="K81" s="882"/>
      <c r="L81" s="882"/>
      <c r="M81" s="882"/>
      <c r="N81" s="882"/>
      <c r="O81" s="882"/>
      <c r="P81" s="882"/>
      <c r="Q81" s="882"/>
      <c r="R81" s="882"/>
      <c r="S81" s="882"/>
      <c r="T81" s="882"/>
      <c r="U81" s="882"/>
      <c r="V81" s="882"/>
      <c r="W81" s="882"/>
      <c r="X81" s="885"/>
      <c r="Y81" s="896"/>
      <c r="Z81" s="888"/>
    </row>
    <row r="82" spans="1:26" s="616" customFormat="1" ht="13.5" x14ac:dyDescent="0.2">
      <c r="A82" s="677"/>
      <c r="B82" s="683" t="s">
        <v>713</v>
      </c>
      <c r="C82" s="882"/>
      <c r="D82" s="882"/>
      <c r="E82" s="882"/>
      <c r="F82" s="882"/>
      <c r="G82" s="882"/>
      <c r="H82" s="882"/>
      <c r="I82" s="882"/>
      <c r="J82" s="882"/>
      <c r="K82" s="882"/>
      <c r="L82" s="882"/>
      <c r="M82" s="882"/>
      <c r="N82" s="882"/>
      <c r="O82" s="882"/>
      <c r="P82" s="882"/>
      <c r="Q82" s="882"/>
      <c r="R82" s="882"/>
      <c r="S82" s="882"/>
      <c r="T82" s="882"/>
      <c r="U82" s="882"/>
      <c r="V82" s="882"/>
      <c r="W82" s="882"/>
      <c r="X82" s="885"/>
      <c r="Y82" s="896"/>
      <c r="Z82" s="888"/>
    </row>
    <row r="83" spans="1:26" s="616" customFormat="1" ht="13.5" x14ac:dyDescent="0.2">
      <c r="A83" s="677"/>
      <c r="B83" s="683" t="s">
        <v>714</v>
      </c>
      <c r="C83" s="882"/>
      <c r="D83" s="882"/>
      <c r="E83" s="882"/>
      <c r="F83" s="882"/>
      <c r="G83" s="882"/>
      <c r="H83" s="882"/>
      <c r="I83" s="882"/>
      <c r="J83" s="882"/>
      <c r="K83" s="882"/>
      <c r="L83" s="882"/>
      <c r="M83" s="882"/>
      <c r="N83" s="882"/>
      <c r="O83" s="882"/>
      <c r="P83" s="882"/>
      <c r="Q83" s="882"/>
      <c r="R83" s="882"/>
      <c r="S83" s="882"/>
      <c r="T83" s="882"/>
      <c r="U83" s="882"/>
      <c r="V83" s="882"/>
      <c r="W83" s="882"/>
      <c r="X83" s="885"/>
      <c r="Y83" s="896"/>
      <c r="Z83" s="888"/>
    </row>
    <row r="84" spans="1:26" s="616" customFormat="1" ht="13.5" x14ac:dyDescent="0.2">
      <c r="A84" s="677"/>
      <c r="B84" s="683" t="s">
        <v>715</v>
      </c>
      <c r="C84" s="882"/>
      <c r="D84" s="882"/>
      <c r="E84" s="882"/>
      <c r="F84" s="882"/>
      <c r="G84" s="882"/>
      <c r="H84" s="882"/>
      <c r="I84" s="882"/>
      <c r="J84" s="882"/>
      <c r="K84" s="882"/>
      <c r="L84" s="882"/>
      <c r="M84" s="882"/>
      <c r="N84" s="882"/>
      <c r="O84" s="882"/>
      <c r="P84" s="882"/>
      <c r="Q84" s="882"/>
      <c r="R84" s="882"/>
      <c r="S84" s="882"/>
      <c r="T84" s="882"/>
      <c r="U84" s="882"/>
      <c r="V84" s="882"/>
      <c r="W84" s="882"/>
      <c r="X84" s="885"/>
      <c r="Y84" s="896"/>
      <c r="Z84" s="888"/>
    </row>
    <row r="85" spans="1:26" s="616" customFormat="1" ht="13.5" x14ac:dyDescent="0.2">
      <c r="A85" s="677"/>
      <c r="B85" s="683" t="s">
        <v>716</v>
      </c>
      <c r="C85" s="882"/>
      <c r="D85" s="882"/>
      <c r="E85" s="882"/>
      <c r="F85" s="882"/>
      <c r="G85" s="882"/>
      <c r="H85" s="882"/>
      <c r="I85" s="882"/>
      <c r="J85" s="882"/>
      <c r="K85" s="882"/>
      <c r="L85" s="882"/>
      <c r="M85" s="882"/>
      <c r="N85" s="882"/>
      <c r="O85" s="882"/>
      <c r="P85" s="882"/>
      <c r="Q85" s="882"/>
      <c r="R85" s="882"/>
      <c r="S85" s="882"/>
      <c r="T85" s="882"/>
      <c r="U85" s="882"/>
      <c r="V85" s="882"/>
      <c r="W85" s="882"/>
      <c r="X85" s="885"/>
      <c r="Y85" s="896"/>
      <c r="Z85" s="888"/>
    </row>
    <row r="86" spans="1:26" s="616" customFormat="1" ht="13.5" x14ac:dyDescent="0.2">
      <c r="A86" s="701"/>
      <c r="B86" s="697" t="s">
        <v>800</v>
      </c>
      <c r="C86" s="679" t="s">
        <v>73</v>
      </c>
      <c r="D86" s="679" t="s">
        <v>73</v>
      </c>
      <c r="E86" s="679">
        <v>5</v>
      </c>
      <c r="F86" s="679" t="s">
        <v>73</v>
      </c>
      <c r="G86" s="679">
        <v>5</v>
      </c>
      <c r="H86" s="679" t="s">
        <v>73</v>
      </c>
      <c r="I86" s="679">
        <v>10</v>
      </c>
      <c r="J86" s="679">
        <v>20</v>
      </c>
      <c r="K86" s="679">
        <v>5</v>
      </c>
      <c r="L86" s="679">
        <v>10</v>
      </c>
      <c r="M86" s="679">
        <v>15</v>
      </c>
      <c r="N86" s="679">
        <v>10</v>
      </c>
      <c r="O86" s="679">
        <v>10</v>
      </c>
      <c r="P86" s="679" t="s">
        <v>73</v>
      </c>
      <c r="Q86" s="679" t="s">
        <v>73</v>
      </c>
      <c r="R86" s="679">
        <v>15</v>
      </c>
      <c r="S86" s="679" t="s">
        <v>73</v>
      </c>
      <c r="T86" s="679">
        <v>5</v>
      </c>
      <c r="U86" s="679">
        <v>10</v>
      </c>
      <c r="V86" s="679" t="s">
        <v>73</v>
      </c>
      <c r="W86" s="679" t="s">
        <v>73</v>
      </c>
      <c r="X86" s="684">
        <v>0</v>
      </c>
      <c r="Y86" s="617">
        <v>130</v>
      </c>
      <c r="Z86" s="682">
        <v>1120</v>
      </c>
    </row>
    <row r="87" spans="1:26" s="616" customFormat="1" ht="13.5" x14ac:dyDescent="0.2">
      <c r="A87" s="701"/>
      <c r="B87" s="697" t="s">
        <v>801</v>
      </c>
      <c r="C87" s="679">
        <v>10</v>
      </c>
      <c r="D87" s="679">
        <v>40</v>
      </c>
      <c r="E87" s="679">
        <v>20</v>
      </c>
      <c r="F87" s="679">
        <v>20</v>
      </c>
      <c r="G87" s="679">
        <v>45</v>
      </c>
      <c r="H87" s="679">
        <v>10</v>
      </c>
      <c r="I87" s="679">
        <v>45</v>
      </c>
      <c r="J87" s="679">
        <v>25</v>
      </c>
      <c r="K87" s="679">
        <v>20</v>
      </c>
      <c r="L87" s="679">
        <v>30</v>
      </c>
      <c r="M87" s="679">
        <v>15</v>
      </c>
      <c r="N87" s="679">
        <v>20</v>
      </c>
      <c r="O87" s="679">
        <v>25</v>
      </c>
      <c r="P87" s="679">
        <v>15</v>
      </c>
      <c r="Q87" s="679">
        <v>30</v>
      </c>
      <c r="R87" s="679">
        <v>40</v>
      </c>
      <c r="S87" s="679">
        <v>10</v>
      </c>
      <c r="T87" s="679">
        <v>10</v>
      </c>
      <c r="U87" s="679">
        <v>10</v>
      </c>
      <c r="V87" s="679">
        <v>45</v>
      </c>
      <c r="W87" s="679" t="s">
        <v>805</v>
      </c>
      <c r="X87" s="684" t="s">
        <v>805</v>
      </c>
      <c r="Y87" s="617">
        <f t="shared" si="2"/>
        <v>450</v>
      </c>
      <c r="Z87" s="682">
        <v>3860</v>
      </c>
    </row>
    <row r="88" spans="1:26" s="616" customFormat="1" ht="13.5" x14ac:dyDescent="0.2">
      <c r="A88" s="702" t="s">
        <v>349</v>
      </c>
      <c r="B88" s="697" t="s">
        <v>481</v>
      </c>
      <c r="C88" s="889"/>
      <c r="D88" s="889"/>
      <c r="E88" s="889"/>
      <c r="F88" s="889"/>
      <c r="G88" s="889"/>
      <c r="H88" s="889"/>
      <c r="I88" s="889"/>
      <c r="J88" s="889"/>
      <c r="K88" s="889"/>
      <c r="L88" s="889"/>
      <c r="M88" s="889"/>
      <c r="N88" s="889"/>
      <c r="O88" s="889"/>
      <c r="P88" s="889"/>
      <c r="Q88" s="889"/>
      <c r="R88" s="889"/>
      <c r="S88" s="889"/>
      <c r="T88" s="889"/>
      <c r="U88" s="889"/>
      <c r="V88" s="889"/>
      <c r="W88" s="889"/>
      <c r="X88" s="891"/>
      <c r="Y88" s="895"/>
      <c r="Z88" s="894"/>
    </row>
    <row r="89" spans="1:26" s="616" customFormat="1" ht="13.5" x14ac:dyDescent="0.2">
      <c r="A89" s="702" t="s">
        <v>351</v>
      </c>
      <c r="B89" s="697" t="s">
        <v>482</v>
      </c>
      <c r="C89" s="754"/>
      <c r="D89" s="754"/>
      <c r="E89" s="754"/>
      <c r="F89" s="754"/>
      <c r="G89" s="754"/>
      <c r="H89" s="754"/>
      <c r="I89" s="754"/>
      <c r="J89" s="754"/>
      <c r="K89" s="754"/>
      <c r="L89" s="754"/>
      <c r="M89" s="754"/>
      <c r="N89" s="754"/>
      <c r="O89" s="754"/>
      <c r="P89" s="754"/>
      <c r="Q89" s="754"/>
      <c r="R89" s="754"/>
      <c r="S89" s="754"/>
      <c r="T89" s="754"/>
      <c r="U89" s="754"/>
      <c r="V89" s="754"/>
      <c r="W89" s="754"/>
      <c r="X89" s="755"/>
      <c r="Y89" s="756"/>
      <c r="Z89" s="757"/>
    </row>
    <row r="90" spans="1:26" s="616" customFormat="1" ht="13.5" x14ac:dyDescent="0.2">
      <c r="A90" s="702" t="s">
        <v>353</v>
      </c>
      <c r="B90" s="697" t="s">
        <v>483</v>
      </c>
      <c r="C90" s="889"/>
      <c r="D90" s="889"/>
      <c r="E90" s="889"/>
      <c r="F90" s="889"/>
      <c r="G90" s="889"/>
      <c r="H90" s="889"/>
      <c r="I90" s="889"/>
      <c r="J90" s="889"/>
      <c r="K90" s="889"/>
      <c r="L90" s="889"/>
      <c r="M90" s="889"/>
      <c r="N90" s="889"/>
      <c r="O90" s="889"/>
      <c r="P90" s="889"/>
      <c r="Q90" s="889"/>
      <c r="R90" s="889"/>
      <c r="S90" s="889"/>
      <c r="T90" s="889"/>
      <c r="U90" s="889"/>
      <c r="V90" s="889"/>
      <c r="W90" s="889"/>
      <c r="X90" s="891"/>
      <c r="Y90" s="895"/>
      <c r="Z90" s="894"/>
    </row>
    <row r="91" spans="1:26" s="616" customFormat="1" ht="13.5" x14ac:dyDescent="0.2">
      <c r="A91" s="702" t="s">
        <v>355</v>
      </c>
      <c r="B91" s="697" t="s">
        <v>484</v>
      </c>
      <c r="C91" s="754"/>
      <c r="D91" s="754"/>
      <c r="E91" s="754"/>
      <c r="F91" s="754"/>
      <c r="G91" s="754"/>
      <c r="H91" s="754"/>
      <c r="I91" s="754"/>
      <c r="J91" s="754"/>
      <c r="K91" s="754"/>
      <c r="L91" s="754"/>
      <c r="M91" s="754"/>
      <c r="N91" s="754"/>
      <c r="O91" s="754"/>
      <c r="P91" s="754"/>
      <c r="Q91" s="754"/>
      <c r="R91" s="754"/>
      <c r="S91" s="754"/>
      <c r="T91" s="754"/>
      <c r="U91" s="754"/>
      <c r="V91" s="754"/>
      <c r="W91" s="754"/>
      <c r="X91" s="755"/>
      <c r="Y91" s="756"/>
      <c r="Z91" s="757"/>
    </row>
    <row r="92" spans="1:26" s="616" customFormat="1" ht="13.5" x14ac:dyDescent="0.2">
      <c r="A92" s="677"/>
      <c r="B92" s="683" t="s">
        <v>702</v>
      </c>
      <c r="C92" s="882"/>
      <c r="D92" s="882"/>
      <c r="E92" s="882"/>
      <c r="F92" s="882"/>
      <c r="G92" s="882"/>
      <c r="H92" s="882"/>
      <c r="I92" s="882"/>
      <c r="J92" s="882"/>
      <c r="K92" s="882"/>
      <c r="L92" s="882"/>
      <c r="M92" s="882"/>
      <c r="N92" s="882"/>
      <c r="O92" s="882"/>
      <c r="P92" s="882"/>
      <c r="Q92" s="882"/>
      <c r="R92" s="882"/>
      <c r="S92" s="882"/>
      <c r="T92" s="882"/>
      <c r="U92" s="882"/>
      <c r="V92" s="882"/>
      <c r="W92" s="882"/>
      <c r="X92" s="885"/>
      <c r="Y92" s="896"/>
      <c r="Z92" s="888"/>
    </row>
    <row r="93" spans="1:26" s="616" customFormat="1" ht="13.5" x14ac:dyDescent="0.2">
      <c r="A93" s="677"/>
      <c r="B93" s="683" t="s">
        <v>703</v>
      </c>
      <c r="C93" s="882"/>
      <c r="D93" s="882"/>
      <c r="E93" s="882"/>
      <c r="F93" s="882"/>
      <c r="G93" s="882"/>
      <c r="H93" s="882"/>
      <c r="I93" s="882"/>
      <c r="J93" s="882"/>
      <c r="K93" s="882"/>
      <c r="L93" s="882"/>
      <c r="M93" s="882"/>
      <c r="N93" s="882"/>
      <c r="O93" s="882"/>
      <c r="P93" s="882"/>
      <c r="Q93" s="882"/>
      <c r="R93" s="882"/>
      <c r="S93" s="882"/>
      <c r="T93" s="882"/>
      <c r="U93" s="882"/>
      <c r="V93" s="882"/>
      <c r="W93" s="882"/>
      <c r="X93" s="885"/>
      <c r="Y93" s="896"/>
      <c r="Z93" s="888"/>
    </row>
    <row r="94" spans="1:26" s="616" customFormat="1" ht="13.5" x14ac:dyDescent="0.2">
      <c r="A94" s="677"/>
      <c r="B94" s="683" t="s">
        <v>704</v>
      </c>
      <c r="C94" s="882"/>
      <c r="D94" s="882"/>
      <c r="E94" s="882"/>
      <c r="F94" s="882"/>
      <c r="G94" s="882"/>
      <c r="H94" s="882"/>
      <c r="I94" s="882"/>
      <c r="J94" s="882"/>
      <c r="K94" s="882"/>
      <c r="L94" s="882"/>
      <c r="M94" s="882"/>
      <c r="N94" s="882"/>
      <c r="O94" s="882"/>
      <c r="P94" s="882"/>
      <c r="Q94" s="882"/>
      <c r="R94" s="882"/>
      <c r="S94" s="882"/>
      <c r="T94" s="882"/>
      <c r="U94" s="882"/>
      <c r="V94" s="882"/>
      <c r="W94" s="882"/>
      <c r="X94" s="885"/>
      <c r="Y94" s="896"/>
      <c r="Z94" s="888"/>
    </row>
    <row r="95" spans="1:26" s="616" customFormat="1" ht="13.5" x14ac:dyDescent="0.2">
      <c r="A95" s="677"/>
      <c r="B95" s="683" t="s">
        <v>705</v>
      </c>
      <c r="C95" s="882"/>
      <c r="D95" s="882"/>
      <c r="E95" s="882"/>
      <c r="F95" s="882"/>
      <c r="G95" s="882"/>
      <c r="H95" s="882"/>
      <c r="I95" s="882"/>
      <c r="J95" s="882"/>
      <c r="K95" s="882"/>
      <c r="L95" s="882"/>
      <c r="M95" s="882"/>
      <c r="N95" s="882"/>
      <c r="O95" s="882"/>
      <c r="P95" s="882"/>
      <c r="Q95" s="882"/>
      <c r="R95" s="897"/>
      <c r="S95" s="882"/>
      <c r="T95" s="882"/>
      <c r="U95" s="882"/>
      <c r="V95" s="882"/>
      <c r="W95" s="882"/>
      <c r="X95" s="885"/>
      <c r="Y95" s="896"/>
      <c r="Z95" s="888"/>
    </row>
    <row r="96" spans="1:26" s="616" customFormat="1" ht="13.5" x14ac:dyDescent="0.2">
      <c r="A96" s="677"/>
      <c r="B96" s="683" t="s">
        <v>706</v>
      </c>
      <c r="C96" s="882"/>
      <c r="D96" s="882"/>
      <c r="E96" s="882"/>
      <c r="F96" s="882"/>
      <c r="G96" s="882"/>
      <c r="H96" s="882"/>
      <c r="I96" s="882"/>
      <c r="J96" s="882"/>
      <c r="K96" s="882"/>
      <c r="L96" s="882"/>
      <c r="M96" s="882"/>
      <c r="N96" s="882"/>
      <c r="O96" s="882"/>
      <c r="P96" s="882"/>
      <c r="Q96" s="882"/>
      <c r="R96" s="882"/>
      <c r="S96" s="882"/>
      <c r="T96" s="882"/>
      <c r="U96" s="882"/>
      <c r="V96" s="882"/>
      <c r="W96" s="882"/>
      <c r="X96" s="885"/>
      <c r="Y96" s="896"/>
      <c r="Z96" s="888"/>
    </row>
    <row r="97" spans="1:26" s="616" customFormat="1" ht="13.5" x14ac:dyDescent="0.2">
      <c r="A97" s="677"/>
      <c r="B97" s="683" t="s">
        <v>707</v>
      </c>
      <c r="C97" s="882"/>
      <c r="D97" s="882"/>
      <c r="E97" s="882"/>
      <c r="F97" s="882"/>
      <c r="G97" s="882"/>
      <c r="H97" s="882"/>
      <c r="I97" s="882"/>
      <c r="J97" s="882"/>
      <c r="K97" s="882"/>
      <c r="L97" s="882"/>
      <c r="M97" s="882"/>
      <c r="N97" s="882"/>
      <c r="O97" s="882"/>
      <c r="P97" s="882"/>
      <c r="Q97" s="882"/>
      <c r="R97" s="882"/>
      <c r="S97" s="882"/>
      <c r="T97" s="882"/>
      <c r="U97" s="882"/>
      <c r="V97" s="882"/>
      <c r="W97" s="882"/>
      <c r="X97" s="885"/>
      <c r="Y97" s="896"/>
      <c r="Z97" s="888"/>
    </row>
    <row r="98" spans="1:26" s="616" customFormat="1" ht="13.5" x14ac:dyDescent="0.2">
      <c r="A98" s="677"/>
      <c r="B98" s="683" t="s">
        <v>708</v>
      </c>
      <c r="C98" s="882"/>
      <c r="D98" s="882"/>
      <c r="E98" s="882"/>
      <c r="F98" s="882"/>
      <c r="G98" s="882"/>
      <c r="H98" s="882"/>
      <c r="I98" s="882"/>
      <c r="J98" s="882"/>
      <c r="K98" s="882"/>
      <c r="L98" s="882"/>
      <c r="M98" s="882"/>
      <c r="N98" s="882"/>
      <c r="O98" s="882"/>
      <c r="P98" s="882"/>
      <c r="Q98" s="882"/>
      <c r="R98" s="882"/>
      <c r="S98" s="882"/>
      <c r="T98" s="882"/>
      <c r="U98" s="882"/>
      <c r="V98" s="882"/>
      <c r="W98" s="882"/>
      <c r="X98" s="885"/>
      <c r="Y98" s="896"/>
      <c r="Z98" s="888"/>
    </row>
    <row r="99" spans="1:26" s="616" customFormat="1" ht="13.5" x14ac:dyDescent="0.2">
      <c r="A99" s="677"/>
      <c r="B99" s="683" t="s">
        <v>709</v>
      </c>
      <c r="C99" s="882"/>
      <c r="D99" s="882"/>
      <c r="E99" s="882"/>
      <c r="F99" s="882"/>
      <c r="G99" s="882"/>
      <c r="H99" s="882"/>
      <c r="I99" s="882"/>
      <c r="J99" s="882"/>
      <c r="K99" s="882"/>
      <c r="L99" s="882"/>
      <c r="M99" s="882"/>
      <c r="N99" s="882"/>
      <c r="O99" s="882"/>
      <c r="P99" s="882"/>
      <c r="Q99" s="882"/>
      <c r="R99" s="882"/>
      <c r="S99" s="882"/>
      <c r="T99" s="882"/>
      <c r="U99" s="882"/>
      <c r="V99" s="882"/>
      <c r="W99" s="882"/>
      <c r="X99" s="885"/>
      <c r="Y99" s="896"/>
      <c r="Z99" s="888"/>
    </row>
    <row r="100" spans="1:26" s="616" customFormat="1" ht="13.5" x14ac:dyDescent="0.2">
      <c r="A100" s="677"/>
      <c r="B100" s="683" t="s">
        <v>710</v>
      </c>
      <c r="C100" s="882"/>
      <c r="D100" s="882"/>
      <c r="E100" s="882"/>
      <c r="F100" s="882"/>
      <c r="G100" s="882"/>
      <c r="H100" s="882"/>
      <c r="I100" s="882"/>
      <c r="J100" s="882"/>
      <c r="K100" s="882"/>
      <c r="L100" s="882"/>
      <c r="M100" s="882"/>
      <c r="N100" s="882"/>
      <c r="O100" s="882"/>
      <c r="P100" s="882"/>
      <c r="Q100" s="882"/>
      <c r="R100" s="882"/>
      <c r="S100" s="882"/>
      <c r="T100" s="882"/>
      <c r="U100" s="882"/>
      <c r="V100" s="882"/>
      <c r="W100" s="882"/>
      <c r="X100" s="885"/>
      <c r="Y100" s="896"/>
      <c r="Z100" s="888"/>
    </row>
    <row r="101" spans="1:26" s="616" customFormat="1" ht="13.5" x14ac:dyDescent="0.2">
      <c r="A101" s="677"/>
      <c r="B101" s="683" t="s">
        <v>711</v>
      </c>
      <c r="C101" s="882"/>
      <c r="D101" s="882"/>
      <c r="E101" s="882"/>
      <c r="F101" s="882"/>
      <c r="G101" s="882"/>
      <c r="H101" s="882"/>
      <c r="I101" s="882"/>
      <c r="J101" s="882"/>
      <c r="K101" s="882"/>
      <c r="L101" s="882"/>
      <c r="M101" s="882"/>
      <c r="N101" s="882"/>
      <c r="O101" s="882"/>
      <c r="P101" s="882"/>
      <c r="Q101" s="882"/>
      <c r="R101" s="882"/>
      <c r="S101" s="882"/>
      <c r="T101" s="882"/>
      <c r="U101" s="882"/>
      <c r="V101" s="882"/>
      <c r="W101" s="882"/>
      <c r="X101" s="885"/>
      <c r="Y101" s="896"/>
      <c r="Z101" s="888"/>
    </row>
    <row r="102" spans="1:26" x14ac:dyDescent="0.2">
      <c r="A102" s="682"/>
      <c r="B102" s="700" t="s">
        <v>485</v>
      </c>
      <c r="C102" s="680">
        <f t="shared" ref="C102:X102" si="3">SUM(C40:C43)</f>
        <v>1061</v>
      </c>
      <c r="D102" s="680">
        <f t="shared" si="3"/>
        <v>1400</v>
      </c>
      <c r="E102" s="680">
        <f t="shared" si="3"/>
        <v>4886</v>
      </c>
      <c r="F102" s="680">
        <f t="shared" si="3"/>
        <v>1339</v>
      </c>
      <c r="G102" s="680">
        <f t="shared" si="3"/>
        <v>14942</v>
      </c>
      <c r="H102" s="680">
        <f t="shared" si="3"/>
        <v>2067</v>
      </c>
      <c r="I102" s="680">
        <f t="shared" si="3"/>
        <v>14994</v>
      </c>
      <c r="J102" s="680">
        <f t="shared" si="3"/>
        <v>2596</v>
      </c>
      <c r="K102" s="680">
        <f t="shared" si="3"/>
        <v>1947</v>
      </c>
      <c r="L102" s="680">
        <f t="shared" si="3"/>
        <v>3471</v>
      </c>
      <c r="M102" s="680">
        <f t="shared" si="3"/>
        <v>1854</v>
      </c>
      <c r="N102" s="680">
        <f t="shared" si="3"/>
        <v>1810</v>
      </c>
      <c r="O102" s="680">
        <f t="shared" si="3"/>
        <v>2403</v>
      </c>
      <c r="P102" s="680">
        <f t="shared" si="3"/>
        <v>3006</v>
      </c>
      <c r="Q102" s="680">
        <f t="shared" si="3"/>
        <v>2575</v>
      </c>
      <c r="R102" s="680">
        <f t="shared" si="3"/>
        <v>7933</v>
      </c>
      <c r="S102" s="680">
        <f t="shared" si="3"/>
        <v>1905</v>
      </c>
      <c r="T102" s="680">
        <f t="shared" si="3"/>
        <v>1404</v>
      </c>
      <c r="U102" s="680">
        <f t="shared" si="3"/>
        <v>1234</v>
      </c>
      <c r="V102" s="680">
        <f t="shared" si="3"/>
        <v>7203</v>
      </c>
      <c r="W102" s="680">
        <f t="shared" si="3"/>
        <v>749</v>
      </c>
      <c r="X102" s="681">
        <f t="shared" si="3"/>
        <v>1074</v>
      </c>
      <c r="Y102" s="681">
        <f t="shared" ref="Y102:Z102" si="4">SUM(Y40:Y43)</f>
        <v>75540</v>
      </c>
      <c r="Z102" s="680">
        <f t="shared" si="4"/>
        <v>476950</v>
      </c>
    </row>
    <row r="103" spans="1:26" x14ac:dyDescent="0.2">
      <c r="A103" s="682"/>
      <c r="B103" s="700" t="s">
        <v>486</v>
      </c>
      <c r="C103" s="680">
        <f>SUM(C40:C44)</f>
        <v>1099</v>
      </c>
      <c r="D103" s="680">
        <f t="shared" ref="D103:X103" si="5">SUM(D40:D44)</f>
        <v>2868</v>
      </c>
      <c r="E103" s="680">
        <f t="shared" si="5"/>
        <v>5597</v>
      </c>
      <c r="F103" s="680">
        <f t="shared" si="5"/>
        <v>2485</v>
      </c>
      <c r="G103" s="680">
        <f t="shared" si="5"/>
        <v>16931</v>
      </c>
      <c r="H103" s="680">
        <f t="shared" si="5"/>
        <v>2395</v>
      </c>
      <c r="I103" s="680">
        <f t="shared" si="5"/>
        <v>16440</v>
      </c>
      <c r="J103" s="680">
        <f t="shared" si="5"/>
        <v>3114</v>
      </c>
      <c r="K103" s="680">
        <f t="shared" si="5"/>
        <v>2087</v>
      </c>
      <c r="L103" s="680">
        <f t="shared" si="5"/>
        <v>5516</v>
      </c>
      <c r="M103" s="680">
        <f t="shared" si="5"/>
        <v>1863</v>
      </c>
      <c r="N103" s="680">
        <f t="shared" si="5"/>
        <v>2171</v>
      </c>
      <c r="O103" s="680">
        <f t="shared" si="5"/>
        <v>2588</v>
      </c>
      <c r="P103" s="680">
        <f t="shared" si="5"/>
        <v>4413</v>
      </c>
      <c r="Q103" s="680">
        <f t="shared" si="5"/>
        <v>3035</v>
      </c>
      <c r="R103" s="680">
        <f t="shared" si="5"/>
        <v>12174</v>
      </c>
      <c r="S103" s="680">
        <f t="shared" si="5"/>
        <v>3139</v>
      </c>
      <c r="T103" s="680">
        <f t="shared" si="5"/>
        <v>1558</v>
      </c>
      <c r="U103" s="680">
        <f t="shared" si="5"/>
        <v>1434</v>
      </c>
      <c r="V103" s="680">
        <f t="shared" si="5"/>
        <v>7465</v>
      </c>
      <c r="W103" s="680">
        <f t="shared" si="5"/>
        <v>924</v>
      </c>
      <c r="X103" s="681">
        <f t="shared" si="5"/>
        <v>1128</v>
      </c>
      <c r="Y103" s="918">
        <f t="shared" ref="Y103:Z103" si="6">SUM(Y40:Y44)</f>
        <v>91330</v>
      </c>
      <c r="Z103" s="680">
        <f t="shared" si="6"/>
        <v>571640</v>
      </c>
    </row>
  </sheetData>
  <conditionalFormatting sqref="Q43:Q44">
    <cfRule type="containsErrors" dxfId="300" priority="6">
      <formula>ISERROR(Q43)</formula>
    </cfRule>
  </conditionalFormatting>
  <conditionalFormatting sqref="C1:X1">
    <cfRule type="expression" dxfId="299" priority="1">
      <formula>$C1=#REF!</formula>
    </cfRule>
  </conditionalFormatting>
  <conditionalFormatting sqref="D1:X1">
    <cfRule type="expression" dxfId="298" priority="2">
      <formula>SUM(D$3:D$82)=0</formula>
    </cfRule>
    <cfRule type="containsErrors" dxfId="297" priority="3">
      <formula>ISERROR(D1)</formula>
    </cfRule>
  </conditionalFormatting>
  <conditionalFormatting sqref="C1">
    <cfRule type="expression" dxfId="296" priority="4">
      <formula>SUM(C$3:C$79)=0</formula>
    </cfRule>
    <cfRule type="containsErrors" dxfId="295" priority="5">
      <formula>ISERROR(C1)</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0" tint="-4.9989318521683403E-2"/>
  </sheetPr>
  <dimension ref="A1:Z103"/>
  <sheetViews>
    <sheetView zoomScaleNormal="100" workbookViewId="0">
      <pane xSplit="2" ySplit="1" topLeftCell="C84" activePane="bottomRight" state="frozen"/>
      <selection activeCell="W29" sqref="W29"/>
      <selection pane="topRight" activeCell="W29" sqref="W29"/>
      <selection pane="bottomLeft" activeCell="W29" sqref="W29"/>
      <selection pane="bottomRight" activeCell="W29" sqref="W29"/>
    </sheetView>
  </sheetViews>
  <sheetFormatPr defaultRowHeight="12.75" x14ac:dyDescent="0.2"/>
  <cols>
    <col min="1" max="1" width="4.42578125" style="515" customWidth="1"/>
    <col min="2" max="2" width="40.7109375" style="618" customWidth="1"/>
    <col min="3" max="24" width="5" style="515" customWidth="1"/>
    <col min="25" max="25" width="6" style="923" customWidth="1"/>
    <col min="26" max="26" width="6" style="515" customWidth="1"/>
    <col min="27" max="16384" width="9.140625" style="515"/>
  </cols>
  <sheetData>
    <row r="1" spans="1:26" s="615" customFormat="1" ht="67.5" customHeight="1" x14ac:dyDescent="0.2">
      <c r="A1" s="675" t="s">
        <v>745</v>
      </c>
      <c r="B1" s="676"/>
      <c r="C1" s="671" t="s">
        <v>0</v>
      </c>
      <c r="D1" s="671" t="s">
        <v>32</v>
      </c>
      <c r="E1" s="671" t="s">
        <v>9</v>
      </c>
      <c r="F1" s="671" t="s">
        <v>4</v>
      </c>
      <c r="G1" s="671" t="s">
        <v>6</v>
      </c>
      <c r="H1" s="671" t="s">
        <v>1</v>
      </c>
      <c r="I1" s="671" t="s">
        <v>10</v>
      </c>
      <c r="J1" s="671" t="s">
        <v>2</v>
      </c>
      <c r="K1" s="671" t="s">
        <v>11</v>
      </c>
      <c r="L1" s="671" t="s">
        <v>12</v>
      </c>
      <c r="M1" s="671" t="s">
        <v>13</v>
      </c>
      <c r="N1" s="671" t="s">
        <v>3</v>
      </c>
      <c r="O1" s="671" t="s">
        <v>14</v>
      </c>
      <c r="P1" s="671" t="s">
        <v>93</v>
      </c>
      <c r="Q1" s="671" t="s">
        <v>15</v>
      </c>
      <c r="R1" s="671" t="s">
        <v>7</v>
      </c>
      <c r="S1" s="671" t="s">
        <v>116</v>
      </c>
      <c r="T1" s="671" t="s">
        <v>117</v>
      </c>
      <c r="U1" s="671" t="s">
        <v>16</v>
      </c>
      <c r="V1" s="671" t="s">
        <v>5</v>
      </c>
      <c r="W1" s="671" t="s">
        <v>31</v>
      </c>
      <c r="X1" s="672" t="s">
        <v>17</v>
      </c>
      <c r="Y1" s="673" t="s">
        <v>74</v>
      </c>
      <c r="Z1" s="674" t="s">
        <v>130</v>
      </c>
    </row>
    <row r="2" spans="1:26" s="616" customFormat="1" ht="13.5" x14ac:dyDescent="0.2">
      <c r="A2" s="677"/>
      <c r="B2" s="678" t="s">
        <v>743</v>
      </c>
      <c r="C2" s="882"/>
      <c r="D2" s="882"/>
      <c r="E2" s="882"/>
      <c r="F2" s="882"/>
      <c r="G2" s="882"/>
      <c r="H2" s="882"/>
      <c r="I2" s="882"/>
      <c r="J2" s="882"/>
      <c r="K2" s="882"/>
      <c r="L2" s="882"/>
      <c r="M2" s="882"/>
      <c r="N2" s="882"/>
      <c r="O2" s="882"/>
      <c r="P2" s="882"/>
      <c r="Q2" s="882"/>
      <c r="R2" s="882"/>
      <c r="S2" s="882"/>
      <c r="T2" s="882"/>
      <c r="U2" s="882"/>
      <c r="V2" s="882"/>
      <c r="W2" s="883"/>
      <c r="X2" s="884"/>
      <c r="Y2" s="896"/>
      <c r="Z2" s="888"/>
    </row>
    <row r="3" spans="1:26" s="616" customFormat="1" ht="13.5" x14ac:dyDescent="0.2">
      <c r="A3" s="702">
        <v>1</v>
      </c>
      <c r="B3" s="683" t="s">
        <v>487</v>
      </c>
      <c r="C3" s="889"/>
      <c r="D3" s="889"/>
      <c r="E3" s="889"/>
      <c r="F3" s="889"/>
      <c r="G3" s="889"/>
      <c r="H3" s="889"/>
      <c r="I3" s="889"/>
      <c r="J3" s="889"/>
      <c r="K3" s="889"/>
      <c r="L3" s="889"/>
      <c r="M3" s="889"/>
      <c r="N3" s="889"/>
      <c r="O3" s="889"/>
      <c r="P3" s="889"/>
      <c r="Q3" s="889"/>
      <c r="R3" s="889"/>
      <c r="S3" s="889"/>
      <c r="T3" s="889"/>
      <c r="U3" s="889"/>
      <c r="V3" s="889"/>
      <c r="W3" s="889"/>
      <c r="X3" s="891"/>
      <c r="Y3" s="895"/>
      <c r="Z3" s="890"/>
    </row>
    <row r="4" spans="1:26" s="616" customFormat="1" ht="13.5" x14ac:dyDescent="0.2">
      <c r="A4" s="702">
        <v>2</v>
      </c>
      <c r="B4" s="683" t="s">
        <v>488</v>
      </c>
      <c r="C4" s="889"/>
      <c r="D4" s="889"/>
      <c r="E4" s="889"/>
      <c r="F4" s="889"/>
      <c r="G4" s="889"/>
      <c r="H4" s="889"/>
      <c r="I4" s="889"/>
      <c r="J4" s="889"/>
      <c r="K4" s="889"/>
      <c r="L4" s="889"/>
      <c r="M4" s="889"/>
      <c r="N4" s="889"/>
      <c r="O4" s="889"/>
      <c r="P4" s="889"/>
      <c r="Q4" s="889"/>
      <c r="R4" s="889"/>
      <c r="S4" s="889"/>
      <c r="T4" s="889"/>
      <c r="U4" s="889"/>
      <c r="V4" s="889"/>
      <c r="W4" s="889"/>
      <c r="X4" s="891"/>
      <c r="Y4" s="895"/>
      <c r="Z4" s="890"/>
    </row>
    <row r="5" spans="1:26" s="616" customFormat="1" ht="13.5" x14ac:dyDescent="0.2">
      <c r="A5" s="702">
        <v>3</v>
      </c>
      <c r="B5" s="683" t="s">
        <v>489</v>
      </c>
      <c r="C5" s="889"/>
      <c r="D5" s="889"/>
      <c r="E5" s="889"/>
      <c r="F5" s="889"/>
      <c r="G5" s="889"/>
      <c r="H5" s="889"/>
      <c r="I5" s="889"/>
      <c r="J5" s="889"/>
      <c r="K5" s="889"/>
      <c r="L5" s="889"/>
      <c r="M5" s="889"/>
      <c r="N5" s="889"/>
      <c r="O5" s="889"/>
      <c r="P5" s="889"/>
      <c r="Q5" s="889"/>
      <c r="R5" s="889"/>
      <c r="S5" s="889"/>
      <c r="T5" s="889"/>
      <c r="U5" s="889"/>
      <c r="V5" s="889"/>
      <c r="W5" s="889"/>
      <c r="X5" s="891"/>
      <c r="Y5" s="895"/>
      <c r="Z5" s="890"/>
    </row>
    <row r="6" spans="1:26" s="616" customFormat="1" ht="13.5" x14ac:dyDescent="0.2">
      <c r="A6" s="702">
        <v>4</v>
      </c>
      <c r="B6" s="683" t="s">
        <v>490</v>
      </c>
      <c r="C6" s="889"/>
      <c r="D6" s="889"/>
      <c r="E6" s="889"/>
      <c r="F6" s="889"/>
      <c r="G6" s="889"/>
      <c r="H6" s="889"/>
      <c r="I6" s="889"/>
      <c r="J6" s="889"/>
      <c r="K6" s="889"/>
      <c r="L6" s="889"/>
      <c r="M6" s="889"/>
      <c r="N6" s="892"/>
      <c r="O6" s="889"/>
      <c r="P6" s="889"/>
      <c r="Q6" s="889"/>
      <c r="R6" s="889"/>
      <c r="S6" s="889"/>
      <c r="T6" s="889"/>
      <c r="U6" s="893"/>
      <c r="V6" s="889"/>
      <c r="W6" s="889"/>
      <c r="X6" s="891"/>
      <c r="Y6" s="895"/>
      <c r="Z6" s="890"/>
    </row>
    <row r="7" spans="1:26" s="616" customFormat="1" ht="13.5" x14ac:dyDescent="0.2">
      <c r="A7" s="702">
        <v>5</v>
      </c>
      <c r="B7" s="683" t="s">
        <v>491</v>
      </c>
      <c r="C7" s="889"/>
      <c r="D7" s="889"/>
      <c r="E7" s="889"/>
      <c r="F7" s="889"/>
      <c r="G7" s="889"/>
      <c r="H7" s="889"/>
      <c r="I7" s="889"/>
      <c r="J7" s="889"/>
      <c r="K7" s="889"/>
      <c r="L7" s="889"/>
      <c r="M7" s="889"/>
      <c r="N7" s="892"/>
      <c r="O7" s="889"/>
      <c r="P7" s="889"/>
      <c r="Q7" s="889"/>
      <c r="R7" s="889"/>
      <c r="S7" s="889"/>
      <c r="T7" s="889"/>
      <c r="U7" s="893"/>
      <c r="V7" s="889"/>
      <c r="W7" s="889"/>
      <c r="X7" s="891"/>
      <c r="Y7" s="895"/>
      <c r="Z7" s="890"/>
    </row>
    <row r="8" spans="1:26" s="616" customFormat="1" ht="22.5" x14ac:dyDescent="0.2">
      <c r="A8" s="702">
        <v>6</v>
      </c>
      <c r="B8" s="687" t="s">
        <v>275</v>
      </c>
      <c r="C8" s="687"/>
      <c r="D8" s="687"/>
      <c r="E8" s="687"/>
      <c r="F8" s="687"/>
      <c r="G8" s="687"/>
      <c r="H8" s="687"/>
      <c r="I8" s="687"/>
      <c r="J8" s="687"/>
      <c r="K8" s="687"/>
      <c r="L8" s="687"/>
      <c r="M8" s="687"/>
      <c r="N8" s="687"/>
      <c r="O8" s="687"/>
      <c r="P8" s="687"/>
      <c r="Q8" s="687"/>
      <c r="R8" s="687"/>
      <c r="S8" s="687"/>
      <c r="T8" s="687"/>
      <c r="U8" s="687"/>
      <c r="V8" s="687"/>
      <c r="W8" s="687"/>
      <c r="X8" s="687"/>
      <c r="Y8" s="706"/>
      <c r="Z8" s="706"/>
    </row>
    <row r="9" spans="1:26" s="616" customFormat="1" ht="13.5" x14ac:dyDescent="0.2">
      <c r="A9" s="898"/>
      <c r="B9" s="683" t="s">
        <v>492</v>
      </c>
      <c r="C9" s="889"/>
      <c r="D9" s="889"/>
      <c r="E9" s="889"/>
      <c r="F9" s="889"/>
      <c r="G9" s="889"/>
      <c r="H9" s="889"/>
      <c r="I9" s="889"/>
      <c r="J9" s="889"/>
      <c r="K9" s="889"/>
      <c r="L9" s="889"/>
      <c r="M9" s="889"/>
      <c r="N9" s="892"/>
      <c r="O9" s="889"/>
      <c r="P9" s="889"/>
      <c r="Q9" s="889"/>
      <c r="R9" s="889"/>
      <c r="S9" s="889"/>
      <c r="T9" s="889"/>
      <c r="U9" s="893"/>
      <c r="V9" s="889"/>
      <c r="W9" s="889"/>
      <c r="X9" s="891"/>
      <c r="Y9" s="895"/>
      <c r="Z9" s="890"/>
    </row>
    <row r="10" spans="1:26" s="616" customFormat="1" x14ac:dyDescent="0.2">
      <c r="A10" s="899"/>
      <c r="B10" s="688" t="s">
        <v>493</v>
      </c>
      <c r="C10" s="889"/>
      <c r="D10" s="889"/>
      <c r="E10" s="889"/>
      <c r="F10" s="889"/>
      <c r="G10" s="889"/>
      <c r="H10" s="889"/>
      <c r="I10" s="889"/>
      <c r="J10" s="889"/>
      <c r="K10" s="889"/>
      <c r="L10" s="889"/>
      <c r="M10" s="889"/>
      <c r="N10" s="892"/>
      <c r="O10" s="889"/>
      <c r="P10" s="889"/>
      <c r="Q10" s="889"/>
      <c r="R10" s="889"/>
      <c r="S10" s="889"/>
      <c r="T10" s="889"/>
      <c r="U10" s="893"/>
      <c r="V10" s="889"/>
      <c r="W10" s="889"/>
      <c r="X10" s="891"/>
      <c r="Y10" s="895"/>
      <c r="Z10" s="890"/>
    </row>
    <row r="11" spans="1:26" s="616" customFormat="1" ht="13.5" x14ac:dyDescent="0.2">
      <c r="A11" s="702">
        <v>7</v>
      </c>
      <c r="B11" s="683" t="s">
        <v>494</v>
      </c>
      <c r="C11" s="889"/>
      <c r="D11" s="889"/>
      <c r="E11" s="889"/>
      <c r="F11" s="889"/>
      <c r="G11" s="889"/>
      <c r="H11" s="889"/>
      <c r="I11" s="889"/>
      <c r="J11" s="889"/>
      <c r="K11" s="889"/>
      <c r="L11" s="889"/>
      <c r="M11" s="889"/>
      <c r="N11" s="892"/>
      <c r="O11" s="889"/>
      <c r="P11" s="889"/>
      <c r="Q11" s="889"/>
      <c r="R11" s="889"/>
      <c r="S11" s="889"/>
      <c r="T11" s="889"/>
      <c r="U11" s="893"/>
      <c r="V11" s="889"/>
      <c r="W11" s="889"/>
      <c r="X11" s="891"/>
      <c r="Y11" s="895"/>
      <c r="Z11" s="890"/>
    </row>
    <row r="12" spans="1:26" s="616" customFormat="1" ht="13.5" x14ac:dyDescent="0.2">
      <c r="A12" s="702">
        <v>8</v>
      </c>
      <c r="B12" s="683" t="s">
        <v>495</v>
      </c>
      <c r="C12" s="679">
        <v>1644</v>
      </c>
      <c r="D12" s="679">
        <v>3405</v>
      </c>
      <c r="E12" s="679">
        <v>9204</v>
      </c>
      <c r="F12" s="679">
        <v>3676</v>
      </c>
      <c r="G12" s="679">
        <v>19435</v>
      </c>
      <c r="H12" s="679">
        <v>2613</v>
      </c>
      <c r="I12" s="679">
        <v>15805</v>
      </c>
      <c r="J12" s="679">
        <v>2732</v>
      </c>
      <c r="K12" s="679">
        <v>3083</v>
      </c>
      <c r="L12" s="679">
        <v>7066</v>
      </c>
      <c r="M12" s="679">
        <v>2487</v>
      </c>
      <c r="N12" s="679">
        <v>3267</v>
      </c>
      <c r="O12" s="679">
        <v>5688</v>
      </c>
      <c r="P12" s="679">
        <v>4777</v>
      </c>
      <c r="Q12" s="679">
        <v>3044</v>
      </c>
      <c r="R12" s="679">
        <v>11679</v>
      </c>
      <c r="S12" s="679">
        <v>3021</v>
      </c>
      <c r="T12" s="679">
        <v>1616</v>
      </c>
      <c r="U12" s="679">
        <v>1652</v>
      </c>
      <c r="V12" s="679">
        <v>8741</v>
      </c>
      <c r="W12" s="679">
        <v>992</v>
      </c>
      <c r="X12" s="684">
        <v>907</v>
      </c>
      <c r="Y12" s="617">
        <f t="shared" ref="Y12:Y65" si="0">SUM(C12:O12,Q12:R12,U12:X12)</f>
        <v>107120</v>
      </c>
      <c r="Z12" s="680">
        <v>646120</v>
      </c>
    </row>
    <row r="13" spans="1:26" s="616" customFormat="1" ht="13.5" x14ac:dyDescent="0.2">
      <c r="A13" s="702">
        <v>9</v>
      </c>
      <c r="B13" s="683" t="s">
        <v>496</v>
      </c>
      <c r="C13" s="889"/>
      <c r="D13" s="889"/>
      <c r="E13" s="889"/>
      <c r="F13" s="889"/>
      <c r="G13" s="889"/>
      <c r="H13" s="889"/>
      <c r="I13" s="889"/>
      <c r="J13" s="889"/>
      <c r="K13" s="889"/>
      <c r="L13" s="889"/>
      <c r="M13" s="889"/>
      <c r="N13" s="889"/>
      <c r="O13" s="889"/>
      <c r="P13" s="889"/>
      <c r="Q13" s="889"/>
      <c r="R13" s="889"/>
      <c r="S13" s="889"/>
      <c r="T13" s="889"/>
      <c r="U13" s="889"/>
      <c r="V13" s="889"/>
      <c r="W13" s="889"/>
      <c r="X13" s="891"/>
      <c r="Y13" s="895"/>
      <c r="Z13" s="890"/>
    </row>
    <row r="14" spans="1:26" s="616" customFormat="1" ht="13.5" x14ac:dyDescent="0.2">
      <c r="A14" s="702">
        <v>10</v>
      </c>
      <c r="B14" s="683" t="s">
        <v>497</v>
      </c>
      <c r="C14" s="679">
        <v>1440</v>
      </c>
      <c r="D14" s="679">
        <v>3073</v>
      </c>
      <c r="E14" s="679">
        <v>8257</v>
      </c>
      <c r="F14" s="679">
        <v>3608</v>
      </c>
      <c r="G14" s="679">
        <v>16051</v>
      </c>
      <c r="H14" s="679">
        <v>2189</v>
      </c>
      <c r="I14" s="679">
        <v>15720</v>
      </c>
      <c r="J14" s="679">
        <v>2503</v>
      </c>
      <c r="K14" s="679">
        <v>2518</v>
      </c>
      <c r="L14" s="679">
        <v>6597</v>
      </c>
      <c r="M14" s="679">
        <v>2374</v>
      </c>
      <c r="N14" s="679">
        <v>3107</v>
      </c>
      <c r="O14" s="679">
        <v>2228</v>
      </c>
      <c r="P14" s="679">
        <v>4742</v>
      </c>
      <c r="Q14" s="679">
        <v>3036</v>
      </c>
      <c r="R14" s="679">
        <v>11571</v>
      </c>
      <c r="S14" s="679">
        <v>2922</v>
      </c>
      <c r="T14" s="679">
        <v>1386</v>
      </c>
      <c r="U14" s="679">
        <v>1652</v>
      </c>
      <c r="V14" s="679">
        <v>7614</v>
      </c>
      <c r="W14" s="679">
        <v>876</v>
      </c>
      <c r="X14" s="684">
        <v>900</v>
      </c>
      <c r="Y14" s="617">
        <v>95310</v>
      </c>
      <c r="Z14" s="680">
        <v>580080</v>
      </c>
    </row>
    <row r="15" spans="1:26" s="616" customFormat="1" ht="13.5" x14ac:dyDescent="0.2">
      <c r="A15" s="702">
        <v>11</v>
      </c>
      <c r="B15" s="687" t="s">
        <v>282</v>
      </c>
      <c r="C15" s="687"/>
      <c r="D15" s="687"/>
      <c r="E15" s="687"/>
      <c r="F15" s="687"/>
      <c r="G15" s="687"/>
      <c r="H15" s="687"/>
      <c r="I15" s="687"/>
      <c r="J15" s="687"/>
      <c r="K15" s="687"/>
      <c r="L15" s="687"/>
      <c r="M15" s="687"/>
      <c r="N15" s="687"/>
      <c r="O15" s="687"/>
      <c r="P15" s="687"/>
      <c r="Q15" s="687"/>
      <c r="R15" s="687"/>
      <c r="S15" s="687"/>
      <c r="T15" s="687"/>
      <c r="U15" s="687"/>
      <c r="V15" s="687"/>
      <c r="W15" s="687"/>
      <c r="X15" s="687"/>
      <c r="Y15" s="706"/>
      <c r="Z15" s="706"/>
    </row>
    <row r="16" spans="1:26" s="616" customFormat="1" ht="13.5" x14ac:dyDescent="0.2">
      <c r="A16" s="703"/>
      <c r="B16" s="689" t="s">
        <v>498</v>
      </c>
      <c r="C16" s="686">
        <v>170</v>
      </c>
      <c r="D16" s="679">
        <v>176</v>
      </c>
      <c r="E16" s="679">
        <v>682</v>
      </c>
      <c r="F16" s="679">
        <v>279</v>
      </c>
      <c r="G16" s="679">
        <v>2165</v>
      </c>
      <c r="H16" s="679">
        <v>244</v>
      </c>
      <c r="I16" s="679">
        <v>1596</v>
      </c>
      <c r="J16" s="679">
        <v>343</v>
      </c>
      <c r="K16" s="679">
        <v>255</v>
      </c>
      <c r="L16" s="679">
        <v>536</v>
      </c>
      <c r="M16" s="679">
        <v>196</v>
      </c>
      <c r="N16" s="679">
        <v>166</v>
      </c>
      <c r="O16" s="679">
        <v>261</v>
      </c>
      <c r="P16" s="679">
        <v>621</v>
      </c>
      <c r="Q16" s="679">
        <v>98</v>
      </c>
      <c r="R16" s="679">
        <v>642</v>
      </c>
      <c r="S16" s="679">
        <v>220</v>
      </c>
      <c r="T16" s="679">
        <v>127</v>
      </c>
      <c r="U16" s="679">
        <v>134</v>
      </c>
      <c r="V16" s="679">
        <v>2111</v>
      </c>
      <c r="W16" s="679">
        <v>37</v>
      </c>
      <c r="X16" s="684">
        <v>92</v>
      </c>
      <c r="Y16" s="617">
        <v>10180</v>
      </c>
      <c r="Z16" s="680">
        <v>53120</v>
      </c>
    </row>
    <row r="17" spans="1:26" s="616" customFormat="1" ht="13.5" x14ac:dyDescent="0.2">
      <c r="A17" s="703"/>
      <c r="B17" s="689" t="s">
        <v>499</v>
      </c>
      <c r="C17" s="893"/>
      <c r="D17" s="889"/>
      <c r="E17" s="889"/>
      <c r="F17" s="889"/>
      <c r="G17" s="889"/>
      <c r="H17" s="889"/>
      <c r="I17" s="889"/>
      <c r="J17" s="889"/>
      <c r="K17" s="889"/>
      <c r="L17" s="889"/>
      <c r="M17" s="889"/>
      <c r="N17" s="889"/>
      <c r="O17" s="889"/>
      <c r="P17" s="889"/>
      <c r="Q17" s="889"/>
      <c r="R17" s="889"/>
      <c r="S17" s="889"/>
      <c r="T17" s="889"/>
      <c r="U17" s="889"/>
      <c r="V17" s="889"/>
      <c r="W17" s="889"/>
      <c r="X17" s="891"/>
      <c r="Y17" s="895"/>
      <c r="Z17" s="890"/>
    </row>
    <row r="18" spans="1:26" s="616" customFormat="1" ht="13.5" x14ac:dyDescent="0.2">
      <c r="A18" s="703"/>
      <c r="B18" s="689" t="s">
        <v>500</v>
      </c>
      <c r="C18" s="893"/>
      <c r="D18" s="889"/>
      <c r="E18" s="889"/>
      <c r="F18" s="889"/>
      <c r="G18" s="889"/>
      <c r="H18" s="889"/>
      <c r="I18" s="889"/>
      <c r="J18" s="889"/>
      <c r="K18" s="889"/>
      <c r="L18" s="889"/>
      <c r="M18" s="889"/>
      <c r="N18" s="889"/>
      <c r="O18" s="889"/>
      <c r="P18" s="889"/>
      <c r="Q18" s="889"/>
      <c r="R18" s="889"/>
      <c r="S18" s="889"/>
      <c r="T18" s="889"/>
      <c r="U18" s="889"/>
      <c r="V18" s="889"/>
      <c r="W18" s="889"/>
      <c r="X18" s="891"/>
      <c r="Y18" s="895"/>
      <c r="Z18" s="890"/>
    </row>
    <row r="19" spans="1:26" s="616" customFormat="1" ht="13.5" x14ac:dyDescent="0.2">
      <c r="A19" s="703"/>
      <c r="B19" s="689" t="s">
        <v>501</v>
      </c>
      <c r="C19" s="893"/>
      <c r="D19" s="889"/>
      <c r="E19" s="889"/>
      <c r="F19" s="889"/>
      <c r="G19" s="889"/>
      <c r="H19" s="889"/>
      <c r="I19" s="889"/>
      <c r="J19" s="889"/>
      <c r="K19" s="889"/>
      <c r="L19" s="889"/>
      <c r="M19" s="889"/>
      <c r="N19" s="889"/>
      <c r="O19" s="889"/>
      <c r="P19" s="889"/>
      <c r="Q19" s="889"/>
      <c r="R19" s="889"/>
      <c r="S19" s="889"/>
      <c r="T19" s="889"/>
      <c r="U19" s="889"/>
      <c r="V19" s="889"/>
      <c r="W19" s="889"/>
      <c r="X19" s="891"/>
      <c r="Y19" s="895"/>
      <c r="Z19" s="890"/>
    </row>
    <row r="20" spans="1:26" s="616" customFormat="1" ht="13.5" x14ac:dyDescent="0.2">
      <c r="A20" s="703"/>
      <c r="B20" s="689" t="s">
        <v>502</v>
      </c>
      <c r="C20" s="686">
        <v>353</v>
      </c>
      <c r="D20" s="679">
        <v>629</v>
      </c>
      <c r="E20" s="679">
        <v>2287</v>
      </c>
      <c r="F20" s="679">
        <v>588</v>
      </c>
      <c r="G20" s="679">
        <v>4551</v>
      </c>
      <c r="H20" s="679">
        <v>681</v>
      </c>
      <c r="I20" s="679">
        <v>2620</v>
      </c>
      <c r="J20" s="679">
        <v>575</v>
      </c>
      <c r="K20" s="679">
        <v>791</v>
      </c>
      <c r="L20" s="679">
        <v>1347</v>
      </c>
      <c r="M20" s="679">
        <v>454</v>
      </c>
      <c r="N20" s="685">
        <v>536</v>
      </c>
      <c r="O20" s="679">
        <v>712</v>
      </c>
      <c r="P20" s="679">
        <v>809</v>
      </c>
      <c r="Q20" s="679">
        <v>789</v>
      </c>
      <c r="R20" s="679">
        <v>2095</v>
      </c>
      <c r="S20" s="679">
        <v>620</v>
      </c>
      <c r="T20" s="679">
        <v>391</v>
      </c>
      <c r="U20" s="686">
        <v>318</v>
      </c>
      <c r="V20" s="679">
        <v>1554</v>
      </c>
      <c r="W20" s="679">
        <v>142</v>
      </c>
      <c r="X20" s="684">
        <v>142</v>
      </c>
      <c r="Y20" s="617">
        <v>21160</v>
      </c>
      <c r="Z20" s="680">
        <v>114530</v>
      </c>
    </row>
    <row r="21" spans="1:26" s="616" customFormat="1" ht="13.5" x14ac:dyDescent="0.2">
      <c r="A21" s="703"/>
      <c r="B21" s="689" t="s">
        <v>503</v>
      </c>
      <c r="C21" s="686">
        <v>32</v>
      </c>
      <c r="D21" s="679">
        <v>42</v>
      </c>
      <c r="E21" s="679">
        <v>105</v>
      </c>
      <c r="F21" s="679">
        <v>93</v>
      </c>
      <c r="G21" s="679">
        <v>8</v>
      </c>
      <c r="H21" s="679">
        <v>0</v>
      </c>
      <c r="I21" s="679">
        <v>145</v>
      </c>
      <c r="J21" s="679">
        <v>23</v>
      </c>
      <c r="K21" s="679">
        <v>33</v>
      </c>
      <c r="L21" s="679">
        <v>175</v>
      </c>
      <c r="M21" s="679">
        <v>26</v>
      </c>
      <c r="N21" s="685">
        <v>12</v>
      </c>
      <c r="O21" s="679">
        <v>62</v>
      </c>
      <c r="P21" s="679">
        <v>104</v>
      </c>
      <c r="Q21" s="679">
        <v>14</v>
      </c>
      <c r="R21" s="679">
        <v>86</v>
      </c>
      <c r="S21" s="679">
        <v>9</v>
      </c>
      <c r="T21" s="679">
        <v>0</v>
      </c>
      <c r="U21" s="686">
        <v>25</v>
      </c>
      <c r="V21" s="679">
        <v>0</v>
      </c>
      <c r="W21" s="679">
        <v>23</v>
      </c>
      <c r="X21" s="684">
        <v>16</v>
      </c>
      <c r="Y21" s="617">
        <v>920</v>
      </c>
      <c r="Z21" s="680">
        <v>17030</v>
      </c>
    </row>
    <row r="22" spans="1:26" s="616" customFormat="1" ht="13.5" x14ac:dyDescent="0.2">
      <c r="A22" s="703"/>
      <c r="B22" s="689" t="s">
        <v>504</v>
      </c>
      <c r="C22" s="686">
        <v>132</v>
      </c>
      <c r="D22" s="679">
        <v>336</v>
      </c>
      <c r="E22" s="679">
        <v>1587</v>
      </c>
      <c r="F22" s="679">
        <v>384</v>
      </c>
      <c r="G22" s="679">
        <v>2603</v>
      </c>
      <c r="H22" s="679">
        <v>307</v>
      </c>
      <c r="I22" s="679">
        <v>1938</v>
      </c>
      <c r="J22" s="679">
        <v>250</v>
      </c>
      <c r="K22" s="679">
        <v>331</v>
      </c>
      <c r="L22" s="679">
        <v>1092</v>
      </c>
      <c r="M22" s="679">
        <v>325</v>
      </c>
      <c r="N22" s="685">
        <v>481</v>
      </c>
      <c r="O22" s="679">
        <v>690</v>
      </c>
      <c r="P22" s="679">
        <v>670</v>
      </c>
      <c r="Q22" s="679">
        <v>373</v>
      </c>
      <c r="R22" s="679">
        <v>1622</v>
      </c>
      <c r="S22" s="679">
        <v>265</v>
      </c>
      <c r="T22" s="679">
        <v>162</v>
      </c>
      <c r="U22" s="686">
        <v>131</v>
      </c>
      <c r="V22" s="679">
        <v>998</v>
      </c>
      <c r="W22" s="679">
        <v>71</v>
      </c>
      <c r="X22" s="684">
        <v>129</v>
      </c>
      <c r="Y22" s="617">
        <v>13780</v>
      </c>
      <c r="Z22" s="680">
        <v>93330</v>
      </c>
    </row>
    <row r="23" spans="1:26" s="616" customFormat="1" ht="13.5" x14ac:dyDescent="0.2">
      <c r="A23" s="703"/>
      <c r="B23" s="689" t="s">
        <v>505</v>
      </c>
      <c r="C23" s="893"/>
      <c r="D23" s="889"/>
      <c r="E23" s="889"/>
      <c r="F23" s="889"/>
      <c r="G23" s="889"/>
      <c r="H23" s="889"/>
      <c r="I23" s="889"/>
      <c r="J23" s="889"/>
      <c r="K23" s="889"/>
      <c r="L23" s="889"/>
      <c r="M23" s="889"/>
      <c r="N23" s="892"/>
      <c r="O23" s="889"/>
      <c r="P23" s="889"/>
      <c r="Q23" s="889"/>
      <c r="R23" s="889"/>
      <c r="S23" s="889"/>
      <c r="T23" s="889"/>
      <c r="U23" s="893"/>
      <c r="V23" s="889"/>
      <c r="W23" s="889"/>
      <c r="X23" s="891"/>
      <c r="Y23" s="895"/>
      <c r="Z23" s="890"/>
    </row>
    <row r="24" spans="1:26" s="616" customFormat="1" ht="13.5" x14ac:dyDescent="0.2">
      <c r="A24" s="703"/>
      <c r="B24" s="689" t="s">
        <v>506</v>
      </c>
      <c r="C24" s="893"/>
      <c r="D24" s="889"/>
      <c r="E24" s="889"/>
      <c r="F24" s="889"/>
      <c r="G24" s="889"/>
      <c r="H24" s="889"/>
      <c r="I24" s="889"/>
      <c r="J24" s="889"/>
      <c r="K24" s="889"/>
      <c r="L24" s="889"/>
      <c r="M24" s="889"/>
      <c r="N24" s="892"/>
      <c r="O24" s="889"/>
      <c r="P24" s="889"/>
      <c r="Q24" s="889"/>
      <c r="R24" s="889"/>
      <c r="S24" s="889"/>
      <c r="T24" s="889"/>
      <c r="U24" s="893"/>
      <c r="V24" s="889"/>
      <c r="W24" s="889"/>
      <c r="X24" s="891"/>
      <c r="Y24" s="895"/>
      <c r="Z24" s="890"/>
    </row>
    <row r="25" spans="1:26" s="616" customFormat="1" ht="13.5" x14ac:dyDescent="0.2">
      <c r="A25" s="703"/>
      <c r="B25" s="689" t="s">
        <v>507</v>
      </c>
      <c r="C25" s="893"/>
      <c r="D25" s="889"/>
      <c r="E25" s="889"/>
      <c r="F25" s="889"/>
      <c r="G25" s="889"/>
      <c r="H25" s="889"/>
      <c r="I25" s="889"/>
      <c r="J25" s="889"/>
      <c r="K25" s="889"/>
      <c r="L25" s="889"/>
      <c r="M25" s="889"/>
      <c r="N25" s="892"/>
      <c r="O25" s="889"/>
      <c r="P25" s="889"/>
      <c r="Q25" s="889"/>
      <c r="R25" s="889"/>
      <c r="S25" s="889"/>
      <c r="T25" s="889"/>
      <c r="U25" s="893"/>
      <c r="V25" s="889"/>
      <c r="W25" s="889"/>
      <c r="X25" s="891"/>
      <c r="Y25" s="895"/>
      <c r="Z25" s="890"/>
    </row>
    <row r="26" spans="1:26" s="616" customFormat="1" ht="13.5" x14ac:dyDescent="0.2">
      <c r="A26" s="703"/>
      <c r="B26" s="689" t="s">
        <v>508</v>
      </c>
      <c r="C26" s="893"/>
      <c r="D26" s="889"/>
      <c r="E26" s="889"/>
      <c r="F26" s="889"/>
      <c r="G26" s="889"/>
      <c r="H26" s="889"/>
      <c r="I26" s="889"/>
      <c r="J26" s="889"/>
      <c r="K26" s="889"/>
      <c r="L26" s="889"/>
      <c r="M26" s="889"/>
      <c r="N26" s="892"/>
      <c r="O26" s="889"/>
      <c r="P26" s="889"/>
      <c r="Q26" s="889"/>
      <c r="R26" s="889"/>
      <c r="S26" s="889"/>
      <c r="T26" s="889"/>
      <c r="U26" s="893"/>
      <c r="V26" s="889"/>
      <c r="W26" s="889"/>
      <c r="X26" s="891"/>
      <c r="Y26" s="895"/>
      <c r="Z26" s="890"/>
    </row>
    <row r="27" spans="1:26" s="616" customFormat="1" ht="13.5" x14ac:dyDescent="0.2">
      <c r="A27" s="703"/>
      <c r="B27" s="689" t="s">
        <v>509</v>
      </c>
      <c r="C27" s="893"/>
      <c r="D27" s="889"/>
      <c r="E27" s="889"/>
      <c r="F27" s="889"/>
      <c r="G27" s="889"/>
      <c r="H27" s="889"/>
      <c r="I27" s="889"/>
      <c r="J27" s="889"/>
      <c r="K27" s="889"/>
      <c r="L27" s="889"/>
      <c r="M27" s="889"/>
      <c r="N27" s="892"/>
      <c r="O27" s="889"/>
      <c r="P27" s="889"/>
      <c r="Q27" s="889"/>
      <c r="R27" s="889"/>
      <c r="S27" s="889"/>
      <c r="T27" s="889"/>
      <c r="U27" s="893"/>
      <c r="V27" s="889"/>
      <c r="W27" s="889"/>
      <c r="X27" s="891"/>
      <c r="Y27" s="895"/>
      <c r="Z27" s="890"/>
    </row>
    <row r="28" spans="1:26" s="616" customFormat="1" ht="13.5" x14ac:dyDescent="0.2">
      <c r="A28" s="703"/>
      <c r="B28" s="689" t="s">
        <v>510</v>
      </c>
      <c r="C28" s="686">
        <v>19</v>
      </c>
      <c r="D28" s="679">
        <v>39</v>
      </c>
      <c r="E28" s="679">
        <v>93</v>
      </c>
      <c r="F28" s="679">
        <v>35</v>
      </c>
      <c r="G28" s="679">
        <v>233</v>
      </c>
      <c r="H28" s="679">
        <v>41</v>
      </c>
      <c r="I28" s="679">
        <v>366</v>
      </c>
      <c r="J28" s="679">
        <v>81</v>
      </c>
      <c r="K28" s="679" t="s">
        <v>73</v>
      </c>
      <c r="L28" s="679">
        <v>73</v>
      </c>
      <c r="M28" s="679">
        <v>69</v>
      </c>
      <c r="N28" s="685">
        <v>113</v>
      </c>
      <c r="O28" s="679" t="s">
        <v>73</v>
      </c>
      <c r="P28" s="679">
        <v>61</v>
      </c>
      <c r="Q28" s="679">
        <v>64</v>
      </c>
      <c r="R28" s="679">
        <v>118</v>
      </c>
      <c r="S28" s="679">
        <v>33</v>
      </c>
      <c r="T28" s="679">
        <v>20</v>
      </c>
      <c r="U28" s="686">
        <v>35</v>
      </c>
      <c r="V28" s="679">
        <v>120</v>
      </c>
      <c r="W28" s="679" t="s">
        <v>73</v>
      </c>
      <c r="X28" s="684">
        <v>10</v>
      </c>
      <c r="Y28" s="617">
        <v>1550</v>
      </c>
      <c r="Z28" s="680">
        <v>9970</v>
      </c>
    </row>
    <row r="29" spans="1:26" s="616" customFormat="1" ht="13.5" x14ac:dyDescent="0.2">
      <c r="A29" s="703"/>
      <c r="B29" s="689" t="s">
        <v>511</v>
      </c>
      <c r="C29" s="686">
        <v>290</v>
      </c>
      <c r="D29" s="679">
        <v>632</v>
      </c>
      <c r="E29" s="679">
        <v>1023</v>
      </c>
      <c r="F29" s="679">
        <v>815</v>
      </c>
      <c r="G29" s="679">
        <v>1606</v>
      </c>
      <c r="H29" s="679">
        <v>231</v>
      </c>
      <c r="I29" s="679">
        <v>1976</v>
      </c>
      <c r="J29" s="679">
        <v>394</v>
      </c>
      <c r="K29" s="679">
        <v>529</v>
      </c>
      <c r="L29" s="679">
        <v>722</v>
      </c>
      <c r="M29" s="679">
        <v>253</v>
      </c>
      <c r="N29" s="685">
        <v>308</v>
      </c>
      <c r="O29" s="679">
        <v>997</v>
      </c>
      <c r="P29" s="679">
        <v>638</v>
      </c>
      <c r="Q29" s="679">
        <v>536</v>
      </c>
      <c r="R29" s="679">
        <v>1086</v>
      </c>
      <c r="S29" s="679">
        <v>266</v>
      </c>
      <c r="T29" s="679">
        <v>370</v>
      </c>
      <c r="U29" s="686">
        <v>410</v>
      </c>
      <c r="V29" s="679">
        <v>662</v>
      </c>
      <c r="W29" s="679">
        <v>410</v>
      </c>
      <c r="X29" s="684">
        <v>97</v>
      </c>
      <c r="Y29" s="617">
        <v>12980</v>
      </c>
      <c r="Z29" s="680">
        <v>88150</v>
      </c>
    </row>
    <row r="30" spans="1:26" s="616" customFormat="1" ht="13.5" x14ac:dyDescent="0.2">
      <c r="A30" s="703"/>
      <c r="B30" s="689" t="s">
        <v>512</v>
      </c>
      <c r="C30" s="893"/>
      <c r="D30" s="889"/>
      <c r="E30" s="889"/>
      <c r="F30" s="889"/>
      <c r="G30" s="889"/>
      <c r="H30" s="889"/>
      <c r="I30" s="889"/>
      <c r="J30" s="889"/>
      <c r="K30" s="889"/>
      <c r="L30" s="889"/>
      <c r="M30" s="889"/>
      <c r="N30" s="892"/>
      <c r="O30" s="889"/>
      <c r="P30" s="889"/>
      <c r="Q30" s="889"/>
      <c r="R30" s="889"/>
      <c r="S30" s="889"/>
      <c r="T30" s="889"/>
      <c r="U30" s="893"/>
      <c r="V30" s="889"/>
      <c r="W30" s="889"/>
      <c r="X30" s="891"/>
      <c r="Y30" s="895"/>
      <c r="Z30" s="890"/>
    </row>
    <row r="31" spans="1:26" s="616" customFormat="1" ht="13.5" x14ac:dyDescent="0.2">
      <c r="A31" s="703"/>
      <c r="B31" s="689" t="s">
        <v>513</v>
      </c>
      <c r="C31" s="893"/>
      <c r="D31" s="889"/>
      <c r="E31" s="889"/>
      <c r="F31" s="889"/>
      <c r="G31" s="889"/>
      <c r="H31" s="889"/>
      <c r="I31" s="889"/>
      <c r="J31" s="889"/>
      <c r="K31" s="889"/>
      <c r="L31" s="889"/>
      <c r="M31" s="889"/>
      <c r="N31" s="892"/>
      <c r="O31" s="889"/>
      <c r="P31" s="889"/>
      <c r="Q31" s="889"/>
      <c r="R31" s="889"/>
      <c r="S31" s="889"/>
      <c r="T31" s="889"/>
      <c r="U31" s="893"/>
      <c r="V31" s="889"/>
      <c r="W31" s="889"/>
      <c r="X31" s="891"/>
      <c r="Y31" s="895"/>
      <c r="Z31" s="890"/>
    </row>
    <row r="32" spans="1:26" s="616" customFormat="1" ht="13.5" x14ac:dyDescent="0.2">
      <c r="A32" s="703"/>
      <c r="B32" s="689" t="s">
        <v>514</v>
      </c>
      <c r="C32" s="686">
        <v>323</v>
      </c>
      <c r="D32" s="679">
        <v>871</v>
      </c>
      <c r="E32" s="679">
        <v>2528</v>
      </c>
      <c r="F32" s="679">
        <v>1039</v>
      </c>
      <c r="G32" s="679">
        <v>5360</v>
      </c>
      <c r="H32" s="679">
        <v>766</v>
      </c>
      <c r="I32" s="679">
        <v>4508</v>
      </c>
      <c r="J32" s="679">
        <v>770</v>
      </c>
      <c r="K32" s="679">
        <v>785</v>
      </c>
      <c r="L32" s="679">
        <v>2385</v>
      </c>
      <c r="M32" s="679">
        <v>825</v>
      </c>
      <c r="N32" s="685">
        <v>1198</v>
      </c>
      <c r="O32" s="679">
        <v>2192</v>
      </c>
      <c r="P32" s="679">
        <v>1336</v>
      </c>
      <c r="Q32" s="679">
        <v>799</v>
      </c>
      <c r="R32" s="679">
        <v>4629</v>
      </c>
      <c r="S32" s="679">
        <v>1122</v>
      </c>
      <c r="T32" s="679">
        <v>351</v>
      </c>
      <c r="U32" s="686">
        <v>468</v>
      </c>
      <c r="V32" s="679">
        <v>2690</v>
      </c>
      <c r="W32" s="679">
        <v>274</v>
      </c>
      <c r="X32" s="684">
        <v>332</v>
      </c>
      <c r="Y32" s="617">
        <v>32740</v>
      </c>
      <c r="Z32" s="680">
        <v>177470</v>
      </c>
    </row>
    <row r="33" spans="1:26" s="616" customFormat="1" ht="13.5" x14ac:dyDescent="0.2">
      <c r="A33" s="703"/>
      <c r="B33" s="689" t="s">
        <v>515</v>
      </c>
      <c r="C33" s="686">
        <v>42</v>
      </c>
      <c r="D33" s="679">
        <v>82</v>
      </c>
      <c r="E33" s="679">
        <v>225</v>
      </c>
      <c r="F33" s="679">
        <v>172</v>
      </c>
      <c r="G33" s="679">
        <v>447</v>
      </c>
      <c r="H33" s="679">
        <v>33</v>
      </c>
      <c r="I33" s="679">
        <v>735</v>
      </c>
      <c r="J33" s="679">
        <v>89</v>
      </c>
      <c r="K33" s="679">
        <v>70</v>
      </c>
      <c r="L33" s="679">
        <v>150</v>
      </c>
      <c r="M33" s="679">
        <v>105</v>
      </c>
      <c r="N33" s="685">
        <v>79</v>
      </c>
      <c r="O33" s="679">
        <v>574</v>
      </c>
      <c r="P33" s="679">
        <v>136</v>
      </c>
      <c r="Q33" s="679">
        <v>47</v>
      </c>
      <c r="R33" s="679">
        <v>361</v>
      </c>
      <c r="S33" s="679">
        <v>66</v>
      </c>
      <c r="T33" s="679">
        <v>19</v>
      </c>
      <c r="U33" s="686">
        <v>47</v>
      </c>
      <c r="V33" s="679">
        <v>310</v>
      </c>
      <c r="W33" s="679">
        <v>8</v>
      </c>
      <c r="X33" s="684">
        <v>51</v>
      </c>
      <c r="Y33" s="617">
        <v>3630</v>
      </c>
      <c r="Z33" s="680">
        <v>22230</v>
      </c>
    </row>
    <row r="34" spans="1:26" s="616" customFormat="1" ht="13.5" x14ac:dyDescent="0.2">
      <c r="A34" s="703"/>
      <c r="B34" s="689" t="s">
        <v>516</v>
      </c>
      <c r="C34" s="686">
        <v>114</v>
      </c>
      <c r="D34" s="679">
        <v>193</v>
      </c>
      <c r="E34" s="679">
        <v>505</v>
      </c>
      <c r="F34" s="679">
        <v>190</v>
      </c>
      <c r="G34" s="679">
        <v>1765</v>
      </c>
      <c r="H34" s="679">
        <v>262</v>
      </c>
      <c r="I34" s="679">
        <v>1563</v>
      </c>
      <c r="J34" s="679">
        <v>107</v>
      </c>
      <c r="K34" s="679">
        <v>165</v>
      </c>
      <c r="L34" s="679">
        <v>371</v>
      </c>
      <c r="M34" s="679">
        <v>198</v>
      </c>
      <c r="N34" s="685">
        <v>292</v>
      </c>
      <c r="O34" s="679">
        <v>164</v>
      </c>
      <c r="P34" s="679">
        <v>211</v>
      </c>
      <c r="Q34" s="679">
        <v>210</v>
      </c>
      <c r="R34" s="679">
        <v>827</v>
      </c>
      <c r="S34" s="679">
        <v>180</v>
      </c>
      <c r="T34" s="679">
        <v>91</v>
      </c>
      <c r="U34" s="686">
        <v>67</v>
      </c>
      <c r="V34" s="679">
        <v>39</v>
      </c>
      <c r="W34" s="679">
        <v>18</v>
      </c>
      <c r="X34" s="684">
        <v>18</v>
      </c>
      <c r="Y34" s="617">
        <v>7070</v>
      </c>
      <c r="Z34" s="680">
        <v>40770</v>
      </c>
    </row>
    <row r="35" spans="1:26" s="616" customFormat="1" ht="13.5" x14ac:dyDescent="0.2">
      <c r="A35" s="703"/>
      <c r="B35" s="689" t="s">
        <v>517</v>
      </c>
      <c r="C35" s="686">
        <v>22</v>
      </c>
      <c r="D35" s="679">
        <v>66</v>
      </c>
      <c r="E35" s="679">
        <v>143</v>
      </c>
      <c r="F35" s="679">
        <v>75</v>
      </c>
      <c r="G35" s="679">
        <v>478</v>
      </c>
      <c r="H35" s="679">
        <v>48</v>
      </c>
      <c r="I35" s="679">
        <v>294</v>
      </c>
      <c r="J35" s="679">
        <v>100</v>
      </c>
      <c r="K35" s="679">
        <v>90</v>
      </c>
      <c r="L35" s="679">
        <v>192</v>
      </c>
      <c r="M35" s="679">
        <v>36</v>
      </c>
      <c r="N35" s="685">
        <v>35</v>
      </c>
      <c r="O35" s="679">
        <v>32</v>
      </c>
      <c r="P35" s="679">
        <v>191</v>
      </c>
      <c r="Q35" s="679">
        <v>91</v>
      </c>
      <c r="R35" s="679">
        <v>213</v>
      </c>
      <c r="S35" s="679">
        <v>77</v>
      </c>
      <c r="T35" s="679">
        <v>44</v>
      </c>
      <c r="U35" s="686">
        <v>17</v>
      </c>
      <c r="V35" s="679">
        <v>0</v>
      </c>
      <c r="W35" s="679" t="s">
        <v>73</v>
      </c>
      <c r="X35" s="684">
        <v>20</v>
      </c>
      <c r="Y35" s="617">
        <v>1950</v>
      </c>
      <c r="Z35" s="680">
        <v>14510</v>
      </c>
    </row>
    <row r="36" spans="1:26" s="616" customFormat="1" ht="13.5" x14ac:dyDescent="0.2">
      <c r="A36" s="703"/>
      <c r="B36" s="689" t="s">
        <v>518</v>
      </c>
      <c r="C36" s="686">
        <v>147</v>
      </c>
      <c r="D36" s="679">
        <v>339</v>
      </c>
      <c r="E36" s="679">
        <v>26</v>
      </c>
      <c r="F36" s="679">
        <v>6</v>
      </c>
      <c r="G36" s="679">
        <v>219</v>
      </c>
      <c r="H36" s="679">
        <v>0</v>
      </c>
      <c r="I36" s="679">
        <v>64</v>
      </c>
      <c r="J36" s="679">
        <v>0</v>
      </c>
      <c r="K36" s="679" t="s">
        <v>73</v>
      </c>
      <c r="L36" s="679">
        <v>23</v>
      </c>
      <c r="M36" s="679">
        <v>0</v>
      </c>
      <c r="N36" s="685">
        <v>47</v>
      </c>
      <c r="O36" s="679" t="s">
        <v>73</v>
      </c>
      <c r="P36" s="679">
        <v>0</v>
      </c>
      <c r="Q36" s="679">
        <v>23</v>
      </c>
      <c r="R36" s="679">
        <v>0</v>
      </c>
      <c r="S36" s="679">
        <v>163</v>
      </c>
      <c r="T36" s="679">
        <v>41</v>
      </c>
      <c r="U36" s="686">
        <v>0</v>
      </c>
      <c r="V36" s="679">
        <v>257</v>
      </c>
      <c r="W36" s="679">
        <v>7</v>
      </c>
      <c r="X36" s="684">
        <v>0</v>
      </c>
      <c r="Y36" s="617">
        <v>1160</v>
      </c>
      <c r="Z36" s="680">
        <v>15010</v>
      </c>
    </row>
    <row r="37" spans="1:26" s="616" customFormat="1" ht="13.5" x14ac:dyDescent="0.2">
      <c r="A37" s="702">
        <v>12</v>
      </c>
      <c r="B37" s="690" t="s">
        <v>519</v>
      </c>
      <c r="C37" s="691">
        <v>387</v>
      </c>
      <c r="D37" s="679">
        <v>841</v>
      </c>
      <c r="E37" s="679">
        <v>3029</v>
      </c>
      <c r="F37" s="679">
        <v>547</v>
      </c>
      <c r="G37" s="679">
        <v>5966</v>
      </c>
      <c r="H37" s="679">
        <v>792</v>
      </c>
      <c r="I37" s="679">
        <v>3636</v>
      </c>
      <c r="J37" s="679">
        <v>481</v>
      </c>
      <c r="K37" s="679">
        <v>588</v>
      </c>
      <c r="L37" s="679">
        <v>1405</v>
      </c>
      <c r="M37" s="679">
        <v>645</v>
      </c>
      <c r="N37" s="692">
        <v>930</v>
      </c>
      <c r="O37" s="679">
        <v>1652</v>
      </c>
      <c r="P37" s="679">
        <v>950</v>
      </c>
      <c r="Q37" s="679">
        <v>810</v>
      </c>
      <c r="R37" s="679">
        <v>2896</v>
      </c>
      <c r="S37" s="679">
        <v>804</v>
      </c>
      <c r="T37" s="679">
        <v>437</v>
      </c>
      <c r="U37" s="691">
        <v>390</v>
      </c>
      <c r="V37" s="679">
        <v>2209</v>
      </c>
      <c r="W37" s="679">
        <v>117</v>
      </c>
      <c r="X37" s="684">
        <v>170</v>
      </c>
      <c r="Y37" s="617">
        <v>27490</v>
      </c>
      <c r="Z37" s="680">
        <v>141560</v>
      </c>
    </row>
    <row r="38" spans="1:26" s="616" customFormat="1" ht="13.5" x14ac:dyDescent="0.2">
      <c r="A38" s="702">
        <v>13</v>
      </c>
      <c r="B38" s="690" t="s">
        <v>520</v>
      </c>
      <c r="C38" s="691">
        <v>1393</v>
      </c>
      <c r="D38" s="679">
        <v>3020</v>
      </c>
      <c r="E38" s="679">
        <v>6680</v>
      </c>
      <c r="F38" s="679">
        <v>3143</v>
      </c>
      <c r="G38" s="679">
        <v>19841</v>
      </c>
      <c r="H38" s="679">
        <v>2691</v>
      </c>
      <c r="I38" s="679">
        <v>16366</v>
      </c>
      <c r="J38" s="679">
        <v>2818</v>
      </c>
      <c r="K38" s="679">
        <v>2517</v>
      </c>
      <c r="L38" s="679">
        <v>6720</v>
      </c>
      <c r="M38" s="679">
        <v>2950</v>
      </c>
      <c r="N38" s="692">
        <v>2945</v>
      </c>
      <c r="O38" s="679">
        <v>2339</v>
      </c>
      <c r="P38" s="679">
        <v>4944</v>
      </c>
      <c r="Q38" s="679">
        <v>2655</v>
      </c>
      <c r="R38" s="679">
        <v>12022</v>
      </c>
      <c r="S38" s="679">
        <v>2994</v>
      </c>
      <c r="T38" s="679">
        <v>1012</v>
      </c>
      <c r="U38" s="691">
        <v>1503</v>
      </c>
      <c r="V38" s="679">
        <v>7633</v>
      </c>
      <c r="W38" s="679">
        <v>668</v>
      </c>
      <c r="X38" s="684">
        <v>875</v>
      </c>
      <c r="Y38" s="617">
        <v>98780</v>
      </c>
      <c r="Z38" s="680">
        <v>606920</v>
      </c>
    </row>
    <row r="39" spans="1:26" s="616" customFormat="1" ht="22.5" x14ac:dyDescent="0.2">
      <c r="A39" s="702">
        <v>14</v>
      </c>
      <c r="B39" s="687" t="s">
        <v>306</v>
      </c>
      <c r="C39" s="687"/>
      <c r="D39" s="687"/>
      <c r="E39" s="687"/>
      <c r="F39" s="687"/>
      <c r="G39" s="687"/>
      <c r="H39" s="687"/>
      <c r="I39" s="687"/>
      <c r="J39" s="687"/>
      <c r="K39" s="687"/>
      <c r="L39" s="687"/>
      <c r="M39" s="687"/>
      <c r="N39" s="687"/>
      <c r="O39" s="687"/>
      <c r="P39" s="687"/>
      <c r="Q39" s="687"/>
      <c r="R39" s="687"/>
      <c r="S39" s="687"/>
      <c r="T39" s="687"/>
      <c r="U39" s="687"/>
      <c r="V39" s="687"/>
      <c r="W39" s="687"/>
      <c r="X39" s="687"/>
      <c r="Y39" s="706"/>
      <c r="Z39" s="705"/>
    </row>
    <row r="40" spans="1:26" s="616" customFormat="1" ht="13.5" x14ac:dyDescent="0.2">
      <c r="A40" s="702"/>
      <c r="B40" s="683" t="s">
        <v>521</v>
      </c>
      <c r="C40" s="686">
        <v>264</v>
      </c>
      <c r="D40" s="679">
        <v>515</v>
      </c>
      <c r="E40" s="679">
        <v>1110</v>
      </c>
      <c r="F40" s="693">
        <v>325</v>
      </c>
      <c r="G40" s="679">
        <v>4875</v>
      </c>
      <c r="H40" s="679">
        <v>520</v>
      </c>
      <c r="I40" s="679">
        <v>1956</v>
      </c>
      <c r="J40" s="679">
        <v>175</v>
      </c>
      <c r="K40" s="679">
        <v>499</v>
      </c>
      <c r="L40" s="679">
        <v>573</v>
      </c>
      <c r="M40" s="679">
        <v>900</v>
      </c>
      <c r="N40" s="685">
        <v>355</v>
      </c>
      <c r="O40" s="679">
        <v>80</v>
      </c>
      <c r="P40" s="679">
        <v>1044</v>
      </c>
      <c r="Q40" s="679">
        <v>291</v>
      </c>
      <c r="R40" s="679">
        <v>1103</v>
      </c>
      <c r="S40" s="679">
        <v>327</v>
      </c>
      <c r="T40" s="679">
        <v>123</v>
      </c>
      <c r="U40" s="686">
        <v>164</v>
      </c>
      <c r="V40" s="679">
        <v>5394</v>
      </c>
      <c r="W40" s="679">
        <v>56</v>
      </c>
      <c r="X40" s="684">
        <v>76</v>
      </c>
      <c r="Y40" s="614">
        <v>19240</v>
      </c>
      <c r="Z40" s="680">
        <v>100030</v>
      </c>
    </row>
    <row r="41" spans="1:26" s="616" customFormat="1" ht="13.5" x14ac:dyDescent="0.2">
      <c r="A41" s="702"/>
      <c r="B41" s="683" t="s">
        <v>845</v>
      </c>
      <c r="C41" s="686">
        <v>304</v>
      </c>
      <c r="D41" s="679">
        <v>368</v>
      </c>
      <c r="E41" s="679">
        <v>1116</v>
      </c>
      <c r="F41" s="693">
        <v>384</v>
      </c>
      <c r="G41" s="679">
        <v>7448</v>
      </c>
      <c r="H41" s="679">
        <v>854</v>
      </c>
      <c r="I41" s="679">
        <v>2110</v>
      </c>
      <c r="J41" s="679">
        <v>310</v>
      </c>
      <c r="K41" s="679">
        <v>539</v>
      </c>
      <c r="L41" s="679">
        <v>722</v>
      </c>
      <c r="M41" s="679">
        <v>655</v>
      </c>
      <c r="N41" s="685">
        <v>438</v>
      </c>
      <c r="O41" s="679">
        <v>240</v>
      </c>
      <c r="P41" s="679">
        <v>902</v>
      </c>
      <c r="Q41" s="679">
        <v>500</v>
      </c>
      <c r="R41" s="679">
        <v>2383</v>
      </c>
      <c r="S41" s="679">
        <v>445</v>
      </c>
      <c r="T41" s="679">
        <v>381</v>
      </c>
      <c r="U41" s="686">
        <v>239</v>
      </c>
      <c r="V41" s="679">
        <v>928</v>
      </c>
      <c r="W41" s="679">
        <v>115</v>
      </c>
      <c r="X41" s="684">
        <v>173</v>
      </c>
      <c r="Y41" s="617">
        <v>19830</v>
      </c>
      <c r="Z41" s="680">
        <v>113730</v>
      </c>
    </row>
    <row r="42" spans="1:26" s="616" customFormat="1" ht="13.5" x14ac:dyDescent="0.2">
      <c r="A42" s="702"/>
      <c r="B42" s="683" t="s">
        <v>846</v>
      </c>
      <c r="C42" s="686">
        <v>261</v>
      </c>
      <c r="D42" s="679">
        <v>511</v>
      </c>
      <c r="E42" s="679">
        <v>1915</v>
      </c>
      <c r="F42" s="693">
        <v>531</v>
      </c>
      <c r="G42" s="679">
        <v>3377</v>
      </c>
      <c r="H42" s="679">
        <v>410</v>
      </c>
      <c r="I42" s="679">
        <v>4208</v>
      </c>
      <c r="J42" s="679">
        <v>830</v>
      </c>
      <c r="K42" s="679">
        <v>494</v>
      </c>
      <c r="L42" s="679">
        <v>774</v>
      </c>
      <c r="M42" s="679">
        <v>628</v>
      </c>
      <c r="N42" s="685">
        <v>368</v>
      </c>
      <c r="O42" s="679">
        <v>570</v>
      </c>
      <c r="P42" s="679">
        <v>1042</v>
      </c>
      <c r="Q42" s="679">
        <v>396</v>
      </c>
      <c r="R42" s="679">
        <v>1641</v>
      </c>
      <c r="S42" s="679">
        <v>432</v>
      </c>
      <c r="T42" s="679">
        <v>145</v>
      </c>
      <c r="U42" s="686">
        <v>205</v>
      </c>
      <c r="V42" s="679">
        <v>569</v>
      </c>
      <c r="W42" s="679">
        <v>73</v>
      </c>
      <c r="X42" s="684">
        <v>290</v>
      </c>
      <c r="Y42" s="617">
        <v>18050</v>
      </c>
      <c r="Z42" s="680">
        <v>102200</v>
      </c>
    </row>
    <row r="43" spans="1:26" s="616" customFormat="1" ht="13.5" x14ac:dyDescent="0.2">
      <c r="A43" s="702"/>
      <c r="B43" s="683" t="s">
        <v>847</v>
      </c>
      <c r="C43" s="686">
        <v>420</v>
      </c>
      <c r="D43" s="679">
        <v>730</v>
      </c>
      <c r="E43" s="679">
        <v>2065</v>
      </c>
      <c r="F43" s="693">
        <v>831</v>
      </c>
      <c r="G43" s="679">
        <v>2085</v>
      </c>
      <c r="H43" s="679">
        <v>347</v>
      </c>
      <c r="I43" s="679">
        <v>6817</v>
      </c>
      <c r="J43" s="679">
        <v>1386</v>
      </c>
      <c r="K43" s="679">
        <v>738</v>
      </c>
      <c r="L43" s="679">
        <v>1411</v>
      </c>
      <c r="M43" s="679">
        <v>594</v>
      </c>
      <c r="N43" s="685">
        <v>896</v>
      </c>
      <c r="O43" s="679">
        <v>1116</v>
      </c>
      <c r="P43" s="679">
        <v>1422</v>
      </c>
      <c r="Q43" s="679">
        <v>618</v>
      </c>
      <c r="R43" s="679">
        <v>3951</v>
      </c>
      <c r="S43" s="679">
        <v>565</v>
      </c>
      <c r="T43" s="679">
        <v>148</v>
      </c>
      <c r="U43" s="686">
        <v>845</v>
      </c>
      <c r="V43" s="679">
        <v>508</v>
      </c>
      <c r="W43" s="679">
        <v>140</v>
      </c>
      <c r="X43" s="684">
        <v>210</v>
      </c>
      <c r="Y43" s="614">
        <v>25710</v>
      </c>
      <c r="Z43" s="680">
        <v>187350</v>
      </c>
    </row>
    <row r="44" spans="1:26" s="616" customFormat="1" ht="13.5" x14ac:dyDescent="0.2">
      <c r="A44" s="702"/>
      <c r="B44" s="683" t="s">
        <v>522</v>
      </c>
      <c r="C44" s="686">
        <v>143</v>
      </c>
      <c r="D44" s="679">
        <v>896</v>
      </c>
      <c r="E44" s="679">
        <v>474</v>
      </c>
      <c r="F44" s="693">
        <v>1072</v>
      </c>
      <c r="G44" s="679">
        <v>2056</v>
      </c>
      <c r="H44" s="679">
        <v>560</v>
      </c>
      <c r="I44" s="679">
        <v>1275</v>
      </c>
      <c r="J44" s="679">
        <v>117</v>
      </c>
      <c r="K44" s="679">
        <v>247</v>
      </c>
      <c r="L44" s="679">
        <v>3240</v>
      </c>
      <c r="M44" s="679">
        <v>173</v>
      </c>
      <c r="N44" s="685">
        <v>888</v>
      </c>
      <c r="O44" s="679">
        <v>333</v>
      </c>
      <c r="P44" s="679">
        <v>534</v>
      </c>
      <c r="Q44" s="679">
        <v>850</v>
      </c>
      <c r="R44" s="679">
        <v>2944</v>
      </c>
      <c r="S44" s="679">
        <v>1225</v>
      </c>
      <c r="T44" s="679">
        <v>180</v>
      </c>
      <c r="U44" s="686">
        <v>50</v>
      </c>
      <c r="V44" s="679">
        <v>234</v>
      </c>
      <c r="W44" s="679">
        <v>284</v>
      </c>
      <c r="X44" s="684">
        <v>126</v>
      </c>
      <c r="Y44" s="617">
        <v>15970</v>
      </c>
      <c r="Z44" s="680">
        <v>103570</v>
      </c>
    </row>
    <row r="45" spans="1:26" s="616" customFormat="1" ht="13.5" x14ac:dyDescent="0.2">
      <c r="A45" s="702">
        <v>15</v>
      </c>
      <c r="B45" s="690" t="s">
        <v>523</v>
      </c>
      <c r="C45" s="893"/>
      <c r="D45" s="889"/>
      <c r="E45" s="889"/>
      <c r="F45" s="889"/>
      <c r="G45" s="889"/>
      <c r="H45" s="889"/>
      <c r="I45" s="889"/>
      <c r="J45" s="889"/>
      <c r="K45" s="889"/>
      <c r="L45" s="889"/>
      <c r="M45" s="889"/>
      <c r="N45" s="892"/>
      <c r="O45" s="889"/>
      <c r="P45" s="889"/>
      <c r="Q45" s="889"/>
      <c r="R45" s="889"/>
      <c r="S45" s="889"/>
      <c r="T45" s="889"/>
      <c r="U45" s="893"/>
      <c r="V45" s="889"/>
      <c r="W45" s="889"/>
      <c r="X45" s="891"/>
      <c r="Y45" s="895"/>
      <c r="Z45" s="890"/>
    </row>
    <row r="46" spans="1:26" s="616" customFormat="1" ht="13.5" x14ac:dyDescent="0.2">
      <c r="A46" s="702">
        <v>16</v>
      </c>
      <c r="B46" s="690" t="s">
        <v>524</v>
      </c>
      <c r="C46" s="893"/>
      <c r="D46" s="889"/>
      <c r="E46" s="889"/>
      <c r="F46" s="889"/>
      <c r="G46" s="889"/>
      <c r="H46" s="889"/>
      <c r="I46" s="889"/>
      <c r="J46" s="889"/>
      <c r="K46" s="889"/>
      <c r="L46" s="889"/>
      <c r="M46" s="889"/>
      <c r="N46" s="892"/>
      <c r="O46" s="889"/>
      <c r="P46" s="889"/>
      <c r="Q46" s="889"/>
      <c r="R46" s="889"/>
      <c r="S46" s="889"/>
      <c r="T46" s="889"/>
      <c r="U46" s="893"/>
      <c r="V46" s="889"/>
      <c r="W46" s="889"/>
      <c r="X46" s="891"/>
      <c r="Y46" s="895"/>
      <c r="Z46" s="890"/>
    </row>
    <row r="47" spans="1:26" s="616" customFormat="1" ht="13.5" x14ac:dyDescent="0.2">
      <c r="A47" s="702">
        <v>17</v>
      </c>
      <c r="B47" s="690" t="s">
        <v>525</v>
      </c>
      <c r="C47" s="691">
        <v>981</v>
      </c>
      <c r="D47" s="679">
        <v>2166</v>
      </c>
      <c r="E47" s="679">
        <v>3363</v>
      </c>
      <c r="F47" s="679">
        <v>3140</v>
      </c>
      <c r="G47" s="679">
        <v>8713</v>
      </c>
      <c r="H47" s="679">
        <v>1247</v>
      </c>
      <c r="I47" s="679">
        <v>10005</v>
      </c>
      <c r="J47" s="679">
        <v>1776</v>
      </c>
      <c r="K47" s="679">
        <v>2025</v>
      </c>
      <c r="L47" s="679">
        <v>4808</v>
      </c>
      <c r="M47" s="679">
        <v>1432</v>
      </c>
      <c r="N47" s="692">
        <v>1781</v>
      </c>
      <c r="O47" s="679">
        <v>1212</v>
      </c>
      <c r="P47" s="679">
        <v>3109</v>
      </c>
      <c r="Q47" s="679">
        <v>2287</v>
      </c>
      <c r="R47" s="679">
        <v>6125</v>
      </c>
      <c r="S47" s="679">
        <v>1919</v>
      </c>
      <c r="T47" s="679">
        <v>1196</v>
      </c>
      <c r="U47" s="691">
        <v>984</v>
      </c>
      <c r="V47" s="679">
        <v>4802</v>
      </c>
      <c r="W47" s="679">
        <v>959</v>
      </c>
      <c r="X47" s="684">
        <v>667</v>
      </c>
      <c r="Y47" s="617">
        <v>58470</v>
      </c>
      <c r="Z47" s="680">
        <v>389430</v>
      </c>
    </row>
    <row r="48" spans="1:26" s="616" customFormat="1" ht="13.5" x14ac:dyDescent="0.2">
      <c r="A48" s="702">
        <v>18</v>
      </c>
      <c r="B48" s="690" t="s">
        <v>526</v>
      </c>
      <c r="C48" s="691">
        <v>560</v>
      </c>
      <c r="D48" s="679">
        <v>863</v>
      </c>
      <c r="E48" s="679">
        <v>2576</v>
      </c>
      <c r="F48" s="679">
        <v>1127</v>
      </c>
      <c r="G48" s="679">
        <v>4211</v>
      </c>
      <c r="H48" s="679">
        <v>549</v>
      </c>
      <c r="I48" s="679">
        <v>4893</v>
      </c>
      <c r="J48" s="679">
        <v>1072</v>
      </c>
      <c r="K48" s="679">
        <v>776</v>
      </c>
      <c r="L48" s="679">
        <v>1926</v>
      </c>
      <c r="M48" s="679">
        <v>1240</v>
      </c>
      <c r="N48" s="692">
        <v>1090</v>
      </c>
      <c r="O48" s="679">
        <v>876</v>
      </c>
      <c r="P48" s="679">
        <v>1577</v>
      </c>
      <c r="Q48" s="679">
        <v>1352</v>
      </c>
      <c r="R48" s="679">
        <v>4268</v>
      </c>
      <c r="S48" s="679">
        <v>918</v>
      </c>
      <c r="T48" s="679">
        <v>760</v>
      </c>
      <c r="U48" s="691">
        <v>553</v>
      </c>
      <c r="V48" s="679">
        <v>2169</v>
      </c>
      <c r="W48" s="679">
        <v>457</v>
      </c>
      <c r="X48" s="684">
        <v>263</v>
      </c>
      <c r="Y48" s="617">
        <v>30820</v>
      </c>
      <c r="Z48" s="680">
        <v>185450</v>
      </c>
    </row>
    <row r="49" spans="1:26" s="616" customFormat="1" ht="13.5" x14ac:dyDescent="0.2">
      <c r="A49" s="702" t="s">
        <v>313</v>
      </c>
      <c r="B49" s="690" t="s">
        <v>527</v>
      </c>
      <c r="C49" s="691">
        <v>261</v>
      </c>
      <c r="D49" s="679">
        <v>471</v>
      </c>
      <c r="E49" s="679">
        <v>866</v>
      </c>
      <c r="F49" s="679">
        <v>627</v>
      </c>
      <c r="G49" s="679">
        <v>1869</v>
      </c>
      <c r="H49" s="679">
        <v>288</v>
      </c>
      <c r="I49" s="679">
        <v>1494</v>
      </c>
      <c r="J49" s="679">
        <v>351</v>
      </c>
      <c r="K49" s="679">
        <v>147</v>
      </c>
      <c r="L49" s="679">
        <v>920</v>
      </c>
      <c r="M49" s="679">
        <v>299</v>
      </c>
      <c r="N49" s="692">
        <v>528</v>
      </c>
      <c r="O49" s="679">
        <v>338</v>
      </c>
      <c r="P49" s="679">
        <v>661</v>
      </c>
      <c r="Q49" s="679">
        <v>463</v>
      </c>
      <c r="R49" s="679">
        <v>1352</v>
      </c>
      <c r="S49" s="679">
        <v>387</v>
      </c>
      <c r="T49" s="679">
        <v>362</v>
      </c>
      <c r="U49" s="691">
        <v>248</v>
      </c>
      <c r="V49" s="679">
        <v>680</v>
      </c>
      <c r="W49" s="679">
        <v>194</v>
      </c>
      <c r="X49" s="684">
        <v>89</v>
      </c>
      <c r="Y49" s="617">
        <v>11490</v>
      </c>
      <c r="Z49" s="680">
        <v>76930</v>
      </c>
    </row>
    <row r="50" spans="1:26" s="616" customFormat="1" ht="13.5" x14ac:dyDescent="0.2">
      <c r="A50" s="702" t="s">
        <v>315</v>
      </c>
      <c r="B50" s="690" t="s">
        <v>528</v>
      </c>
      <c r="C50" s="691">
        <v>193</v>
      </c>
      <c r="D50" s="679">
        <v>311</v>
      </c>
      <c r="E50" s="679">
        <v>603</v>
      </c>
      <c r="F50" s="695">
        <v>375</v>
      </c>
      <c r="G50" s="679">
        <v>1435</v>
      </c>
      <c r="H50" s="679">
        <v>218</v>
      </c>
      <c r="I50" s="679">
        <v>1260</v>
      </c>
      <c r="J50" s="679">
        <v>310</v>
      </c>
      <c r="K50" s="679">
        <v>128</v>
      </c>
      <c r="L50" s="679">
        <v>822</v>
      </c>
      <c r="M50" s="679">
        <v>232</v>
      </c>
      <c r="N50" s="692">
        <v>447</v>
      </c>
      <c r="O50" s="679">
        <v>276</v>
      </c>
      <c r="P50" s="679">
        <v>622</v>
      </c>
      <c r="Q50" s="679">
        <v>315</v>
      </c>
      <c r="R50" s="679">
        <v>925</v>
      </c>
      <c r="S50" s="679">
        <v>253</v>
      </c>
      <c r="T50" s="679">
        <v>326</v>
      </c>
      <c r="U50" s="691">
        <v>240</v>
      </c>
      <c r="V50" s="679">
        <v>291</v>
      </c>
      <c r="W50" s="679">
        <v>161</v>
      </c>
      <c r="X50" s="684">
        <v>71</v>
      </c>
      <c r="Y50" s="617">
        <v>8620</v>
      </c>
      <c r="Z50" s="680">
        <v>59410</v>
      </c>
    </row>
    <row r="51" spans="1:26" s="616" customFormat="1" ht="13.5" x14ac:dyDescent="0.2">
      <c r="A51" s="702" t="s">
        <v>317</v>
      </c>
      <c r="B51" s="690" t="s">
        <v>529</v>
      </c>
      <c r="C51" s="691">
        <v>176</v>
      </c>
      <c r="D51" s="679">
        <v>367</v>
      </c>
      <c r="E51" s="679">
        <v>553</v>
      </c>
      <c r="F51" s="679">
        <v>475</v>
      </c>
      <c r="G51" s="679">
        <v>1263</v>
      </c>
      <c r="H51" s="679">
        <v>199</v>
      </c>
      <c r="I51" s="679">
        <v>1185</v>
      </c>
      <c r="J51" s="679">
        <v>313</v>
      </c>
      <c r="K51" s="679">
        <v>90</v>
      </c>
      <c r="L51" s="679">
        <v>609</v>
      </c>
      <c r="M51" s="679">
        <v>242</v>
      </c>
      <c r="N51" s="692">
        <v>349</v>
      </c>
      <c r="O51" s="679">
        <v>153</v>
      </c>
      <c r="P51" s="679">
        <v>413</v>
      </c>
      <c r="Q51" s="679">
        <v>276</v>
      </c>
      <c r="R51" s="679">
        <v>843</v>
      </c>
      <c r="S51" s="679">
        <v>244</v>
      </c>
      <c r="T51" s="679">
        <v>212</v>
      </c>
      <c r="U51" s="691">
        <v>155</v>
      </c>
      <c r="V51" s="679">
        <v>549</v>
      </c>
      <c r="W51" s="679">
        <v>141</v>
      </c>
      <c r="X51" s="684">
        <v>46</v>
      </c>
      <c r="Y51" s="617">
        <v>7980</v>
      </c>
      <c r="Z51" s="680">
        <v>51080</v>
      </c>
    </row>
    <row r="52" spans="1:26" s="616" customFormat="1" ht="13.5" x14ac:dyDescent="0.2">
      <c r="A52" s="702" t="s">
        <v>319</v>
      </c>
      <c r="B52" s="690" t="s">
        <v>530</v>
      </c>
      <c r="C52" s="691">
        <v>132</v>
      </c>
      <c r="D52" s="679">
        <v>254</v>
      </c>
      <c r="E52" s="679">
        <v>350</v>
      </c>
      <c r="F52" s="679">
        <v>330</v>
      </c>
      <c r="G52" s="679">
        <v>918</v>
      </c>
      <c r="H52" s="679">
        <v>128</v>
      </c>
      <c r="I52" s="679">
        <v>863</v>
      </c>
      <c r="J52" s="679">
        <v>232</v>
      </c>
      <c r="K52" s="679">
        <v>49</v>
      </c>
      <c r="L52" s="679">
        <v>419</v>
      </c>
      <c r="M52" s="679">
        <v>174</v>
      </c>
      <c r="N52" s="692">
        <v>236</v>
      </c>
      <c r="O52" s="679">
        <v>112</v>
      </c>
      <c r="P52" s="679">
        <v>246</v>
      </c>
      <c r="Q52" s="679">
        <v>188</v>
      </c>
      <c r="R52" s="679">
        <v>618</v>
      </c>
      <c r="S52" s="679">
        <v>157</v>
      </c>
      <c r="T52" s="679">
        <v>131</v>
      </c>
      <c r="U52" s="691">
        <v>82</v>
      </c>
      <c r="V52" s="679">
        <v>379</v>
      </c>
      <c r="W52" s="679">
        <v>97</v>
      </c>
      <c r="X52" s="684">
        <v>29</v>
      </c>
      <c r="Y52" s="617">
        <v>5590</v>
      </c>
      <c r="Z52" s="680">
        <v>34960</v>
      </c>
    </row>
    <row r="53" spans="1:26" s="616" customFormat="1" ht="13.5" x14ac:dyDescent="0.2">
      <c r="A53" s="702" t="s">
        <v>321</v>
      </c>
      <c r="B53" s="690" t="s">
        <v>531</v>
      </c>
      <c r="C53" s="691">
        <v>129</v>
      </c>
      <c r="D53" s="679">
        <v>185</v>
      </c>
      <c r="E53" s="679">
        <v>296</v>
      </c>
      <c r="F53" s="695">
        <v>304</v>
      </c>
      <c r="G53" s="679">
        <v>804</v>
      </c>
      <c r="H53" s="679">
        <v>112</v>
      </c>
      <c r="I53" s="679">
        <v>863</v>
      </c>
      <c r="J53" s="679">
        <v>227</v>
      </c>
      <c r="K53" s="679">
        <v>49</v>
      </c>
      <c r="L53" s="679">
        <v>407</v>
      </c>
      <c r="M53" s="679">
        <v>173</v>
      </c>
      <c r="N53" s="692">
        <v>8</v>
      </c>
      <c r="O53" s="679">
        <v>108</v>
      </c>
      <c r="P53" s="679">
        <v>235</v>
      </c>
      <c r="Q53" s="679">
        <v>141</v>
      </c>
      <c r="R53" s="679">
        <v>604</v>
      </c>
      <c r="S53" s="679">
        <v>144</v>
      </c>
      <c r="T53" s="679">
        <v>106</v>
      </c>
      <c r="U53" s="691">
        <v>81</v>
      </c>
      <c r="V53" s="679">
        <v>316</v>
      </c>
      <c r="W53" s="679">
        <v>94</v>
      </c>
      <c r="X53" s="684">
        <v>28</v>
      </c>
      <c r="Y53" s="617">
        <v>4930</v>
      </c>
      <c r="Z53" s="680">
        <v>32230</v>
      </c>
    </row>
    <row r="54" spans="1:26" s="616" customFormat="1" ht="13.5" x14ac:dyDescent="0.2">
      <c r="A54" s="677"/>
      <c r="B54" s="696" t="s">
        <v>742</v>
      </c>
      <c r="C54" s="887"/>
      <c r="D54" s="882"/>
      <c r="E54" s="882"/>
      <c r="F54" s="882"/>
      <c r="G54" s="882"/>
      <c r="H54" s="882"/>
      <c r="I54" s="882"/>
      <c r="J54" s="882"/>
      <c r="K54" s="882"/>
      <c r="L54" s="882"/>
      <c r="M54" s="882"/>
      <c r="N54" s="886"/>
      <c r="O54" s="882"/>
      <c r="P54" s="882"/>
      <c r="Q54" s="882"/>
      <c r="R54" s="882"/>
      <c r="S54" s="882"/>
      <c r="T54" s="882"/>
      <c r="U54" s="887"/>
      <c r="V54" s="882"/>
      <c r="W54" s="882"/>
      <c r="X54" s="885"/>
      <c r="Y54" s="896"/>
      <c r="Z54" s="883"/>
    </row>
    <row r="55" spans="1:26" s="616" customFormat="1" ht="13.5" x14ac:dyDescent="0.2">
      <c r="A55" s="702" t="s">
        <v>323</v>
      </c>
      <c r="B55" s="690" t="s">
        <v>532</v>
      </c>
      <c r="C55" s="691">
        <v>157</v>
      </c>
      <c r="D55" s="679">
        <v>432</v>
      </c>
      <c r="E55" s="679">
        <v>626</v>
      </c>
      <c r="F55" s="679">
        <v>496</v>
      </c>
      <c r="G55" s="679">
        <v>1759</v>
      </c>
      <c r="H55" s="679">
        <v>244</v>
      </c>
      <c r="I55" s="679">
        <v>1164</v>
      </c>
      <c r="J55" s="679">
        <v>552</v>
      </c>
      <c r="K55" s="679">
        <v>140</v>
      </c>
      <c r="L55" s="679">
        <v>762</v>
      </c>
      <c r="M55" s="679">
        <v>304</v>
      </c>
      <c r="N55" s="692">
        <v>305</v>
      </c>
      <c r="O55" s="679">
        <v>365</v>
      </c>
      <c r="P55" s="679">
        <v>450</v>
      </c>
      <c r="Q55" s="679">
        <v>424</v>
      </c>
      <c r="R55" s="679">
        <v>1076</v>
      </c>
      <c r="S55" s="679">
        <v>309</v>
      </c>
      <c r="T55" s="679">
        <v>217</v>
      </c>
      <c r="U55" s="691">
        <v>200</v>
      </c>
      <c r="V55" s="679">
        <v>529</v>
      </c>
      <c r="W55" s="679">
        <v>176</v>
      </c>
      <c r="X55" s="684">
        <v>105</v>
      </c>
      <c r="Y55" s="617">
        <v>9820</v>
      </c>
      <c r="Z55" s="680">
        <v>65420</v>
      </c>
    </row>
    <row r="56" spans="1:26" s="616" customFormat="1" ht="13.5" x14ac:dyDescent="0.2">
      <c r="A56" s="702" t="s">
        <v>325</v>
      </c>
      <c r="B56" s="690" t="s">
        <v>533</v>
      </c>
      <c r="C56" s="691">
        <v>14</v>
      </c>
      <c r="D56" s="679">
        <v>14</v>
      </c>
      <c r="E56" s="679">
        <v>15</v>
      </c>
      <c r="F56" s="679">
        <v>44</v>
      </c>
      <c r="G56" s="679">
        <v>86</v>
      </c>
      <c r="H56" s="679">
        <v>9</v>
      </c>
      <c r="I56" s="679">
        <v>44</v>
      </c>
      <c r="J56" s="679">
        <v>33</v>
      </c>
      <c r="K56" s="679">
        <v>0</v>
      </c>
      <c r="L56" s="679">
        <v>34</v>
      </c>
      <c r="M56" s="679">
        <v>12</v>
      </c>
      <c r="N56" s="692">
        <v>8</v>
      </c>
      <c r="O56" s="679" t="s">
        <v>73</v>
      </c>
      <c r="P56" s="679">
        <v>9</v>
      </c>
      <c r="Q56" s="679">
        <v>18</v>
      </c>
      <c r="R56" s="679">
        <v>60</v>
      </c>
      <c r="S56" s="679">
        <v>11</v>
      </c>
      <c r="T56" s="679" t="s">
        <v>73</v>
      </c>
      <c r="U56" s="691" t="s">
        <v>73</v>
      </c>
      <c r="V56" s="679">
        <v>35</v>
      </c>
      <c r="W56" s="679" t="s">
        <v>73</v>
      </c>
      <c r="X56" s="684">
        <v>0</v>
      </c>
      <c r="Y56" s="617">
        <v>440</v>
      </c>
      <c r="Z56" s="680">
        <v>2230</v>
      </c>
    </row>
    <row r="57" spans="1:26" s="616" customFormat="1" ht="13.5" x14ac:dyDescent="0.2">
      <c r="A57" s="702" t="s">
        <v>327</v>
      </c>
      <c r="B57" s="690" t="s">
        <v>534</v>
      </c>
      <c r="C57" s="691">
        <v>218</v>
      </c>
      <c r="D57" s="679">
        <v>411</v>
      </c>
      <c r="E57" s="679">
        <v>725</v>
      </c>
      <c r="F57" s="679">
        <v>523</v>
      </c>
      <c r="G57" s="679">
        <v>1582</v>
      </c>
      <c r="H57" s="679">
        <v>231</v>
      </c>
      <c r="I57" s="679">
        <v>1300</v>
      </c>
      <c r="J57" s="679">
        <v>328</v>
      </c>
      <c r="K57" s="679">
        <v>138</v>
      </c>
      <c r="L57" s="679">
        <v>800</v>
      </c>
      <c r="M57" s="679">
        <v>271</v>
      </c>
      <c r="N57" s="692">
        <v>419</v>
      </c>
      <c r="O57" s="679">
        <v>292</v>
      </c>
      <c r="P57" s="679">
        <v>584</v>
      </c>
      <c r="Q57" s="679">
        <v>379</v>
      </c>
      <c r="R57" s="679">
        <v>1038</v>
      </c>
      <c r="S57" s="679">
        <v>352</v>
      </c>
      <c r="T57" s="679">
        <v>297</v>
      </c>
      <c r="U57" s="691">
        <v>211</v>
      </c>
      <c r="V57" s="679">
        <v>633</v>
      </c>
      <c r="W57" s="679">
        <v>172</v>
      </c>
      <c r="X57" s="684">
        <v>86</v>
      </c>
      <c r="Y57" s="617">
        <v>9760</v>
      </c>
      <c r="Z57" s="680">
        <v>66410</v>
      </c>
    </row>
    <row r="58" spans="1:26" s="616" customFormat="1" ht="13.5" x14ac:dyDescent="0.2">
      <c r="A58" s="702" t="s">
        <v>329</v>
      </c>
      <c r="B58" s="690" t="s">
        <v>535</v>
      </c>
      <c r="C58" s="691">
        <v>57</v>
      </c>
      <c r="D58" s="679">
        <v>90</v>
      </c>
      <c r="E58" s="679">
        <v>104</v>
      </c>
      <c r="F58" s="679">
        <v>148</v>
      </c>
      <c r="G58" s="679">
        <v>384</v>
      </c>
      <c r="H58" s="679">
        <v>48</v>
      </c>
      <c r="I58" s="679">
        <v>252</v>
      </c>
      <c r="J58" s="679">
        <v>68</v>
      </c>
      <c r="K58" s="679">
        <v>12</v>
      </c>
      <c r="L58" s="679">
        <v>147</v>
      </c>
      <c r="M58" s="679">
        <v>55</v>
      </c>
      <c r="N58" s="692">
        <v>121</v>
      </c>
      <c r="O58" s="679">
        <v>66</v>
      </c>
      <c r="P58" s="679">
        <v>113</v>
      </c>
      <c r="Q58" s="679">
        <v>108</v>
      </c>
      <c r="R58" s="679">
        <v>233</v>
      </c>
      <c r="S58" s="679">
        <v>71</v>
      </c>
      <c r="T58" s="679">
        <v>63</v>
      </c>
      <c r="U58" s="691">
        <v>48</v>
      </c>
      <c r="V58" s="679">
        <v>144</v>
      </c>
      <c r="W58" s="679">
        <v>53</v>
      </c>
      <c r="X58" s="684">
        <v>28</v>
      </c>
      <c r="Y58" s="617">
        <v>2170</v>
      </c>
      <c r="Z58" s="680">
        <v>12420</v>
      </c>
    </row>
    <row r="59" spans="1:26" s="616" customFormat="1" ht="13.5" x14ac:dyDescent="0.2">
      <c r="A59" s="702" t="s">
        <v>331</v>
      </c>
      <c r="B59" s="690" t="s">
        <v>536</v>
      </c>
      <c r="C59" s="893"/>
      <c r="D59" s="889"/>
      <c r="E59" s="889"/>
      <c r="F59" s="889"/>
      <c r="G59" s="889"/>
      <c r="H59" s="889"/>
      <c r="I59" s="889"/>
      <c r="J59" s="889"/>
      <c r="K59" s="889"/>
      <c r="L59" s="889"/>
      <c r="M59" s="889"/>
      <c r="N59" s="892"/>
      <c r="O59" s="889"/>
      <c r="P59" s="889"/>
      <c r="Q59" s="889"/>
      <c r="R59" s="889"/>
      <c r="S59" s="889"/>
      <c r="T59" s="889"/>
      <c r="U59" s="893"/>
      <c r="V59" s="889"/>
      <c r="W59" s="889"/>
      <c r="X59" s="891"/>
      <c r="Y59" s="895"/>
      <c r="Z59" s="890"/>
    </row>
    <row r="60" spans="1:26" s="616" customFormat="1" ht="13.5" x14ac:dyDescent="0.2">
      <c r="A60" s="702" t="s">
        <v>333</v>
      </c>
      <c r="B60" s="690" t="s">
        <v>537</v>
      </c>
      <c r="C60" s="691">
        <v>116</v>
      </c>
      <c r="D60" s="679">
        <v>456</v>
      </c>
      <c r="E60" s="679">
        <v>454</v>
      </c>
      <c r="F60" s="679">
        <v>555</v>
      </c>
      <c r="G60" s="679">
        <v>1440</v>
      </c>
      <c r="H60" s="679">
        <v>228</v>
      </c>
      <c r="I60" s="679">
        <v>1902</v>
      </c>
      <c r="J60" s="679">
        <v>390</v>
      </c>
      <c r="K60" s="679">
        <v>396</v>
      </c>
      <c r="L60" s="679">
        <v>666</v>
      </c>
      <c r="M60" s="679">
        <v>358</v>
      </c>
      <c r="N60" s="692">
        <v>263</v>
      </c>
      <c r="O60" s="679">
        <v>190</v>
      </c>
      <c r="P60" s="679">
        <v>476</v>
      </c>
      <c r="Q60" s="679">
        <v>540</v>
      </c>
      <c r="R60" s="679">
        <v>869</v>
      </c>
      <c r="S60" s="679">
        <v>330</v>
      </c>
      <c r="T60" s="679">
        <v>288</v>
      </c>
      <c r="U60" s="691">
        <v>161</v>
      </c>
      <c r="V60" s="679">
        <v>663</v>
      </c>
      <c r="W60" s="679">
        <v>109</v>
      </c>
      <c r="X60" s="684">
        <v>75</v>
      </c>
      <c r="Y60" s="617">
        <v>9830</v>
      </c>
      <c r="Z60" s="680">
        <v>72590</v>
      </c>
    </row>
    <row r="61" spans="1:26" s="616" customFormat="1" ht="13.5" x14ac:dyDescent="0.2">
      <c r="A61" s="702" t="s">
        <v>335</v>
      </c>
      <c r="B61" s="690" t="s">
        <v>538</v>
      </c>
      <c r="C61" s="904">
        <f>SUM(C68:C71)</f>
        <v>83</v>
      </c>
      <c r="D61" s="904">
        <f t="shared" ref="D61:X61" si="1">SUM(D68:D71)</f>
        <v>324</v>
      </c>
      <c r="E61" s="904">
        <f t="shared" si="1"/>
        <v>353</v>
      </c>
      <c r="F61" s="904">
        <f t="shared" si="1"/>
        <v>431</v>
      </c>
      <c r="G61" s="904">
        <f t="shared" si="1"/>
        <v>1146</v>
      </c>
      <c r="H61" s="904">
        <f t="shared" si="1"/>
        <v>170</v>
      </c>
      <c r="I61" s="904">
        <f t="shared" si="1"/>
        <v>1191</v>
      </c>
      <c r="J61" s="904">
        <f t="shared" si="1"/>
        <v>319</v>
      </c>
      <c r="K61" s="904">
        <f t="shared" si="1"/>
        <v>304</v>
      </c>
      <c r="L61" s="904">
        <f t="shared" si="1"/>
        <v>508</v>
      </c>
      <c r="M61" s="904">
        <f t="shared" si="1"/>
        <v>272</v>
      </c>
      <c r="N61" s="904">
        <f t="shared" si="1"/>
        <v>203</v>
      </c>
      <c r="O61" s="904">
        <f t="shared" si="1"/>
        <v>140</v>
      </c>
      <c r="P61" s="904">
        <f t="shared" si="1"/>
        <v>359</v>
      </c>
      <c r="Q61" s="904">
        <f t="shared" si="1"/>
        <v>464</v>
      </c>
      <c r="R61" s="904">
        <f t="shared" si="1"/>
        <v>577</v>
      </c>
      <c r="S61" s="904">
        <f t="shared" si="1"/>
        <v>261</v>
      </c>
      <c r="T61" s="904">
        <f t="shared" si="1"/>
        <v>234</v>
      </c>
      <c r="U61" s="904">
        <f t="shared" si="1"/>
        <v>123</v>
      </c>
      <c r="V61" s="904">
        <f t="shared" si="1"/>
        <v>470</v>
      </c>
      <c r="W61" s="904">
        <f t="shared" si="1"/>
        <v>58</v>
      </c>
      <c r="X61" s="904">
        <f t="shared" si="1"/>
        <v>33</v>
      </c>
      <c r="Y61" s="905">
        <f>SUM(Y68:Y71)</f>
        <v>7190</v>
      </c>
      <c r="Z61" s="680">
        <f t="shared" ref="Z61" si="2">SUM(Z68:Z71)</f>
        <v>55630</v>
      </c>
    </row>
    <row r="62" spans="1:26" s="616" customFormat="1" ht="13.5" x14ac:dyDescent="0.2">
      <c r="A62" s="702" t="s">
        <v>337</v>
      </c>
      <c r="B62" s="690" t="s">
        <v>539</v>
      </c>
      <c r="C62" s="691">
        <v>35</v>
      </c>
      <c r="D62" s="679">
        <v>130</v>
      </c>
      <c r="E62" s="679">
        <v>140</v>
      </c>
      <c r="F62" s="679">
        <v>220</v>
      </c>
      <c r="G62" s="679">
        <v>475</v>
      </c>
      <c r="H62" s="679">
        <v>55</v>
      </c>
      <c r="I62" s="679">
        <v>550</v>
      </c>
      <c r="J62" s="679">
        <v>150</v>
      </c>
      <c r="K62" s="679">
        <v>120</v>
      </c>
      <c r="L62" s="679">
        <v>130</v>
      </c>
      <c r="M62" s="679">
        <v>125</v>
      </c>
      <c r="N62" s="692">
        <v>60</v>
      </c>
      <c r="O62" s="679">
        <v>50</v>
      </c>
      <c r="P62" s="679">
        <v>150</v>
      </c>
      <c r="Q62" s="679">
        <v>230</v>
      </c>
      <c r="R62" s="679">
        <v>220</v>
      </c>
      <c r="S62" s="679">
        <v>60</v>
      </c>
      <c r="T62" s="679">
        <v>125</v>
      </c>
      <c r="U62" s="691">
        <v>55</v>
      </c>
      <c r="V62" s="679">
        <v>150</v>
      </c>
      <c r="W62" s="679">
        <v>35</v>
      </c>
      <c r="X62" s="684">
        <v>20</v>
      </c>
      <c r="Y62" s="617">
        <f t="shared" si="0"/>
        <v>2950</v>
      </c>
      <c r="Z62" s="680">
        <v>24020</v>
      </c>
    </row>
    <row r="63" spans="1:26" s="616" customFormat="1" ht="13.5" x14ac:dyDescent="0.2">
      <c r="A63" s="702" t="s">
        <v>339</v>
      </c>
      <c r="B63" s="697" t="s">
        <v>540</v>
      </c>
      <c r="C63" s="686">
        <v>20</v>
      </c>
      <c r="D63" s="679">
        <v>95</v>
      </c>
      <c r="E63" s="679">
        <v>100</v>
      </c>
      <c r="F63" s="679">
        <v>155</v>
      </c>
      <c r="G63" s="679">
        <v>325</v>
      </c>
      <c r="H63" s="679">
        <v>35</v>
      </c>
      <c r="I63" s="679">
        <v>380</v>
      </c>
      <c r="J63" s="679">
        <v>115</v>
      </c>
      <c r="K63" s="679">
        <v>75</v>
      </c>
      <c r="L63" s="679">
        <v>90</v>
      </c>
      <c r="M63" s="679">
        <v>75</v>
      </c>
      <c r="N63" s="692">
        <v>45</v>
      </c>
      <c r="O63" s="679">
        <v>30</v>
      </c>
      <c r="P63" s="679">
        <v>90</v>
      </c>
      <c r="Q63" s="679">
        <v>150</v>
      </c>
      <c r="R63" s="679">
        <v>140</v>
      </c>
      <c r="S63" s="679">
        <v>45</v>
      </c>
      <c r="T63" s="679">
        <v>70</v>
      </c>
      <c r="U63" s="691">
        <v>35</v>
      </c>
      <c r="V63" s="679">
        <v>115</v>
      </c>
      <c r="W63" s="679">
        <v>25</v>
      </c>
      <c r="X63" s="684">
        <v>10</v>
      </c>
      <c r="Y63" s="617">
        <f t="shared" si="0"/>
        <v>2015</v>
      </c>
      <c r="Z63" s="680">
        <v>16860</v>
      </c>
    </row>
    <row r="64" spans="1:26" s="616" customFormat="1" ht="13.5" x14ac:dyDescent="0.2">
      <c r="A64" s="702">
        <v>24</v>
      </c>
      <c r="B64" s="697" t="s">
        <v>762</v>
      </c>
      <c r="C64" s="691" t="s">
        <v>73</v>
      </c>
      <c r="D64" s="679">
        <v>38</v>
      </c>
      <c r="E64" s="679">
        <v>24</v>
      </c>
      <c r="F64" s="679">
        <v>24</v>
      </c>
      <c r="G64" s="679">
        <v>80</v>
      </c>
      <c r="H64" s="679">
        <v>7</v>
      </c>
      <c r="I64" s="679">
        <v>485</v>
      </c>
      <c r="J64" s="679" t="s">
        <v>73</v>
      </c>
      <c r="K64" s="679">
        <v>41</v>
      </c>
      <c r="L64" s="679">
        <v>54</v>
      </c>
      <c r="M64" s="679">
        <v>45</v>
      </c>
      <c r="N64" s="692">
        <v>11</v>
      </c>
      <c r="O64" s="679">
        <v>14</v>
      </c>
      <c r="P64" s="679">
        <v>14</v>
      </c>
      <c r="Q64" s="679">
        <v>11</v>
      </c>
      <c r="R64" s="679">
        <v>142</v>
      </c>
      <c r="S64" s="679">
        <v>21</v>
      </c>
      <c r="T64" s="679" t="s">
        <v>73</v>
      </c>
      <c r="U64" s="691">
        <v>16</v>
      </c>
      <c r="V64" s="679">
        <v>73</v>
      </c>
      <c r="W64" s="679">
        <v>7</v>
      </c>
      <c r="X64" s="684">
        <v>8</v>
      </c>
      <c r="Y64" s="617">
        <f t="shared" si="0"/>
        <v>1080</v>
      </c>
      <c r="Z64" s="680">
        <v>4690</v>
      </c>
    </row>
    <row r="65" spans="1:26" s="616" customFormat="1" ht="13.5" x14ac:dyDescent="0.2">
      <c r="A65" s="701"/>
      <c r="B65" s="697" t="s">
        <v>738</v>
      </c>
      <c r="C65" s="691">
        <v>10</v>
      </c>
      <c r="D65" s="679">
        <v>55</v>
      </c>
      <c r="E65" s="679">
        <v>35</v>
      </c>
      <c r="F65" s="679">
        <v>75</v>
      </c>
      <c r="G65" s="679">
        <v>225</v>
      </c>
      <c r="H65" s="679">
        <v>25</v>
      </c>
      <c r="I65" s="679">
        <v>240</v>
      </c>
      <c r="J65" s="679">
        <v>45</v>
      </c>
      <c r="K65" s="679">
        <v>35</v>
      </c>
      <c r="L65" s="679">
        <v>55</v>
      </c>
      <c r="M65" s="679">
        <v>55</v>
      </c>
      <c r="N65" s="692">
        <v>10</v>
      </c>
      <c r="O65" s="679">
        <v>25</v>
      </c>
      <c r="P65" s="679">
        <v>50</v>
      </c>
      <c r="Q65" s="679">
        <v>65</v>
      </c>
      <c r="R65" s="679">
        <v>70</v>
      </c>
      <c r="S65" s="679">
        <v>40</v>
      </c>
      <c r="T65" s="679">
        <v>75</v>
      </c>
      <c r="U65" s="691">
        <v>15</v>
      </c>
      <c r="V65" s="679">
        <v>80</v>
      </c>
      <c r="W65" s="679">
        <v>15</v>
      </c>
      <c r="X65" s="684">
        <v>15</v>
      </c>
      <c r="Y65" s="617">
        <f t="shared" si="0"/>
        <v>1150</v>
      </c>
      <c r="Z65" s="680">
        <v>7520</v>
      </c>
    </row>
    <row r="66" spans="1:26" s="616" customFormat="1" ht="13.5" x14ac:dyDescent="0.2">
      <c r="A66" s="701"/>
      <c r="B66" s="697" t="s">
        <v>755</v>
      </c>
      <c r="C66" s="893"/>
      <c r="D66" s="889"/>
      <c r="E66" s="889"/>
      <c r="F66" s="889"/>
      <c r="G66" s="889"/>
      <c r="H66" s="889"/>
      <c r="I66" s="889"/>
      <c r="J66" s="889"/>
      <c r="K66" s="889"/>
      <c r="L66" s="889"/>
      <c r="M66" s="889"/>
      <c r="N66" s="892"/>
      <c r="O66" s="889"/>
      <c r="P66" s="889"/>
      <c r="Q66" s="889"/>
      <c r="R66" s="889"/>
      <c r="S66" s="889"/>
      <c r="T66" s="889"/>
      <c r="U66" s="893"/>
      <c r="V66" s="889"/>
      <c r="W66" s="889"/>
      <c r="X66" s="891"/>
      <c r="Y66" s="895"/>
      <c r="Z66" s="890"/>
    </row>
    <row r="67" spans="1:26" s="616" customFormat="1" ht="13.5" x14ac:dyDescent="0.2">
      <c r="A67" s="701"/>
      <c r="B67" s="697" t="s">
        <v>756</v>
      </c>
      <c r="C67" s="893"/>
      <c r="D67" s="889"/>
      <c r="E67" s="889"/>
      <c r="F67" s="889"/>
      <c r="G67" s="889"/>
      <c r="H67" s="889"/>
      <c r="I67" s="889"/>
      <c r="J67" s="889"/>
      <c r="K67" s="889"/>
      <c r="L67" s="889"/>
      <c r="M67" s="889"/>
      <c r="N67" s="892"/>
      <c r="O67" s="889"/>
      <c r="P67" s="889"/>
      <c r="Q67" s="889"/>
      <c r="R67" s="889"/>
      <c r="S67" s="889"/>
      <c r="T67" s="889"/>
      <c r="U67" s="893"/>
      <c r="V67" s="889"/>
      <c r="W67" s="889"/>
      <c r="X67" s="891"/>
      <c r="Y67" s="895"/>
      <c r="Z67" s="890"/>
    </row>
    <row r="68" spans="1:26" s="616" customFormat="1" ht="13.5" x14ac:dyDescent="0.2">
      <c r="A68" s="701"/>
      <c r="B68" s="697" t="s">
        <v>778</v>
      </c>
      <c r="C68" s="691">
        <v>6</v>
      </c>
      <c r="D68" s="679">
        <v>19</v>
      </c>
      <c r="E68" s="679">
        <v>18</v>
      </c>
      <c r="F68" s="679">
        <v>27</v>
      </c>
      <c r="G68" s="679">
        <v>53</v>
      </c>
      <c r="H68" s="679">
        <v>9</v>
      </c>
      <c r="I68" s="679">
        <v>54</v>
      </c>
      <c r="J68" s="679">
        <v>24</v>
      </c>
      <c r="K68" s="679">
        <v>22</v>
      </c>
      <c r="L68" s="679">
        <v>46</v>
      </c>
      <c r="M68" s="679">
        <v>15</v>
      </c>
      <c r="N68" s="692">
        <v>18</v>
      </c>
      <c r="O68" s="679">
        <v>17</v>
      </c>
      <c r="P68" s="679">
        <v>25</v>
      </c>
      <c r="Q68" s="679">
        <v>22</v>
      </c>
      <c r="R68" s="679">
        <v>40</v>
      </c>
      <c r="S68" s="679">
        <v>18</v>
      </c>
      <c r="T68" s="679">
        <v>17</v>
      </c>
      <c r="U68" s="691">
        <v>6</v>
      </c>
      <c r="V68" s="679">
        <v>42</v>
      </c>
      <c r="W68" s="679" t="s">
        <v>73</v>
      </c>
      <c r="X68" s="684" t="s">
        <v>73</v>
      </c>
      <c r="Y68" s="617">
        <v>440</v>
      </c>
      <c r="Z68" s="680">
        <v>3820</v>
      </c>
    </row>
    <row r="69" spans="1:26" s="616" customFormat="1" ht="13.5" x14ac:dyDescent="0.2">
      <c r="A69" s="701"/>
      <c r="B69" s="697" t="s">
        <v>779</v>
      </c>
      <c r="C69" s="691">
        <v>8</v>
      </c>
      <c r="D69" s="679">
        <v>50</v>
      </c>
      <c r="E69" s="679">
        <v>65</v>
      </c>
      <c r="F69" s="679">
        <v>62</v>
      </c>
      <c r="G69" s="679">
        <v>198</v>
      </c>
      <c r="H69" s="679">
        <v>34</v>
      </c>
      <c r="I69" s="679">
        <v>133</v>
      </c>
      <c r="J69" s="679">
        <v>51</v>
      </c>
      <c r="K69" s="679">
        <v>56</v>
      </c>
      <c r="L69" s="679">
        <v>71</v>
      </c>
      <c r="M69" s="679">
        <v>45</v>
      </c>
      <c r="N69" s="692">
        <v>33</v>
      </c>
      <c r="O69" s="679">
        <v>17</v>
      </c>
      <c r="P69" s="679">
        <v>43</v>
      </c>
      <c r="Q69" s="679">
        <v>87</v>
      </c>
      <c r="R69" s="679">
        <v>71</v>
      </c>
      <c r="S69" s="679">
        <v>50</v>
      </c>
      <c r="T69" s="679">
        <v>32</v>
      </c>
      <c r="U69" s="691">
        <v>16</v>
      </c>
      <c r="V69" s="679">
        <v>72</v>
      </c>
      <c r="W69" s="679" t="s">
        <v>73</v>
      </c>
      <c r="X69" s="684" t="s">
        <v>73</v>
      </c>
      <c r="Y69" s="617">
        <v>1090</v>
      </c>
      <c r="Z69" s="680">
        <v>9170</v>
      </c>
    </row>
    <row r="70" spans="1:26" s="616" customFormat="1" ht="13.5" x14ac:dyDescent="0.2">
      <c r="A70" s="701"/>
      <c r="B70" s="697" t="s">
        <v>780</v>
      </c>
      <c r="C70" s="691">
        <v>19</v>
      </c>
      <c r="D70" s="679">
        <v>72</v>
      </c>
      <c r="E70" s="679">
        <v>83</v>
      </c>
      <c r="F70" s="679">
        <v>119</v>
      </c>
      <c r="G70" s="679">
        <v>289</v>
      </c>
      <c r="H70" s="679">
        <v>46</v>
      </c>
      <c r="I70" s="679">
        <v>255</v>
      </c>
      <c r="J70" s="679">
        <v>87</v>
      </c>
      <c r="K70" s="679">
        <v>73</v>
      </c>
      <c r="L70" s="679">
        <v>120</v>
      </c>
      <c r="M70" s="679">
        <v>58</v>
      </c>
      <c r="N70" s="692">
        <v>54</v>
      </c>
      <c r="O70" s="679">
        <v>25</v>
      </c>
      <c r="P70" s="679">
        <v>85</v>
      </c>
      <c r="Q70" s="679">
        <v>159</v>
      </c>
      <c r="R70" s="679">
        <v>135</v>
      </c>
      <c r="S70" s="679">
        <v>69</v>
      </c>
      <c r="T70" s="679">
        <v>60</v>
      </c>
      <c r="U70" s="691">
        <v>32</v>
      </c>
      <c r="V70" s="679">
        <v>97</v>
      </c>
      <c r="W70" s="679">
        <v>16</v>
      </c>
      <c r="X70" s="684" t="s">
        <v>73</v>
      </c>
      <c r="Y70" s="617">
        <v>1740</v>
      </c>
      <c r="Z70" s="680">
        <v>14100</v>
      </c>
    </row>
    <row r="71" spans="1:26" s="616" customFormat="1" ht="13.5" x14ac:dyDescent="0.2">
      <c r="A71" s="701"/>
      <c r="B71" s="697" t="s">
        <v>781</v>
      </c>
      <c r="C71" s="691">
        <v>50</v>
      </c>
      <c r="D71" s="679">
        <v>183</v>
      </c>
      <c r="E71" s="679">
        <v>187</v>
      </c>
      <c r="F71" s="679">
        <v>223</v>
      </c>
      <c r="G71" s="679">
        <v>606</v>
      </c>
      <c r="H71" s="679">
        <v>81</v>
      </c>
      <c r="I71" s="679">
        <v>749</v>
      </c>
      <c r="J71" s="679">
        <v>157</v>
      </c>
      <c r="K71" s="679">
        <v>153</v>
      </c>
      <c r="L71" s="679">
        <v>271</v>
      </c>
      <c r="M71" s="679">
        <v>154</v>
      </c>
      <c r="N71" s="692">
        <v>98</v>
      </c>
      <c r="O71" s="679">
        <v>81</v>
      </c>
      <c r="P71" s="679">
        <v>206</v>
      </c>
      <c r="Q71" s="679">
        <v>196</v>
      </c>
      <c r="R71" s="679">
        <v>331</v>
      </c>
      <c r="S71" s="679">
        <v>124</v>
      </c>
      <c r="T71" s="679">
        <v>125</v>
      </c>
      <c r="U71" s="691">
        <v>69</v>
      </c>
      <c r="V71" s="679">
        <v>259</v>
      </c>
      <c r="W71" s="679">
        <v>42</v>
      </c>
      <c r="X71" s="684">
        <v>33</v>
      </c>
      <c r="Y71" s="617">
        <v>3920</v>
      </c>
      <c r="Z71" s="680">
        <v>28540</v>
      </c>
    </row>
    <row r="72" spans="1:26" s="616" customFormat="1" ht="13.5" x14ac:dyDescent="0.2">
      <c r="A72" s="701"/>
      <c r="B72" s="697" t="s">
        <v>782</v>
      </c>
      <c r="C72" s="691">
        <v>33</v>
      </c>
      <c r="D72" s="679">
        <v>130</v>
      </c>
      <c r="E72" s="679">
        <v>101</v>
      </c>
      <c r="F72" s="679">
        <v>127</v>
      </c>
      <c r="G72" s="679">
        <v>294</v>
      </c>
      <c r="H72" s="679">
        <v>56</v>
      </c>
      <c r="I72" s="679">
        <v>707</v>
      </c>
      <c r="J72" s="679">
        <v>71</v>
      </c>
      <c r="K72" s="679">
        <v>91</v>
      </c>
      <c r="L72" s="679">
        <v>159</v>
      </c>
      <c r="M72" s="679">
        <v>86</v>
      </c>
      <c r="N72" s="692">
        <v>59</v>
      </c>
      <c r="O72" s="679">
        <v>51</v>
      </c>
      <c r="P72" s="679">
        <v>117</v>
      </c>
      <c r="Q72" s="679">
        <v>76</v>
      </c>
      <c r="R72" s="679">
        <v>294</v>
      </c>
      <c r="S72" s="679">
        <v>66</v>
      </c>
      <c r="T72" s="679">
        <v>50</v>
      </c>
      <c r="U72" s="691">
        <v>38</v>
      </c>
      <c r="V72" s="679">
        <v>194</v>
      </c>
      <c r="W72" s="679">
        <v>36</v>
      </c>
      <c r="X72" s="684">
        <v>31</v>
      </c>
      <c r="Y72" s="617">
        <v>2630</v>
      </c>
      <c r="Z72" s="680">
        <v>17040</v>
      </c>
    </row>
    <row r="73" spans="1:26" s="616" customFormat="1" ht="13.5" x14ac:dyDescent="0.2">
      <c r="A73" s="677"/>
      <c r="B73" s="678" t="s">
        <v>739</v>
      </c>
      <c r="C73" s="691">
        <v>67</v>
      </c>
      <c r="D73" s="679">
        <v>194</v>
      </c>
      <c r="E73" s="679">
        <v>207</v>
      </c>
      <c r="F73" s="679">
        <v>198</v>
      </c>
      <c r="G73" s="679">
        <v>647</v>
      </c>
      <c r="H73" s="679">
        <v>99</v>
      </c>
      <c r="I73" s="679">
        <v>890</v>
      </c>
      <c r="J73" s="679">
        <v>145</v>
      </c>
      <c r="K73" s="679">
        <v>197</v>
      </c>
      <c r="L73" s="679">
        <v>353</v>
      </c>
      <c r="M73" s="679">
        <v>159</v>
      </c>
      <c r="N73" s="685">
        <v>142</v>
      </c>
      <c r="O73" s="679">
        <v>118</v>
      </c>
      <c r="P73" s="679">
        <v>230</v>
      </c>
      <c r="Q73" s="679">
        <v>168</v>
      </c>
      <c r="R73" s="679">
        <v>410</v>
      </c>
      <c r="S73" s="679">
        <v>182</v>
      </c>
      <c r="T73" s="679">
        <v>115</v>
      </c>
      <c r="U73" s="686">
        <v>74</v>
      </c>
      <c r="V73" s="679">
        <v>377</v>
      </c>
      <c r="W73" s="679">
        <v>53</v>
      </c>
      <c r="X73" s="684">
        <v>25</v>
      </c>
      <c r="Y73" s="617">
        <v>4520</v>
      </c>
      <c r="Z73" s="680">
        <v>32940</v>
      </c>
    </row>
    <row r="74" spans="1:26" s="616" customFormat="1" ht="13.5" x14ac:dyDescent="0.2">
      <c r="A74" s="677"/>
      <c r="B74" s="678" t="s">
        <v>740</v>
      </c>
      <c r="C74" s="887"/>
      <c r="D74" s="882"/>
      <c r="E74" s="882"/>
      <c r="F74" s="882"/>
      <c r="G74" s="882"/>
      <c r="H74" s="882"/>
      <c r="I74" s="882"/>
      <c r="J74" s="882"/>
      <c r="K74" s="882"/>
      <c r="L74" s="882"/>
      <c r="M74" s="882"/>
      <c r="N74" s="886"/>
      <c r="O74" s="882"/>
      <c r="P74" s="882"/>
      <c r="Q74" s="882"/>
      <c r="R74" s="882"/>
      <c r="S74" s="882"/>
      <c r="T74" s="882"/>
      <c r="U74" s="887"/>
      <c r="V74" s="882"/>
      <c r="W74" s="882"/>
      <c r="X74" s="885"/>
      <c r="Y74" s="896"/>
      <c r="Z74" s="883"/>
    </row>
    <row r="75" spans="1:26" s="616" customFormat="1" ht="13.5" x14ac:dyDescent="0.2">
      <c r="A75" s="677"/>
      <c r="B75" s="678" t="s">
        <v>741</v>
      </c>
      <c r="C75" s="887"/>
      <c r="D75" s="882"/>
      <c r="E75" s="882"/>
      <c r="F75" s="882"/>
      <c r="G75" s="882"/>
      <c r="H75" s="882"/>
      <c r="I75" s="882"/>
      <c r="J75" s="882"/>
      <c r="K75" s="882"/>
      <c r="L75" s="882"/>
      <c r="M75" s="882"/>
      <c r="N75" s="886"/>
      <c r="O75" s="882"/>
      <c r="P75" s="882"/>
      <c r="Q75" s="882"/>
      <c r="R75" s="882"/>
      <c r="S75" s="882"/>
      <c r="T75" s="882"/>
      <c r="U75" s="887"/>
      <c r="V75" s="882"/>
      <c r="W75" s="882"/>
      <c r="X75" s="885"/>
      <c r="Y75" s="896"/>
      <c r="Z75" s="883"/>
    </row>
    <row r="76" spans="1:26" s="616" customFormat="1" ht="13.5" x14ac:dyDescent="0.2">
      <c r="A76" s="702">
        <v>25</v>
      </c>
      <c r="B76" s="697" t="s">
        <v>792</v>
      </c>
      <c r="C76" s="698" t="s">
        <v>73</v>
      </c>
      <c r="D76" s="679">
        <v>31</v>
      </c>
      <c r="E76" s="679">
        <v>14</v>
      </c>
      <c r="F76" s="679">
        <v>30</v>
      </c>
      <c r="G76" s="679">
        <v>41</v>
      </c>
      <c r="H76" s="679">
        <v>10</v>
      </c>
      <c r="I76" s="679">
        <v>55</v>
      </c>
      <c r="J76" s="679">
        <v>36</v>
      </c>
      <c r="K76" s="679">
        <v>6</v>
      </c>
      <c r="L76" s="679">
        <v>27</v>
      </c>
      <c r="M76" s="679" t="s">
        <v>73</v>
      </c>
      <c r="N76" s="692" t="s">
        <v>73</v>
      </c>
      <c r="O76" s="679">
        <v>8</v>
      </c>
      <c r="P76" s="679">
        <v>16</v>
      </c>
      <c r="Q76" s="679">
        <v>40</v>
      </c>
      <c r="R76" s="679">
        <v>22</v>
      </c>
      <c r="S76" s="679" t="s">
        <v>73</v>
      </c>
      <c r="T76" s="679">
        <v>14</v>
      </c>
      <c r="U76" s="691" t="s">
        <v>73</v>
      </c>
      <c r="V76" s="679">
        <v>30</v>
      </c>
      <c r="W76" s="679" t="s">
        <v>73</v>
      </c>
      <c r="X76" s="684" t="s">
        <v>73</v>
      </c>
      <c r="Y76" s="617">
        <v>380</v>
      </c>
      <c r="Z76" s="680">
        <v>2520</v>
      </c>
    </row>
    <row r="77" spans="1:26" s="616" customFormat="1" ht="13.5" x14ac:dyDescent="0.2">
      <c r="A77" s="702" t="s">
        <v>341</v>
      </c>
      <c r="B77" s="697" t="s">
        <v>541</v>
      </c>
      <c r="C77" s="686">
        <v>49</v>
      </c>
      <c r="D77" s="679">
        <v>179</v>
      </c>
      <c r="E77" s="679">
        <v>215</v>
      </c>
      <c r="F77" s="679">
        <v>185</v>
      </c>
      <c r="G77" s="679">
        <v>532</v>
      </c>
      <c r="H77" s="679">
        <v>76</v>
      </c>
      <c r="I77" s="679">
        <v>1315</v>
      </c>
      <c r="J77" s="679">
        <v>187</v>
      </c>
      <c r="K77" s="679">
        <v>152</v>
      </c>
      <c r="L77" s="679">
        <v>286</v>
      </c>
      <c r="M77" s="679">
        <v>123</v>
      </c>
      <c r="N77" s="692">
        <v>100</v>
      </c>
      <c r="O77" s="679">
        <v>112</v>
      </c>
      <c r="P77" s="679">
        <v>261</v>
      </c>
      <c r="Q77" s="679">
        <v>221</v>
      </c>
      <c r="R77" s="679">
        <v>419</v>
      </c>
      <c r="S77" s="679">
        <v>150</v>
      </c>
      <c r="T77" s="679">
        <v>109</v>
      </c>
      <c r="U77" s="691">
        <v>74</v>
      </c>
      <c r="V77" s="679">
        <v>357</v>
      </c>
      <c r="W77" s="679">
        <v>35</v>
      </c>
      <c r="X77" s="684">
        <v>31</v>
      </c>
      <c r="Y77" s="614">
        <v>4650</v>
      </c>
      <c r="Z77" s="680">
        <v>31410</v>
      </c>
    </row>
    <row r="78" spans="1:26" s="616" customFormat="1" ht="13.5" x14ac:dyDescent="0.2">
      <c r="A78" s="702" t="s">
        <v>343</v>
      </c>
      <c r="B78" s="697" t="s">
        <v>542</v>
      </c>
      <c r="C78" s="698" t="s">
        <v>73</v>
      </c>
      <c r="D78" s="679">
        <v>23</v>
      </c>
      <c r="E78" s="679">
        <v>38</v>
      </c>
      <c r="F78" s="679">
        <v>37</v>
      </c>
      <c r="G78" s="679">
        <v>70</v>
      </c>
      <c r="H78" s="679">
        <v>16</v>
      </c>
      <c r="I78" s="679">
        <v>80</v>
      </c>
      <c r="J78" s="679">
        <v>33</v>
      </c>
      <c r="K78" s="679">
        <v>10</v>
      </c>
      <c r="L78" s="679">
        <v>38</v>
      </c>
      <c r="M78" s="679">
        <v>35</v>
      </c>
      <c r="N78" s="699">
        <v>16</v>
      </c>
      <c r="O78" s="679">
        <v>11</v>
      </c>
      <c r="P78" s="679">
        <v>34</v>
      </c>
      <c r="Q78" s="679">
        <v>77</v>
      </c>
      <c r="R78" s="679">
        <v>51</v>
      </c>
      <c r="S78" s="679">
        <v>19</v>
      </c>
      <c r="T78" s="679">
        <v>14</v>
      </c>
      <c r="U78" s="698">
        <v>12</v>
      </c>
      <c r="V78" s="679">
        <v>46</v>
      </c>
      <c r="W78" s="679">
        <v>6</v>
      </c>
      <c r="X78" s="684" t="s">
        <v>73</v>
      </c>
      <c r="Y78" s="617">
        <v>610</v>
      </c>
      <c r="Z78" s="680">
        <v>4370</v>
      </c>
    </row>
    <row r="79" spans="1:26" s="616" customFormat="1" ht="13.5" x14ac:dyDescent="0.2">
      <c r="A79" s="702" t="s">
        <v>345</v>
      </c>
      <c r="B79" s="697" t="s">
        <v>543</v>
      </c>
      <c r="C79" s="889"/>
      <c r="D79" s="889"/>
      <c r="E79" s="889"/>
      <c r="F79" s="889"/>
      <c r="G79" s="889"/>
      <c r="H79" s="889"/>
      <c r="I79" s="889"/>
      <c r="J79" s="889"/>
      <c r="K79" s="889"/>
      <c r="L79" s="889"/>
      <c r="M79" s="889"/>
      <c r="N79" s="889"/>
      <c r="O79" s="889"/>
      <c r="P79" s="889"/>
      <c r="Q79" s="889"/>
      <c r="R79" s="889"/>
      <c r="S79" s="889"/>
      <c r="T79" s="889"/>
      <c r="U79" s="889"/>
      <c r="V79" s="889"/>
      <c r="W79" s="889"/>
      <c r="X79" s="891"/>
      <c r="Y79" s="895"/>
      <c r="Z79" s="890"/>
    </row>
    <row r="80" spans="1:26" s="616" customFormat="1" ht="13.5" x14ac:dyDescent="0.2">
      <c r="A80" s="702" t="s">
        <v>347</v>
      </c>
      <c r="B80" s="697" t="s">
        <v>544</v>
      </c>
      <c r="C80" s="889"/>
      <c r="D80" s="889"/>
      <c r="E80" s="889"/>
      <c r="F80" s="889"/>
      <c r="G80" s="889"/>
      <c r="H80" s="889"/>
      <c r="I80" s="889"/>
      <c r="J80" s="889"/>
      <c r="K80" s="889"/>
      <c r="L80" s="889"/>
      <c r="M80" s="889"/>
      <c r="N80" s="889"/>
      <c r="O80" s="889"/>
      <c r="P80" s="889"/>
      <c r="Q80" s="889"/>
      <c r="R80" s="889"/>
      <c r="S80" s="889"/>
      <c r="T80" s="889"/>
      <c r="U80" s="889"/>
      <c r="V80" s="889"/>
      <c r="W80" s="889"/>
      <c r="X80" s="891"/>
      <c r="Y80" s="895"/>
      <c r="Z80" s="890"/>
    </row>
    <row r="81" spans="1:26" s="616" customFormat="1" ht="13.5" x14ac:dyDescent="0.2">
      <c r="A81" s="677"/>
      <c r="B81" s="683" t="s">
        <v>733</v>
      </c>
      <c r="C81" s="882"/>
      <c r="D81" s="882"/>
      <c r="E81" s="882"/>
      <c r="F81" s="882"/>
      <c r="G81" s="882"/>
      <c r="H81" s="882"/>
      <c r="I81" s="882"/>
      <c r="J81" s="882"/>
      <c r="K81" s="882"/>
      <c r="L81" s="882"/>
      <c r="M81" s="882"/>
      <c r="N81" s="882"/>
      <c r="O81" s="882"/>
      <c r="P81" s="882"/>
      <c r="Q81" s="882"/>
      <c r="R81" s="882"/>
      <c r="S81" s="882"/>
      <c r="T81" s="882"/>
      <c r="U81" s="882"/>
      <c r="V81" s="882"/>
      <c r="W81" s="882"/>
      <c r="X81" s="885"/>
      <c r="Y81" s="896"/>
      <c r="Z81" s="888"/>
    </row>
    <row r="82" spans="1:26" s="616" customFormat="1" ht="13.5" x14ac:dyDescent="0.2">
      <c r="A82" s="677"/>
      <c r="B82" s="683" t="s">
        <v>734</v>
      </c>
      <c r="C82" s="882"/>
      <c r="D82" s="882"/>
      <c r="E82" s="882"/>
      <c r="F82" s="882"/>
      <c r="G82" s="882"/>
      <c r="H82" s="882"/>
      <c r="I82" s="882"/>
      <c r="J82" s="882"/>
      <c r="K82" s="882"/>
      <c r="L82" s="882"/>
      <c r="M82" s="882"/>
      <c r="N82" s="882"/>
      <c r="O82" s="882"/>
      <c r="P82" s="882"/>
      <c r="Q82" s="882"/>
      <c r="R82" s="882"/>
      <c r="S82" s="882"/>
      <c r="T82" s="882"/>
      <c r="U82" s="882"/>
      <c r="V82" s="882"/>
      <c r="W82" s="882"/>
      <c r="X82" s="885"/>
      <c r="Y82" s="896"/>
      <c r="Z82" s="888"/>
    </row>
    <row r="83" spans="1:26" s="616" customFormat="1" ht="13.5" x14ac:dyDescent="0.2">
      <c r="A83" s="677"/>
      <c r="B83" s="683" t="s">
        <v>735</v>
      </c>
      <c r="C83" s="882"/>
      <c r="D83" s="882"/>
      <c r="E83" s="882"/>
      <c r="F83" s="882"/>
      <c r="G83" s="882"/>
      <c r="H83" s="882"/>
      <c r="I83" s="882"/>
      <c r="J83" s="882"/>
      <c r="K83" s="882"/>
      <c r="L83" s="882"/>
      <c r="M83" s="882"/>
      <c r="N83" s="882"/>
      <c r="O83" s="882"/>
      <c r="P83" s="882"/>
      <c r="Q83" s="882"/>
      <c r="R83" s="882"/>
      <c r="S83" s="882"/>
      <c r="T83" s="882"/>
      <c r="U83" s="882"/>
      <c r="V83" s="882"/>
      <c r="W83" s="882"/>
      <c r="X83" s="885"/>
      <c r="Y83" s="896"/>
      <c r="Z83" s="888"/>
    </row>
    <row r="84" spans="1:26" s="616" customFormat="1" ht="13.5" x14ac:dyDescent="0.2">
      <c r="A84" s="677"/>
      <c r="B84" s="683" t="s">
        <v>736</v>
      </c>
      <c r="C84" s="882"/>
      <c r="D84" s="882"/>
      <c r="E84" s="882"/>
      <c r="F84" s="882"/>
      <c r="G84" s="882"/>
      <c r="H84" s="882"/>
      <c r="I84" s="882"/>
      <c r="J84" s="882"/>
      <c r="K84" s="882"/>
      <c r="L84" s="882"/>
      <c r="M84" s="882"/>
      <c r="N84" s="882"/>
      <c r="O84" s="882"/>
      <c r="P84" s="882"/>
      <c r="Q84" s="882"/>
      <c r="R84" s="882"/>
      <c r="S84" s="882"/>
      <c r="T84" s="882"/>
      <c r="U84" s="882"/>
      <c r="V84" s="882"/>
      <c r="W84" s="882"/>
      <c r="X84" s="885"/>
      <c r="Y84" s="896"/>
      <c r="Z84" s="888"/>
    </row>
    <row r="85" spans="1:26" s="616" customFormat="1" ht="13.5" x14ac:dyDescent="0.2">
      <c r="A85" s="677"/>
      <c r="B85" s="683" t="s">
        <v>737</v>
      </c>
      <c r="C85" s="882"/>
      <c r="D85" s="882"/>
      <c r="E85" s="882"/>
      <c r="F85" s="882"/>
      <c r="G85" s="882"/>
      <c r="H85" s="882"/>
      <c r="I85" s="882"/>
      <c r="J85" s="882"/>
      <c r="K85" s="882"/>
      <c r="L85" s="882"/>
      <c r="M85" s="882"/>
      <c r="N85" s="882"/>
      <c r="O85" s="882"/>
      <c r="P85" s="882"/>
      <c r="Q85" s="882"/>
      <c r="R85" s="882"/>
      <c r="S85" s="882"/>
      <c r="T85" s="882"/>
      <c r="U85" s="882"/>
      <c r="V85" s="882"/>
      <c r="W85" s="882"/>
      <c r="X85" s="885"/>
      <c r="Y85" s="896"/>
      <c r="Z85" s="888"/>
    </row>
    <row r="86" spans="1:26" s="616" customFormat="1" ht="13.5" x14ac:dyDescent="0.2">
      <c r="A86" s="701"/>
      <c r="B86" s="697" t="s">
        <v>798</v>
      </c>
      <c r="C86" s="679" t="s">
        <v>73</v>
      </c>
      <c r="D86" s="679" t="s">
        <v>73</v>
      </c>
      <c r="E86" s="679">
        <v>8</v>
      </c>
      <c r="F86" s="679" t="s">
        <v>73</v>
      </c>
      <c r="G86" s="679">
        <v>21</v>
      </c>
      <c r="H86" s="679" t="s">
        <v>73</v>
      </c>
      <c r="I86" s="679">
        <v>11</v>
      </c>
      <c r="J86" s="679">
        <v>12</v>
      </c>
      <c r="K86" s="679" t="s">
        <v>73</v>
      </c>
      <c r="L86" s="679">
        <v>20</v>
      </c>
      <c r="M86" s="679" t="s">
        <v>73</v>
      </c>
      <c r="N86" s="679">
        <v>0</v>
      </c>
      <c r="O86" s="679">
        <v>9</v>
      </c>
      <c r="P86" s="679">
        <v>12</v>
      </c>
      <c r="Q86" s="679" t="s">
        <v>73</v>
      </c>
      <c r="R86" s="679">
        <v>7</v>
      </c>
      <c r="S86" s="679">
        <v>10</v>
      </c>
      <c r="T86" s="679">
        <v>12</v>
      </c>
      <c r="U86" s="679">
        <v>7</v>
      </c>
      <c r="V86" s="679">
        <v>0</v>
      </c>
      <c r="W86" s="679" t="s">
        <v>73</v>
      </c>
      <c r="X86" s="684" t="s">
        <v>73</v>
      </c>
      <c r="Y86" s="617">
        <v>130</v>
      </c>
      <c r="Z86" s="682">
        <v>1200</v>
      </c>
    </row>
    <row r="87" spans="1:26" s="616" customFormat="1" ht="13.5" x14ac:dyDescent="0.2">
      <c r="A87" s="701"/>
      <c r="B87" s="697" t="s">
        <v>799</v>
      </c>
      <c r="C87" s="679">
        <v>10</v>
      </c>
      <c r="D87" s="679">
        <v>17</v>
      </c>
      <c r="E87" s="679">
        <v>18</v>
      </c>
      <c r="F87" s="679">
        <v>30</v>
      </c>
      <c r="G87" s="679">
        <v>51</v>
      </c>
      <c r="H87" s="679" t="s">
        <v>73</v>
      </c>
      <c r="I87" s="679">
        <v>54</v>
      </c>
      <c r="J87" s="679">
        <v>28</v>
      </c>
      <c r="K87" s="679">
        <v>27</v>
      </c>
      <c r="L87" s="679">
        <v>16</v>
      </c>
      <c r="M87" s="679">
        <v>12</v>
      </c>
      <c r="N87" s="679">
        <v>8</v>
      </c>
      <c r="O87" s="679">
        <v>10</v>
      </c>
      <c r="P87" s="679">
        <v>30</v>
      </c>
      <c r="Q87" s="679">
        <v>35</v>
      </c>
      <c r="R87" s="679">
        <v>56</v>
      </c>
      <c r="S87" s="679">
        <v>19</v>
      </c>
      <c r="T87" s="679">
        <v>16</v>
      </c>
      <c r="U87" s="679" t="s">
        <v>73</v>
      </c>
      <c r="V87" s="679">
        <v>30</v>
      </c>
      <c r="W87" s="679" t="s">
        <v>73</v>
      </c>
      <c r="X87" s="684" t="s">
        <v>73</v>
      </c>
      <c r="Y87" s="617">
        <v>460</v>
      </c>
      <c r="Z87" s="682">
        <v>3690</v>
      </c>
    </row>
    <row r="88" spans="1:26" s="616" customFormat="1" ht="13.5" x14ac:dyDescent="0.2">
      <c r="A88" s="702" t="s">
        <v>349</v>
      </c>
      <c r="B88" s="697" t="s">
        <v>545</v>
      </c>
      <c r="C88" s="889"/>
      <c r="D88" s="889"/>
      <c r="E88" s="889"/>
      <c r="F88" s="889"/>
      <c r="G88" s="889"/>
      <c r="H88" s="889"/>
      <c r="I88" s="889"/>
      <c r="J88" s="889"/>
      <c r="K88" s="889"/>
      <c r="L88" s="889"/>
      <c r="M88" s="889"/>
      <c r="N88" s="889"/>
      <c r="O88" s="889"/>
      <c r="P88" s="889"/>
      <c r="Q88" s="889"/>
      <c r="R88" s="889"/>
      <c r="S88" s="889"/>
      <c r="T88" s="889"/>
      <c r="U88" s="889"/>
      <c r="V88" s="889"/>
      <c r="W88" s="889"/>
      <c r="X88" s="891"/>
      <c r="Y88" s="895"/>
      <c r="Z88" s="894"/>
    </row>
    <row r="89" spans="1:26" s="616" customFormat="1" ht="13.5" x14ac:dyDescent="0.2">
      <c r="A89" s="702" t="s">
        <v>351</v>
      </c>
      <c r="B89" s="697" t="s">
        <v>546</v>
      </c>
      <c r="C89" s="754"/>
      <c r="D89" s="754"/>
      <c r="E89" s="754"/>
      <c r="F89" s="754"/>
      <c r="G89" s="754"/>
      <c r="H89" s="754"/>
      <c r="I89" s="754"/>
      <c r="J89" s="754"/>
      <c r="K89" s="754"/>
      <c r="L89" s="754"/>
      <c r="M89" s="754"/>
      <c r="N89" s="754"/>
      <c r="O89" s="754"/>
      <c r="P89" s="754"/>
      <c r="Q89" s="754"/>
      <c r="R89" s="754"/>
      <c r="S89" s="754"/>
      <c r="T89" s="754"/>
      <c r="U89" s="754"/>
      <c r="V89" s="754"/>
      <c r="W89" s="754"/>
      <c r="X89" s="755"/>
      <c r="Y89" s="756"/>
      <c r="Z89" s="757"/>
    </row>
    <row r="90" spans="1:26" s="616" customFormat="1" ht="13.5" x14ac:dyDescent="0.2">
      <c r="A90" s="702" t="s">
        <v>353</v>
      </c>
      <c r="B90" s="697" t="s">
        <v>547</v>
      </c>
      <c r="C90" s="889"/>
      <c r="D90" s="889"/>
      <c r="E90" s="889"/>
      <c r="F90" s="889"/>
      <c r="G90" s="889"/>
      <c r="H90" s="889"/>
      <c r="I90" s="889"/>
      <c r="J90" s="889"/>
      <c r="K90" s="889"/>
      <c r="L90" s="889"/>
      <c r="M90" s="889"/>
      <c r="N90" s="889"/>
      <c r="O90" s="889"/>
      <c r="P90" s="889"/>
      <c r="Q90" s="889"/>
      <c r="R90" s="889"/>
      <c r="S90" s="889"/>
      <c r="T90" s="889"/>
      <c r="U90" s="889"/>
      <c r="V90" s="889"/>
      <c r="W90" s="889"/>
      <c r="X90" s="891"/>
      <c r="Y90" s="895"/>
      <c r="Z90" s="894"/>
    </row>
    <row r="91" spans="1:26" s="616" customFormat="1" ht="13.5" x14ac:dyDescent="0.2">
      <c r="A91" s="702" t="s">
        <v>355</v>
      </c>
      <c r="B91" s="697" t="s">
        <v>548</v>
      </c>
      <c r="C91" s="754"/>
      <c r="D91" s="754"/>
      <c r="E91" s="754"/>
      <c r="F91" s="754"/>
      <c r="G91" s="754"/>
      <c r="H91" s="754"/>
      <c r="I91" s="754"/>
      <c r="J91" s="754"/>
      <c r="K91" s="754"/>
      <c r="L91" s="754"/>
      <c r="M91" s="754"/>
      <c r="N91" s="754"/>
      <c r="O91" s="754"/>
      <c r="P91" s="754"/>
      <c r="Q91" s="754"/>
      <c r="R91" s="754"/>
      <c r="S91" s="754"/>
      <c r="T91" s="754"/>
      <c r="U91" s="754"/>
      <c r="V91" s="754"/>
      <c r="W91" s="754"/>
      <c r="X91" s="755"/>
      <c r="Y91" s="756"/>
      <c r="Z91" s="757"/>
    </row>
    <row r="92" spans="1:26" s="616" customFormat="1" ht="13.5" x14ac:dyDescent="0.2">
      <c r="A92" s="677"/>
      <c r="B92" s="683" t="s">
        <v>732</v>
      </c>
      <c r="C92" s="882"/>
      <c r="D92" s="882"/>
      <c r="E92" s="882"/>
      <c r="F92" s="882"/>
      <c r="G92" s="882"/>
      <c r="H92" s="882"/>
      <c r="I92" s="882"/>
      <c r="J92" s="882"/>
      <c r="K92" s="882"/>
      <c r="L92" s="882"/>
      <c r="M92" s="882"/>
      <c r="N92" s="882"/>
      <c r="O92" s="882"/>
      <c r="P92" s="882"/>
      <c r="Q92" s="882"/>
      <c r="R92" s="882"/>
      <c r="S92" s="882"/>
      <c r="T92" s="882"/>
      <c r="U92" s="882"/>
      <c r="V92" s="882"/>
      <c r="W92" s="882"/>
      <c r="X92" s="885"/>
      <c r="Y92" s="896"/>
      <c r="Z92" s="888"/>
    </row>
    <row r="93" spans="1:26" s="616" customFormat="1" ht="13.5" x14ac:dyDescent="0.2">
      <c r="A93" s="677"/>
      <c r="B93" s="683" t="s">
        <v>723</v>
      </c>
      <c r="C93" s="882"/>
      <c r="D93" s="882"/>
      <c r="E93" s="882"/>
      <c r="F93" s="882"/>
      <c r="G93" s="882"/>
      <c r="H93" s="882"/>
      <c r="I93" s="882"/>
      <c r="J93" s="882"/>
      <c r="K93" s="882"/>
      <c r="L93" s="882"/>
      <c r="M93" s="882"/>
      <c r="N93" s="882"/>
      <c r="O93" s="882"/>
      <c r="P93" s="882"/>
      <c r="Q93" s="882"/>
      <c r="R93" s="882"/>
      <c r="S93" s="882"/>
      <c r="T93" s="882"/>
      <c r="U93" s="882"/>
      <c r="V93" s="882"/>
      <c r="W93" s="882"/>
      <c r="X93" s="885"/>
      <c r="Y93" s="896"/>
      <c r="Z93" s="888"/>
    </row>
    <row r="94" spans="1:26" s="616" customFormat="1" ht="13.5" x14ac:dyDescent="0.2">
      <c r="A94" s="677"/>
      <c r="B94" s="683" t="s">
        <v>724</v>
      </c>
      <c r="C94" s="882"/>
      <c r="D94" s="882"/>
      <c r="E94" s="882"/>
      <c r="F94" s="882"/>
      <c r="G94" s="882"/>
      <c r="H94" s="882"/>
      <c r="I94" s="882"/>
      <c r="J94" s="882"/>
      <c r="K94" s="882"/>
      <c r="L94" s="882"/>
      <c r="M94" s="882"/>
      <c r="N94" s="882"/>
      <c r="O94" s="882"/>
      <c r="P94" s="882"/>
      <c r="Q94" s="882"/>
      <c r="R94" s="882"/>
      <c r="S94" s="882"/>
      <c r="T94" s="882"/>
      <c r="U94" s="882"/>
      <c r="V94" s="882"/>
      <c r="W94" s="882"/>
      <c r="X94" s="885"/>
      <c r="Y94" s="896"/>
      <c r="Z94" s="888"/>
    </row>
    <row r="95" spans="1:26" s="616" customFormat="1" ht="13.5" x14ac:dyDescent="0.2">
      <c r="A95" s="677"/>
      <c r="B95" s="683" t="s">
        <v>725</v>
      </c>
      <c r="C95" s="882"/>
      <c r="D95" s="882"/>
      <c r="E95" s="882"/>
      <c r="F95" s="882"/>
      <c r="G95" s="882"/>
      <c r="H95" s="882"/>
      <c r="I95" s="882"/>
      <c r="J95" s="882"/>
      <c r="K95" s="882"/>
      <c r="L95" s="882"/>
      <c r="M95" s="882"/>
      <c r="N95" s="882"/>
      <c r="O95" s="882"/>
      <c r="P95" s="882"/>
      <c r="Q95" s="882"/>
      <c r="R95" s="897"/>
      <c r="S95" s="882"/>
      <c r="T95" s="882"/>
      <c r="U95" s="882"/>
      <c r="V95" s="882"/>
      <c r="W95" s="882"/>
      <c r="X95" s="885"/>
      <c r="Y95" s="896"/>
      <c r="Z95" s="888"/>
    </row>
    <row r="96" spans="1:26" s="616" customFormat="1" ht="13.5" x14ac:dyDescent="0.2">
      <c r="A96" s="677"/>
      <c r="B96" s="683" t="s">
        <v>726</v>
      </c>
      <c r="C96" s="882"/>
      <c r="D96" s="882"/>
      <c r="E96" s="882"/>
      <c r="F96" s="882"/>
      <c r="G96" s="882"/>
      <c r="H96" s="882"/>
      <c r="I96" s="882"/>
      <c r="J96" s="882"/>
      <c r="K96" s="882"/>
      <c r="L96" s="882"/>
      <c r="M96" s="882"/>
      <c r="N96" s="882"/>
      <c r="O96" s="882"/>
      <c r="P96" s="882"/>
      <c r="Q96" s="882"/>
      <c r="R96" s="882"/>
      <c r="S96" s="882"/>
      <c r="T96" s="882"/>
      <c r="U96" s="882"/>
      <c r="V96" s="882"/>
      <c r="W96" s="882"/>
      <c r="X96" s="885"/>
      <c r="Y96" s="896"/>
      <c r="Z96" s="888"/>
    </row>
    <row r="97" spans="1:26" s="616" customFormat="1" ht="13.5" x14ac:dyDescent="0.2">
      <c r="A97" s="677"/>
      <c r="B97" s="683" t="s">
        <v>727</v>
      </c>
      <c r="C97" s="882"/>
      <c r="D97" s="882"/>
      <c r="E97" s="882"/>
      <c r="F97" s="882"/>
      <c r="G97" s="882"/>
      <c r="H97" s="882"/>
      <c r="I97" s="882"/>
      <c r="J97" s="882"/>
      <c r="K97" s="882"/>
      <c r="L97" s="882"/>
      <c r="M97" s="882"/>
      <c r="N97" s="882"/>
      <c r="O97" s="882"/>
      <c r="P97" s="882"/>
      <c r="Q97" s="882"/>
      <c r="R97" s="882"/>
      <c r="S97" s="882"/>
      <c r="T97" s="882"/>
      <c r="U97" s="882"/>
      <c r="V97" s="882"/>
      <c r="W97" s="882"/>
      <c r="X97" s="885"/>
      <c r="Y97" s="896"/>
      <c r="Z97" s="888"/>
    </row>
    <row r="98" spans="1:26" s="616" customFormat="1" ht="13.5" x14ac:dyDescent="0.2">
      <c r="A98" s="677"/>
      <c r="B98" s="683" t="s">
        <v>728</v>
      </c>
      <c r="C98" s="882"/>
      <c r="D98" s="882"/>
      <c r="E98" s="882"/>
      <c r="F98" s="882"/>
      <c r="G98" s="882"/>
      <c r="H98" s="882"/>
      <c r="I98" s="882"/>
      <c r="J98" s="882"/>
      <c r="K98" s="882"/>
      <c r="L98" s="882"/>
      <c r="M98" s="882"/>
      <c r="N98" s="882"/>
      <c r="O98" s="882"/>
      <c r="P98" s="882"/>
      <c r="Q98" s="882"/>
      <c r="R98" s="882"/>
      <c r="S98" s="882"/>
      <c r="T98" s="882"/>
      <c r="U98" s="882"/>
      <c r="V98" s="882"/>
      <c r="W98" s="882"/>
      <c r="X98" s="885"/>
      <c r="Y98" s="896"/>
      <c r="Z98" s="888"/>
    </row>
    <row r="99" spans="1:26" s="616" customFormat="1" ht="13.5" x14ac:dyDescent="0.2">
      <c r="A99" s="677"/>
      <c r="B99" s="683" t="s">
        <v>729</v>
      </c>
      <c r="C99" s="882"/>
      <c r="D99" s="882"/>
      <c r="E99" s="882"/>
      <c r="F99" s="882"/>
      <c r="G99" s="882"/>
      <c r="H99" s="882"/>
      <c r="I99" s="882"/>
      <c r="J99" s="882"/>
      <c r="K99" s="882"/>
      <c r="L99" s="882"/>
      <c r="M99" s="882"/>
      <c r="N99" s="882"/>
      <c r="O99" s="882"/>
      <c r="P99" s="882"/>
      <c r="Q99" s="882"/>
      <c r="R99" s="882"/>
      <c r="S99" s="882"/>
      <c r="T99" s="882"/>
      <c r="U99" s="882"/>
      <c r="V99" s="882"/>
      <c r="W99" s="882"/>
      <c r="X99" s="885"/>
      <c r="Y99" s="896"/>
      <c r="Z99" s="888"/>
    </row>
    <row r="100" spans="1:26" s="616" customFormat="1" ht="13.5" x14ac:dyDescent="0.2">
      <c r="A100" s="677"/>
      <c r="B100" s="683" t="s">
        <v>730</v>
      </c>
      <c r="C100" s="882"/>
      <c r="D100" s="882"/>
      <c r="E100" s="882"/>
      <c r="F100" s="882"/>
      <c r="G100" s="882"/>
      <c r="H100" s="882"/>
      <c r="I100" s="882"/>
      <c r="J100" s="882"/>
      <c r="K100" s="882"/>
      <c r="L100" s="882"/>
      <c r="M100" s="882"/>
      <c r="N100" s="882"/>
      <c r="O100" s="882"/>
      <c r="P100" s="882"/>
      <c r="Q100" s="882"/>
      <c r="R100" s="882"/>
      <c r="S100" s="882"/>
      <c r="T100" s="882"/>
      <c r="U100" s="882"/>
      <c r="V100" s="882"/>
      <c r="W100" s="882"/>
      <c r="X100" s="885"/>
      <c r="Y100" s="896"/>
      <c r="Z100" s="888"/>
    </row>
    <row r="101" spans="1:26" s="616" customFormat="1" ht="13.5" x14ac:dyDescent="0.2">
      <c r="A101" s="677"/>
      <c r="B101" s="683" t="s">
        <v>731</v>
      </c>
      <c r="C101" s="882"/>
      <c r="D101" s="882"/>
      <c r="E101" s="882"/>
      <c r="F101" s="882"/>
      <c r="G101" s="882"/>
      <c r="H101" s="882"/>
      <c r="I101" s="882"/>
      <c r="J101" s="882"/>
      <c r="K101" s="882"/>
      <c r="L101" s="882"/>
      <c r="M101" s="882"/>
      <c r="N101" s="882"/>
      <c r="O101" s="882"/>
      <c r="P101" s="882"/>
      <c r="Q101" s="882"/>
      <c r="R101" s="882"/>
      <c r="S101" s="882"/>
      <c r="T101" s="882"/>
      <c r="U101" s="882"/>
      <c r="V101" s="882"/>
      <c r="W101" s="882"/>
      <c r="X101" s="885"/>
      <c r="Y101" s="896"/>
      <c r="Z101" s="888"/>
    </row>
    <row r="102" spans="1:26" x14ac:dyDescent="0.2">
      <c r="A102" s="682"/>
      <c r="B102" s="700" t="s">
        <v>549</v>
      </c>
      <c r="C102" s="680">
        <f t="shared" ref="C102:X102" si="3">SUM(C40:C43)</f>
        <v>1249</v>
      </c>
      <c r="D102" s="680">
        <f t="shared" si="3"/>
        <v>2124</v>
      </c>
      <c r="E102" s="680">
        <f t="shared" si="3"/>
        <v>6206</v>
      </c>
      <c r="F102" s="680">
        <f t="shared" si="3"/>
        <v>2071</v>
      </c>
      <c r="G102" s="680">
        <f t="shared" si="3"/>
        <v>17785</v>
      </c>
      <c r="H102" s="680">
        <f t="shared" si="3"/>
        <v>2131</v>
      </c>
      <c r="I102" s="680">
        <f t="shared" si="3"/>
        <v>15091</v>
      </c>
      <c r="J102" s="680">
        <f t="shared" si="3"/>
        <v>2701</v>
      </c>
      <c r="K102" s="680">
        <f t="shared" si="3"/>
        <v>2270</v>
      </c>
      <c r="L102" s="680">
        <f t="shared" si="3"/>
        <v>3480</v>
      </c>
      <c r="M102" s="680">
        <f t="shared" si="3"/>
        <v>2777</v>
      </c>
      <c r="N102" s="680">
        <f t="shared" si="3"/>
        <v>2057</v>
      </c>
      <c r="O102" s="680">
        <f t="shared" si="3"/>
        <v>2006</v>
      </c>
      <c r="P102" s="680">
        <f t="shared" si="3"/>
        <v>4410</v>
      </c>
      <c r="Q102" s="680">
        <f t="shared" si="3"/>
        <v>1805</v>
      </c>
      <c r="R102" s="680">
        <f t="shared" si="3"/>
        <v>9078</v>
      </c>
      <c r="S102" s="680">
        <f t="shared" si="3"/>
        <v>1769</v>
      </c>
      <c r="T102" s="680">
        <f t="shared" si="3"/>
        <v>797</v>
      </c>
      <c r="U102" s="680">
        <f t="shared" si="3"/>
        <v>1453</v>
      </c>
      <c r="V102" s="680">
        <f t="shared" si="3"/>
        <v>7399</v>
      </c>
      <c r="W102" s="680">
        <f t="shared" si="3"/>
        <v>384</v>
      </c>
      <c r="X102" s="681">
        <f t="shared" si="3"/>
        <v>749</v>
      </c>
      <c r="Y102" s="681">
        <f t="shared" ref="Y102:Z102" si="4">SUM(Y40:Y43)</f>
        <v>82830</v>
      </c>
      <c r="Z102" s="680">
        <f t="shared" si="4"/>
        <v>503310</v>
      </c>
    </row>
    <row r="103" spans="1:26" x14ac:dyDescent="0.2">
      <c r="A103" s="682"/>
      <c r="B103" s="700" t="s">
        <v>550</v>
      </c>
      <c r="C103" s="680">
        <f>SUM(C40:C44)</f>
        <v>1392</v>
      </c>
      <c r="D103" s="680">
        <f t="shared" ref="D103:X103" si="5">SUM(D40:D44)</f>
        <v>3020</v>
      </c>
      <c r="E103" s="680">
        <f t="shared" si="5"/>
        <v>6680</v>
      </c>
      <c r="F103" s="680">
        <f t="shared" si="5"/>
        <v>3143</v>
      </c>
      <c r="G103" s="680">
        <f t="shared" si="5"/>
        <v>19841</v>
      </c>
      <c r="H103" s="680">
        <f t="shared" si="5"/>
        <v>2691</v>
      </c>
      <c r="I103" s="680">
        <f t="shared" si="5"/>
        <v>16366</v>
      </c>
      <c r="J103" s="680">
        <f t="shared" si="5"/>
        <v>2818</v>
      </c>
      <c r="K103" s="680">
        <f t="shared" si="5"/>
        <v>2517</v>
      </c>
      <c r="L103" s="680">
        <f t="shared" si="5"/>
        <v>6720</v>
      </c>
      <c r="M103" s="680">
        <f t="shared" si="5"/>
        <v>2950</v>
      </c>
      <c r="N103" s="680">
        <f t="shared" si="5"/>
        <v>2945</v>
      </c>
      <c r="O103" s="680">
        <f t="shared" si="5"/>
        <v>2339</v>
      </c>
      <c r="P103" s="680">
        <f t="shared" si="5"/>
        <v>4944</v>
      </c>
      <c r="Q103" s="680">
        <f t="shared" si="5"/>
        <v>2655</v>
      </c>
      <c r="R103" s="680">
        <f t="shared" si="5"/>
        <v>12022</v>
      </c>
      <c r="S103" s="680">
        <f t="shared" si="5"/>
        <v>2994</v>
      </c>
      <c r="T103" s="680">
        <f t="shared" si="5"/>
        <v>977</v>
      </c>
      <c r="U103" s="680">
        <f t="shared" si="5"/>
        <v>1503</v>
      </c>
      <c r="V103" s="680">
        <f t="shared" si="5"/>
        <v>7633</v>
      </c>
      <c r="W103" s="680">
        <f t="shared" si="5"/>
        <v>668</v>
      </c>
      <c r="X103" s="680">
        <f t="shared" si="5"/>
        <v>875</v>
      </c>
      <c r="Y103" s="680">
        <f t="shared" ref="Y103:Z103" si="6">SUM(Y40:Y44)</f>
        <v>98800</v>
      </c>
      <c r="Z103" s="680">
        <f t="shared" si="6"/>
        <v>606880</v>
      </c>
    </row>
  </sheetData>
  <conditionalFormatting sqref="C1:X1">
    <cfRule type="expression" dxfId="294" priority="1">
      <formula>$C1=#REF!</formula>
    </cfRule>
  </conditionalFormatting>
  <conditionalFormatting sqref="D1:X1">
    <cfRule type="expression" dxfId="293" priority="2">
      <formula>SUM(D$3:D$82)=0</formula>
    </cfRule>
    <cfRule type="containsErrors" dxfId="292" priority="3">
      <formula>ISERROR(D1)</formula>
    </cfRule>
  </conditionalFormatting>
  <conditionalFormatting sqref="C1">
    <cfRule type="expression" dxfId="291" priority="4">
      <formula>SUM(C$3:C$79)=0</formula>
    </cfRule>
    <cfRule type="containsErrors" dxfId="290" priority="5">
      <formula>ISERROR(C1)</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0" tint="-4.9989318521683403E-2"/>
  </sheetPr>
  <dimension ref="A1:Z131"/>
  <sheetViews>
    <sheetView zoomScaleNormal="100" workbookViewId="0">
      <pane xSplit="2" ySplit="1" topLeftCell="C24" activePane="bottomRight" state="frozen"/>
      <selection activeCell="W29" sqref="W29"/>
      <selection pane="topRight" activeCell="W29" sqref="W29"/>
      <selection pane="bottomLeft" activeCell="W29" sqref="W29"/>
      <selection pane="bottomRight" activeCell="W29" sqref="W29"/>
    </sheetView>
  </sheetViews>
  <sheetFormatPr defaultRowHeight="12.75" x14ac:dyDescent="0.2"/>
  <cols>
    <col min="1" max="1" width="4.42578125" style="515" customWidth="1"/>
    <col min="2" max="2" width="40.7109375" style="618" bestFit="1" customWidth="1"/>
    <col min="3" max="24" width="5" style="515" customWidth="1"/>
    <col min="25" max="25" width="6" style="923" customWidth="1"/>
    <col min="26" max="26" width="6" style="515" customWidth="1"/>
    <col min="27" max="16384" width="9.140625" style="515"/>
  </cols>
  <sheetData>
    <row r="1" spans="1:26" s="615" customFormat="1" ht="67.5" customHeight="1" x14ac:dyDescent="0.2">
      <c r="A1" s="675" t="s">
        <v>220</v>
      </c>
      <c r="B1" s="676"/>
      <c r="C1" s="671" t="s">
        <v>0</v>
      </c>
      <c r="D1" s="671" t="s">
        <v>32</v>
      </c>
      <c r="E1" s="671" t="s">
        <v>9</v>
      </c>
      <c r="F1" s="671" t="s">
        <v>4</v>
      </c>
      <c r="G1" s="671" t="s">
        <v>6</v>
      </c>
      <c r="H1" s="671" t="s">
        <v>1</v>
      </c>
      <c r="I1" s="671" t="s">
        <v>10</v>
      </c>
      <c r="J1" s="671" t="s">
        <v>2</v>
      </c>
      <c r="K1" s="671" t="s">
        <v>11</v>
      </c>
      <c r="L1" s="671" t="s">
        <v>12</v>
      </c>
      <c r="M1" s="671" t="s">
        <v>13</v>
      </c>
      <c r="N1" s="671" t="s">
        <v>3</v>
      </c>
      <c r="O1" s="671" t="s">
        <v>14</v>
      </c>
      <c r="P1" s="671" t="s">
        <v>93</v>
      </c>
      <c r="Q1" s="671" t="s">
        <v>15</v>
      </c>
      <c r="R1" s="671" t="s">
        <v>7</v>
      </c>
      <c r="S1" s="671" t="s">
        <v>116</v>
      </c>
      <c r="T1" s="671" t="s">
        <v>117</v>
      </c>
      <c r="U1" s="671" t="s">
        <v>16</v>
      </c>
      <c r="V1" s="671" t="s">
        <v>5</v>
      </c>
      <c r="W1" s="671" t="s">
        <v>31</v>
      </c>
      <c r="X1" s="672" t="s">
        <v>17</v>
      </c>
      <c r="Y1" s="673" t="s">
        <v>74</v>
      </c>
      <c r="Z1" s="674" t="s">
        <v>130</v>
      </c>
    </row>
    <row r="2" spans="1:26" s="615" customFormat="1" ht="13.5" x14ac:dyDescent="0.2">
      <c r="A2" s="677">
        <v>1</v>
      </c>
      <c r="B2" s="678" t="s">
        <v>551</v>
      </c>
      <c r="C2" s="882"/>
      <c r="D2" s="882"/>
      <c r="E2" s="882"/>
      <c r="F2" s="882"/>
      <c r="G2" s="882"/>
      <c r="H2" s="882"/>
      <c r="I2" s="882"/>
      <c r="J2" s="882"/>
      <c r="K2" s="882"/>
      <c r="L2" s="882"/>
      <c r="M2" s="882"/>
      <c r="N2" s="882"/>
      <c r="O2" s="882"/>
      <c r="P2" s="882"/>
      <c r="Q2" s="882"/>
      <c r="R2" s="882"/>
      <c r="S2" s="882"/>
      <c r="T2" s="882"/>
      <c r="U2" s="882"/>
      <c r="V2" s="882"/>
      <c r="W2" s="883"/>
      <c r="X2" s="884"/>
      <c r="Y2" s="896"/>
      <c r="Z2" s="888"/>
    </row>
    <row r="3" spans="1:26" s="616" customFormat="1" ht="13.5" x14ac:dyDescent="0.2">
      <c r="A3" s="702">
        <v>2</v>
      </c>
      <c r="B3" s="683" t="s">
        <v>552</v>
      </c>
      <c r="C3" s="889"/>
      <c r="D3" s="889"/>
      <c r="E3" s="889"/>
      <c r="F3" s="889"/>
      <c r="G3" s="889"/>
      <c r="H3" s="889"/>
      <c r="I3" s="889"/>
      <c r="J3" s="889"/>
      <c r="K3" s="889"/>
      <c r="L3" s="889"/>
      <c r="M3" s="889"/>
      <c r="N3" s="889"/>
      <c r="O3" s="889"/>
      <c r="P3" s="889"/>
      <c r="Q3" s="889"/>
      <c r="R3" s="889"/>
      <c r="S3" s="889"/>
      <c r="T3" s="889"/>
      <c r="U3" s="889"/>
      <c r="V3" s="889"/>
      <c r="W3" s="889"/>
      <c r="X3" s="891"/>
      <c r="Y3" s="895"/>
      <c r="Z3" s="890"/>
    </row>
    <row r="4" spans="1:26" s="616" customFormat="1" ht="13.5" x14ac:dyDescent="0.2">
      <c r="A4" s="702">
        <v>3</v>
      </c>
      <c r="B4" s="683" t="s">
        <v>553</v>
      </c>
      <c r="C4" s="889"/>
      <c r="D4" s="889"/>
      <c r="E4" s="889"/>
      <c r="F4" s="889"/>
      <c r="G4" s="889"/>
      <c r="H4" s="889"/>
      <c r="I4" s="889"/>
      <c r="J4" s="889"/>
      <c r="K4" s="889"/>
      <c r="L4" s="889"/>
      <c r="M4" s="889"/>
      <c r="N4" s="889"/>
      <c r="O4" s="889"/>
      <c r="P4" s="889"/>
      <c r="Q4" s="889"/>
      <c r="R4" s="889"/>
      <c r="S4" s="889"/>
      <c r="T4" s="889"/>
      <c r="U4" s="889"/>
      <c r="V4" s="889"/>
      <c r="W4" s="889"/>
      <c r="X4" s="891"/>
      <c r="Y4" s="895"/>
      <c r="Z4" s="890"/>
    </row>
    <row r="5" spans="1:26" s="616" customFormat="1" ht="13.5" x14ac:dyDescent="0.2">
      <c r="A5" s="702">
        <v>4</v>
      </c>
      <c r="B5" s="683" t="s">
        <v>554</v>
      </c>
      <c r="C5" s="889"/>
      <c r="D5" s="889"/>
      <c r="E5" s="889"/>
      <c r="F5" s="889"/>
      <c r="G5" s="889"/>
      <c r="H5" s="889"/>
      <c r="I5" s="889"/>
      <c r="J5" s="889"/>
      <c r="K5" s="889"/>
      <c r="L5" s="889"/>
      <c r="M5" s="889"/>
      <c r="N5" s="889"/>
      <c r="O5" s="889"/>
      <c r="P5" s="889"/>
      <c r="Q5" s="889"/>
      <c r="R5" s="889"/>
      <c r="S5" s="889"/>
      <c r="T5" s="889"/>
      <c r="U5" s="889"/>
      <c r="V5" s="889"/>
      <c r="W5" s="889"/>
      <c r="X5" s="891"/>
      <c r="Y5" s="895"/>
      <c r="Z5" s="890"/>
    </row>
    <row r="6" spans="1:26" s="616" customFormat="1" ht="13.5" x14ac:dyDescent="0.2">
      <c r="A6" s="702">
        <v>5</v>
      </c>
      <c r="B6" s="683" t="s">
        <v>555</v>
      </c>
      <c r="C6" s="889"/>
      <c r="D6" s="889"/>
      <c r="E6" s="889"/>
      <c r="F6" s="889"/>
      <c r="G6" s="889"/>
      <c r="H6" s="889"/>
      <c r="I6" s="889"/>
      <c r="J6" s="889"/>
      <c r="K6" s="889"/>
      <c r="L6" s="889"/>
      <c r="M6" s="889"/>
      <c r="N6" s="892"/>
      <c r="O6" s="889"/>
      <c r="P6" s="889"/>
      <c r="Q6" s="889"/>
      <c r="R6" s="889"/>
      <c r="S6" s="889"/>
      <c r="T6" s="889"/>
      <c r="U6" s="893"/>
      <c r="V6" s="889"/>
      <c r="W6" s="889"/>
      <c r="X6" s="891"/>
      <c r="Y6" s="895"/>
      <c r="Z6" s="890"/>
    </row>
    <row r="7" spans="1:26" s="616" customFormat="1" ht="13.5" x14ac:dyDescent="0.2">
      <c r="A7" s="702">
        <v>6</v>
      </c>
      <c r="B7" s="683" t="s">
        <v>556</v>
      </c>
      <c r="C7" s="889"/>
      <c r="D7" s="889"/>
      <c r="E7" s="889"/>
      <c r="F7" s="889"/>
      <c r="G7" s="889"/>
      <c r="H7" s="889"/>
      <c r="I7" s="889"/>
      <c r="J7" s="889"/>
      <c r="K7" s="889"/>
      <c r="L7" s="889"/>
      <c r="M7" s="889"/>
      <c r="N7" s="892"/>
      <c r="O7" s="889"/>
      <c r="P7" s="889"/>
      <c r="Q7" s="889"/>
      <c r="R7" s="889"/>
      <c r="S7" s="889"/>
      <c r="T7" s="889"/>
      <c r="U7" s="893"/>
      <c r="V7" s="889"/>
      <c r="W7" s="889"/>
      <c r="X7" s="891"/>
      <c r="Y7" s="895"/>
      <c r="Z7" s="890"/>
    </row>
    <row r="8" spans="1:26" s="616" customFormat="1" ht="22.5" x14ac:dyDescent="0.2">
      <c r="A8" s="702">
        <v>7</v>
      </c>
      <c r="B8" s="687" t="s">
        <v>275</v>
      </c>
      <c r="C8" s="687"/>
      <c r="D8" s="687"/>
      <c r="E8" s="687"/>
      <c r="F8" s="687"/>
      <c r="G8" s="687"/>
      <c r="H8" s="687"/>
      <c r="I8" s="687"/>
      <c r="J8" s="687"/>
      <c r="K8" s="687"/>
      <c r="L8" s="687"/>
      <c r="M8" s="687"/>
      <c r="N8" s="687"/>
      <c r="O8" s="687"/>
      <c r="P8" s="687"/>
      <c r="Q8" s="687"/>
      <c r="R8" s="687"/>
      <c r="S8" s="687"/>
      <c r="T8" s="687"/>
      <c r="U8" s="687"/>
      <c r="V8" s="687"/>
      <c r="W8" s="687"/>
      <c r="X8" s="687"/>
      <c r="Y8" s="706"/>
      <c r="Z8" s="705"/>
    </row>
    <row r="9" spans="1:26" s="616" customFormat="1" ht="13.5" x14ac:dyDescent="0.2">
      <c r="A9" s="898"/>
      <c r="B9" s="683" t="s">
        <v>557</v>
      </c>
      <c r="C9" s="889"/>
      <c r="D9" s="889"/>
      <c r="E9" s="889"/>
      <c r="F9" s="889"/>
      <c r="G9" s="889"/>
      <c r="H9" s="889"/>
      <c r="I9" s="889"/>
      <c r="J9" s="889"/>
      <c r="K9" s="889"/>
      <c r="L9" s="889"/>
      <c r="M9" s="889"/>
      <c r="N9" s="892"/>
      <c r="O9" s="889"/>
      <c r="P9" s="889"/>
      <c r="Q9" s="889"/>
      <c r="R9" s="889"/>
      <c r="S9" s="889"/>
      <c r="T9" s="889"/>
      <c r="U9" s="893"/>
      <c r="V9" s="889"/>
      <c r="W9" s="889"/>
      <c r="X9" s="891"/>
      <c r="Y9" s="895"/>
      <c r="Z9" s="890"/>
    </row>
    <row r="10" spans="1:26" s="616" customFormat="1" x14ac:dyDescent="0.2">
      <c r="A10" s="899"/>
      <c r="B10" s="688" t="s">
        <v>558</v>
      </c>
      <c r="C10" s="889"/>
      <c r="D10" s="889"/>
      <c r="E10" s="889"/>
      <c r="F10" s="889"/>
      <c r="G10" s="889"/>
      <c r="H10" s="889"/>
      <c r="I10" s="889"/>
      <c r="J10" s="889"/>
      <c r="K10" s="889"/>
      <c r="L10" s="889"/>
      <c r="M10" s="889"/>
      <c r="N10" s="892"/>
      <c r="O10" s="889"/>
      <c r="P10" s="889"/>
      <c r="Q10" s="889"/>
      <c r="R10" s="889"/>
      <c r="S10" s="889"/>
      <c r="T10" s="889"/>
      <c r="U10" s="893"/>
      <c r="V10" s="889"/>
      <c r="W10" s="889"/>
      <c r="X10" s="891"/>
      <c r="Y10" s="895"/>
      <c r="Z10" s="890"/>
    </row>
    <row r="11" spans="1:26" s="616" customFormat="1" ht="13.5" x14ac:dyDescent="0.2">
      <c r="A11" s="702">
        <v>8</v>
      </c>
      <c r="B11" s="683" t="s">
        <v>559</v>
      </c>
      <c r="C11" s="889"/>
      <c r="D11" s="889"/>
      <c r="E11" s="889"/>
      <c r="F11" s="889"/>
      <c r="G11" s="889"/>
      <c r="H11" s="889"/>
      <c r="I11" s="889"/>
      <c r="J11" s="889"/>
      <c r="K11" s="889"/>
      <c r="L11" s="889"/>
      <c r="M11" s="889"/>
      <c r="N11" s="892"/>
      <c r="O11" s="889"/>
      <c r="P11" s="889"/>
      <c r="Q11" s="889"/>
      <c r="R11" s="889"/>
      <c r="S11" s="889"/>
      <c r="T11" s="889"/>
      <c r="U11" s="893"/>
      <c r="V11" s="889"/>
      <c r="W11" s="889"/>
      <c r="X11" s="891"/>
      <c r="Y11" s="895"/>
      <c r="Z11" s="890"/>
    </row>
    <row r="12" spans="1:26" s="616" customFormat="1" ht="13.5" x14ac:dyDescent="0.2">
      <c r="A12" s="702">
        <v>9</v>
      </c>
      <c r="B12" s="683" t="s">
        <v>560</v>
      </c>
      <c r="C12" s="679">
        <v>1819</v>
      </c>
      <c r="D12" s="679">
        <v>3344</v>
      </c>
      <c r="E12" s="679">
        <v>10337</v>
      </c>
      <c r="F12" s="679">
        <v>4367</v>
      </c>
      <c r="G12" s="679">
        <v>16115</v>
      </c>
      <c r="H12" s="679">
        <v>2212</v>
      </c>
      <c r="I12" s="679">
        <v>19373</v>
      </c>
      <c r="J12" s="679">
        <v>2612</v>
      </c>
      <c r="K12" s="679">
        <v>2359</v>
      </c>
      <c r="L12" s="679">
        <v>6814</v>
      </c>
      <c r="M12" s="679">
        <v>2845</v>
      </c>
      <c r="N12" s="679">
        <v>2628</v>
      </c>
      <c r="O12" s="679">
        <v>1591</v>
      </c>
      <c r="P12" s="679">
        <v>5165</v>
      </c>
      <c r="Q12" s="679">
        <v>2613</v>
      </c>
      <c r="R12" s="679">
        <v>13626</v>
      </c>
      <c r="S12" s="679">
        <v>3627</v>
      </c>
      <c r="T12" s="679">
        <v>1805</v>
      </c>
      <c r="U12" s="679">
        <v>1512</v>
      </c>
      <c r="V12" s="679">
        <v>9995</v>
      </c>
      <c r="W12" s="679">
        <v>1061</v>
      </c>
      <c r="X12" s="684">
        <v>1371</v>
      </c>
      <c r="Y12" s="617">
        <v>106590</v>
      </c>
      <c r="Z12" s="680">
        <v>655630</v>
      </c>
    </row>
    <row r="13" spans="1:26" s="616" customFormat="1" ht="13.5" x14ac:dyDescent="0.2">
      <c r="A13" s="702">
        <v>10</v>
      </c>
      <c r="B13" s="683" t="s">
        <v>561</v>
      </c>
      <c r="C13" s="889"/>
      <c r="D13" s="889"/>
      <c r="E13" s="889"/>
      <c r="F13" s="889"/>
      <c r="G13" s="889"/>
      <c r="H13" s="889"/>
      <c r="I13" s="889"/>
      <c r="J13" s="889"/>
      <c r="K13" s="889"/>
      <c r="L13" s="889"/>
      <c r="M13" s="889"/>
      <c r="N13" s="889"/>
      <c r="O13" s="889"/>
      <c r="P13" s="889"/>
      <c r="Q13" s="889"/>
      <c r="R13" s="889"/>
      <c r="S13" s="889"/>
      <c r="T13" s="889"/>
      <c r="U13" s="889"/>
      <c r="V13" s="889"/>
      <c r="W13" s="889"/>
      <c r="X13" s="891"/>
      <c r="Y13" s="895"/>
      <c r="Z13" s="890"/>
    </row>
    <row r="14" spans="1:26" s="616" customFormat="1" ht="13.5" x14ac:dyDescent="0.2">
      <c r="A14" s="702">
        <v>11</v>
      </c>
      <c r="B14" s="683" t="s">
        <v>562</v>
      </c>
      <c r="C14" s="679">
        <v>1688</v>
      </c>
      <c r="D14" s="679">
        <v>3039</v>
      </c>
      <c r="E14" s="679">
        <v>7660</v>
      </c>
      <c r="F14" s="679">
        <v>4286</v>
      </c>
      <c r="G14" s="679">
        <v>13472</v>
      </c>
      <c r="H14" s="679">
        <v>1783</v>
      </c>
      <c r="I14" s="679">
        <v>19225</v>
      </c>
      <c r="J14" s="679">
        <v>2417</v>
      </c>
      <c r="K14" s="679">
        <v>1926</v>
      </c>
      <c r="L14" s="679">
        <v>5413</v>
      </c>
      <c r="M14" s="679">
        <v>2792</v>
      </c>
      <c r="N14" s="679">
        <v>2597</v>
      </c>
      <c r="O14" s="679">
        <v>1579</v>
      </c>
      <c r="P14" s="679">
        <v>5047</v>
      </c>
      <c r="Q14" s="679">
        <v>2601</v>
      </c>
      <c r="R14" s="679">
        <v>13529</v>
      </c>
      <c r="S14" s="679">
        <v>3351</v>
      </c>
      <c r="T14" s="679">
        <v>1587</v>
      </c>
      <c r="U14" s="679">
        <v>1512</v>
      </c>
      <c r="V14" s="679">
        <v>9995</v>
      </c>
      <c r="W14" s="679">
        <v>910</v>
      </c>
      <c r="X14" s="684">
        <v>1322</v>
      </c>
      <c r="Y14" s="617">
        <v>97740</v>
      </c>
      <c r="Z14" s="680">
        <v>593940</v>
      </c>
    </row>
    <row r="15" spans="1:26" s="616" customFormat="1" ht="13.5" x14ac:dyDescent="0.2">
      <c r="A15" s="702">
        <v>12</v>
      </c>
      <c r="B15" s="687" t="s">
        <v>282</v>
      </c>
      <c r="C15" s="687"/>
      <c r="D15" s="687"/>
      <c r="E15" s="687"/>
      <c r="F15" s="687"/>
      <c r="G15" s="687"/>
      <c r="H15" s="687"/>
      <c r="I15" s="687"/>
      <c r="J15" s="687"/>
      <c r="K15" s="687"/>
      <c r="L15" s="687"/>
      <c r="M15" s="687"/>
      <c r="N15" s="687"/>
      <c r="O15" s="687"/>
      <c r="P15" s="687"/>
      <c r="Q15" s="687"/>
      <c r="R15" s="687"/>
      <c r="S15" s="687"/>
      <c r="T15" s="687"/>
      <c r="U15" s="687"/>
      <c r="V15" s="687"/>
      <c r="W15" s="687"/>
      <c r="X15" s="687"/>
      <c r="Y15" s="706"/>
      <c r="Z15" s="705"/>
    </row>
    <row r="16" spans="1:26" s="616" customFormat="1" ht="13.5" x14ac:dyDescent="0.2">
      <c r="A16" s="703"/>
      <c r="B16" s="689" t="s">
        <v>563</v>
      </c>
      <c r="C16" s="686">
        <v>117</v>
      </c>
      <c r="D16" s="679">
        <v>155</v>
      </c>
      <c r="E16" s="679">
        <v>751</v>
      </c>
      <c r="F16" s="679">
        <v>415</v>
      </c>
      <c r="G16" s="679">
        <v>1837</v>
      </c>
      <c r="H16" s="679">
        <v>215</v>
      </c>
      <c r="I16" s="679">
        <v>2168</v>
      </c>
      <c r="J16" s="679">
        <v>247</v>
      </c>
      <c r="K16" s="679">
        <v>214</v>
      </c>
      <c r="L16" s="679">
        <v>383</v>
      </c>
      <c r="M16" s="679">
        <v>246</v>
      </c>
      <c r="N16" s="679">
        <v>168</v>
      </c>
      <c r="O16" s="679">
        <v>110</v>
      </c>
      <c r="P16" s="679">
        <v>641</v>
      </c>
      <c r="Q16" s="679">
        <v>99</v>
      </c>
      <c r="R16" s="679">
        <v>654</v>
      </c>
      <c r="S16" s="679">
        <v>319</v>
      </c>
      <c r="T16" s="679">
        <v>141</v>
      </c>
      <c r="U16" s="679">
        <v>139</v>
      </c>
      <c r="V16" s="679">
        <v>919</v>
      </c>
      <c r="W16" s="679">
        <v>147</v>
      </c>
      <c r="X16" s="684">
        <v>121</v>
      </c>
      <c r="Y16" s="617">
        <v>9110</v>
      </c>
      <c r="Z16" s="680">
        <v>52870</v>
      </c>
    </row>
    <row r="17" spans="1:26" s="616" customFormat="1" ht="13.5" x14ac:dyDescent="0.2">
      <c r="A17" s="703"/>
      <c r="B17" s="689" t="s">
        <v>564</v>
      </c>
      <c r="C17" s="893"/>
      <c r="D17" s="889"/>
      <c r="E17" s="889"/>
      <c r="F17" s="889"/>
      <c r="G17" s="889"/>
      <c r="H17" s="889"/>
      <c r="I17" s="889"/>
      <c r="J17" s="889"/>
      <c r="K17" s="889"/>
      <c r="L17" s="889"/>
      <c r="M17" s="889"/>
      <c r="N17" s="889"/>
      <c r="O17" s="889"/>
      <c r="P17" s="889"/>
      <c r="Q17" s="889"/>
      <c r="R17" s="889"/>
      <c r="S17" s="889"/>
      <c r="T17" s="889"/>
      <c r="U17" s="889"/>
      <c r="V17" s="889"/>
      <c r="W17" s="889"/>
      <c r="X17" s="891"/>
      <c r="Y17" s="895"/>
      <c r="Z17" s="890"/>
    </row>
    <row r="18" spans="1:26" s="616" customFormat="1" ht="13.5" x14ac:dyDescent="0.2">
      <c r="A18" s="703"/>
      <c r="B18" s="689" t="s">
        <v>565</v>
      </c>
      <c r="C18" s="893"/>
      <c r="D18" s="889"/>
      <c r="E18" s="889"/>
      <c r="F18" s="889"/>
      <c r="G18" s="889"/>
      <c r="H18" s="889"/>
      <c r="I18" s="889"/>
      <c r="J18" s="889"/>
      <c r="K18" s="889"/>
      <c r="L18" s="889"/>
      <c r="M18" s="889"/>
      <c r="N18" s="889"/>
      <c r="O18" s="889"/>
      <c r="P18" s="889"/>
      <c r="Q18" s="889"/>
      <c r="R18" s="889"/>
      <c r="S18" s="889"/>
      <c r="T18" s="889"/>
      <c r="U18" s="889"/>
      <c r="V18" s="889"/>
      <c r="W18" s="889"/>
      <c r="X18" s="891"/>
      <c r="Y18" s="895"/>
      <c r="Z18" s="890"/>
    </row>
    <row r="19" spans="1:26" s="616" customFormat="1" ht="13.5" x14ac:dyDescent="0.2">
      <c r="A19" s="703"/>
      <c r="B19" s="689" t="s">
        <v>566</v>
      </c>
      <c r="C19" s="893"/>
      <c r="D19" s="889"/>
      <c r="E19" s="889"/>
      <c r="F19" s="889"/>
      <c r="G19" s="889"/>
      <c r="H19" s="889"/>
      <c r="I19" s="889"/>
      <c r="J19" s="889"/>
      <c r="K19" s="889"/>
      <c r="L19" s="889"/>
      <c r="M19" s="889"/>
      <c r="N19" s="889"/>
      <c r="O19" s="889"/>
      <c r="P19" s="889"/>
      <c r="Q19" s="889"/>
      <c r="R19" s="889"/>
      <c r="S19" s="889"/>
      <c r="T19" s="889"/>
      <c r="U19" s="889"/>
      <c r="V19" s="889"/>
      <c r="W19" s="889"/>
      <c r="X19" s="891"/>
      <c r="Y19" s="895"/>
      <c r="Z19" s="890"/>
    </row>
    <row r="20" spans="1:26" s="616" customFormat="1" ht="13.5" x14ac:dyDescent="0.2">
      <c r="A20" s="703"/>
      <c r="B20" s="689" t="s">
        <v>567</v>
      </c>
      <c r="C20" s="686">
        <v>497</v>
      </c>
      <c r="D20" s="679">
        <v>560</v>
      </c>
      <c r="E20" s="679">
        <v>2000</v>
      </c>
      <c r="F20" s="679">
        <v>824</v>
      </c>
      <c r="G20" s="679">
        <v>3772</v>
      </c>
      <c r="H20" s="679">
        <v>667</v>
      </c>
      <c r="I20" s="679">
        <v>3172</v>
      </c>
      <c r="J20" s="679">
        <v>519</v>
      </c>
      <c r="K20" s="679">
        <v>441</v>
      </c>
      <c r="L20" s="679">
        <v>861</v>
      </c>
      <c r="M20" s="679">
        <v>517</v>
      </c>
      <c r="N20" s="685">
        <v>444</v>
      </c>
      <c r="O20" s="679">
        <v>266</v>
      </c>
      <c r="P20" s="679">
        <v>669</v>
      </c>
      <c r="Q20" s="679">
        <v>552</v>
      </c>
      <c r="R20" s="679">
        <v>2652</v>
      </c>
      <c r="S20" s="679">
        <v>724</v>
      </c>
      <c r="T20" s="679">
        <v>382</v>
      </c>
      <c r="U20" s="686">
        <v>296</v>
      </c>
      <c r="V20" s="679">
        <v>1877</v>
      </c>
      <c r="W20" s="679">
        <v>97</v>
      </c>
      <c r="X20" s="684">
        <v>208</v>
      </c>
      <c r="Y20" s="617">
        <v>20220</v>
      </c>
      <c r="Z20" s="680">
        <v>119030</v>
      </c>
    </row>
    <row r="21" spans="1:26" s="616" customFormat="1" ht="13.5" x14ac:dyDescent="0.2">
      <c r="A21" s="703"/>
      <c r="B21" s="689" t="s">
        <v>568</v>
      </c>
      <c r="C21" s="686">
        <v>39</v>
      </c>
      <c r="D21" s="679">
        <v>62</v>
      </c>
      <c r="E21" s="679">
        <v>51</v>
      </c>
      <c r="F21" s="679">
        <v>67</v>
      </c>
      <c r="G21" s="679">
        <v>0</v>
      </c>
      <c r="H21" s="679">
        <v>0</v>
      </c>
      <c r="I21" s="679">
        <v>133</v>
      </c>
      <c r="J21" s="679">
        <v>35</v>
      </c>
      <c r="K21" s="679">
        <v>27</v>
      </c>
      <c r="L21" s="679">
        <v>35</v>
      </c>
      <c r="M21" s="679">
        <v>15</v>
      </c>
      <c r="N21" s="685">
        <v>38</v>
      </c>
      <c r="O21" s="679">
        <v>12</v>
      </c>
      <c r="P21" s="679">
        <v>67</v>
      </c>
      <c r="Q21" s="679">
        <v>7</v>
      </c>
      <c r="R21" s="679">
        <v>106</v>
      </c>
      <c r="S21" s="679">
        <v>6</v>
      </c>
      <c r="T21" s="679">
        <v>0</v>
      </c>
      <c r="U21" s="686">
        <v>33</v>
      </c>
      <c r="V21" s="679">
        <v>0</v>
      </c>
      <c r="W21" s="679">
        <v>0</v>
      </c>
      <c r="X21" s="684" t="s">
        <v>73</v>
      </c>
      <c r="Y21" s="617">
        <v>670</v>
      </c>
      <c r="Z21" s="680">
        <v>13150</v>
      </c>
    </row>
    <row r="22" spans="1:26" s="616" customFormat="1" ht="13.5" x14ac:dyDescent="0.2">
      <c r="A22" s="703"/>
      <c r="B22" s="689" t="s">
        <v>569</v>
      </c>
      <c r="C22" s="686">
        <v>136</v>
      </c>
      <c r="D22" s="679">
        <v>370</v>
      </c>
      <c r="E22" s="679">
        <v>1708</v>
      </c>
      <c r="F22" s="679">
        <v>445</v>
      </c>
      <c r="G22" s="679">
        <v>2167</v>
      </c>
      <c r="H22" s="679">
        <v>283</v>
      </c>
      <c r="I22" s="679">
        <v>2375</v>
      </c>
      <c r="J22" s="679">
        <v>316</v>
      </c>
      <c r="K22" s="679">
        <v>298</v>
      </c>
      <c r="L22" s="679">
        <v>621</v>
      </c>
      <c r="M22" s="679">
        <v>437</v>
      </c>
      <c r="N22" s="685">
        <v>397</v>
      </c>
      <c r="O22" s="679">
        <v>200</v>
      </c>
      <c r="P22" s="679">
        <v>806</v>
      </c>
      <c r="Q22" s="679">
        <v>342</v>
      </c>
      <c r="R22" s="679">
        <v>1778</v>
      </c>
      <c r="S22" s="679">
        <v>460</v>
      </c>
      <c r="T22" s="679">
        <v>261</v>
      </c>
      <c r="U22" s="686">
        <v>187</v>
      </c>
      <c r="V22" s="679">
        <v>1083</v>
      </c>
      <c r="W22" s="679">
        <v>133</v>
      </c>
      <c r="X22" s="684">
        <v>175</v>
      </c>
      <c r="Y22" s="617">
        <v>13450</v>
      </c>
      <c r="Z22" s="680">
        <v>96780</v>
      </c>
    </row>
    <row r="23" spans="1:26" s="616" customFormat="1" ht="13.5" x14ac:dyDescent="0.2">
      <c r="A23" s="703"/>
      <c r="B23" s="689" t="s">
        <v>570</v>
      </c>
      <c r="C23" s="893"/>
      <c r="D23" s="889"/>
      <c r="E23" s="889"/>
      <c r="F23" s="889"/>
      <c r="G23" s="889"/>
      <c r="H23" s="889"/>
      <c r="I23" s="889"/>
      <c r="J23" s="889"/>
      <c r="K23" s="889"/>
      <c r="L23" s="889"/>
      <c r="M23" s="889"/>
      <c r="N23" s="892"/>
      <c r="O23" s="889"/>
      <c r="P23" s="889"/>
      <c r="Q23" s="889"/>
      <c r="R23" s="889"/>
      <c r="S23" s="889"/>
      <c r="T23" s="889"/>
      <c r="U23" s="893"/>
      <c r="V23" s="889"/>
      <c r="W23" s="889"/>
      <c r="X23" s="891"/>
      <c r="Y23" s="895"/>
      <c r="Z23" s="890"/>
    </row>
    <row r="24" spans="1:26" s="616" customFormat="1" ht="13.5" x14ac:dyDescent="0.2">
      <c r="A24" s="703"/>
      <c r="B24" s="689" t="s">
        <v>571</v>
      </c>
      <c r="C24" s="893"/>
      <c r="D24" s="889"/>
      <c r="E24" s="889"/>
      <c r="F24" s="889"/>
      <c r="G24" s="889"/>
      <c r="H24" s="889"/>
      <c r="I24" s="889"/>
      <c r="J24" s="889"/>
      <c r="K24" s="889"/>
      <c r="L24" s="889"/>
      <c r="M24" s="889"/>
      <c r="N24" s="892"/>
      <c r="O24" s="889"/>
      <c r="P24" s="889"/>
      <c r="Q24" s="889"/>
      <c r="R24" s="889"/>
      <c r="S24" s="889"/>
      <c r="T24" s="889"/>
      <c r="U24" s="893"/>
      <c r="V24" s="889"/>
      <c r="W24" s="889"/>
      <c r="X24" s="891"/>
      <c r="Y24" s="895"/>
      <c r="Z24" s="890"/>
    </row>
    <row r="25" spans="1:26" s="616" customFormat="1" ht="13.5" x14ac:dyDescent="0.2">
      <c r="A25" s="703"/>
      <c r="B25" s="689" t="s">
        <v>572</v>
      </c>
      <c r="C25" s="893"/>
      <c r="D25" s="889"/>
      <c r="E25" s="889"/>
      <c r="F25" s="889"/>
      <c r="G25" s="889"/>
      <c r="H25" s="889"/>
      <c r="I25" s="889"/>
      <c r="J25" s="889"/>
      <c r="K25" s="889"/>
      <c r="L25" s="889"/>
      <c r="M25" s="889"/>
      <c r="N25" s="892"/>
      <c r="O25" s="889"/>
      <c r="P25" s="889"/>
      <c r="Q25" s="889"/>
      <c r="R25" s="889"/>
      <c r="S25" s="889"/>
      <c r="T25" s="889"/>
      <c r="U25" s="893"/>
      <c r="V25" s="889"/>
      <c r="W25" s="889"/>
      <c r="X25" s="891"/>
      <c r="Y25" s="895"/>
      <c r="Z25" s="890"/>
    </row>
    <row r="26" spans="1:26" s="616" customFormat="1" ht="13.5" x14ac:dyDescent="0.2">
      <c r="A26" s="703"/>
      <c r="B26" s="689" t="s">
        <v>573</v>
      </c>
      <c r="C26" s="893"/>
      <c r="D26" s="889"/>
      <c r="E26" s="889"/>
      <c r="F26" s="889"/>
      <c r="G26" s="889"/>
      <c r="H26" s="889"/>
      <c r="I26" s="889"/>
      <c r="J26" s="889"/>
      <c r="K26" s="889"/>
      <c r="L26" s="889"/>
      <c r="M26" s="889"/>
      <c r="N26" s="892"/>
      <c r="O26" s="889"/>
      <c r="P26" s="889"/>
      <c r="Q26" s="889"/>
      <c r="R26" s="889"/>
      <c r="S26" s="889"/>
      <c r="T26" s="889"/>
      <c r="U26" s="891"/>
      <c r="V26" s="889"/>
      <c r="W26" s="889"/>
      <c r="X26" s="891"/>
      <c r="Y26" s="895"/>
      <c r="Z26" s="890"/>
    </row>
    <row r="27" spans="1:26" s="616" customFormat="1" ht="13.5" x14ac:dyDescent="0.2">
      <c r="A27" s="703"/>
      <c r="B27" s="689" t="s">
        <v>574</v>
      </c>
      <c r="C27" s="893"/>
      <c r="D27" s="889"/>
      <c r="E27" s="889"/>
      <c r="F27" s="889"/>
      <c r="G27" s="889"/>
      <c r="H27" s="889"/>
      <c r="I27" s="889"/>
      <c r="J27" s="889"/>
      <c r="K27" s="889"/>
      <c r="L27" s="889"/>
      <c r="M27" s="889"/>
      <c r="N27" s="892"/>
      <c r="O27" s="889"/>
      <c r="P27" s="889"/>
      <c r="Q27" s="889"/>
      <c r="R27" s="889"/>
      <c r="S27" s="889"/>
      <c r="T27" s="889"/>
      <c r="U27" s="893"/>
      <c r="V27" s="889"/>
      <c r="W27" s="889"/>
      <c r="X27" s="891"/>
      <c r="Y27" s="895"/>
      <c r="Z27" s="890"/>
    </row>
    <row r="28" spans="1:26" s="616" customFormat="1" ht="13.5" x14ac:dyDescent="0.2">
      <c r="A28" s="703"/>
      <c r="B28" s="689" t="s">
        <v>575</v>
      </c>
      <c r="C28" s="686">
        <v>24</v>
      </c>
      <c r="D28" s="679">
        <v>55</v>
      </c>
      <c r="E28" s="679">
        <v>88</v>
      </c>
      <c r="F28" s="679">
        <v>40</v>
      </c>
      <c r="G28" s="679">
        <v>170</v>
      </c>
      <c r="H28" s="679">
        <v>33</v>
      </c>
      <c r="I28" s="679">
        <v>406</v>
      </c>
      <c r="J28" s="679">
        <v>64</v>
      </c>
      <c r="K28" s="679" t="s">
        <v>73</v>
      </c>
      <c r="L28" s="679">
        <v>35</v>
      </c>
      <c r="M28" s="679">
        <v>85</v>
      </c>
      <c r="N28" s="685">
        <v>66</v>
      </c>
      <c r="O28" s="679" t="s">
        <v>73</v>
      </c>
      <c r="P28" s="679">
        <v>28</v>
      </c>
      <c r="Q28" s="679">
        <v>37</v>
      </c>
      <c r="R28" s="679">
        <v>126</v>
      </c>
      <c r="S28" s="679">
        <v>46</v>
      </c>
      <c r="T28" s="679">
        <v>9</v>
      </c>
      <c r="U28" s="686">
        <v>28</v>
      </c>
      <c r="V28" s="679">
        <v>182</v>
      </c>
      <c r="W28" s="679">
        <v>7</v>
      </c>
      <c r="X28" s="684">
        <v>10</v>
      </c>
      <c r="Y28" s="617">
        <v>1480</v>
      </c>
      <c r="Z28" s="680">
        <v>9440</v>
      </c>
    </row>
    <row r="29" spans="1:26" s="616" customFormat="1" ht="13.5" x14ac:dyDescent="0.2">
      <c r="A29" s="703"/>
      <c r="B29" s="689" t="s">
        <v>576</v>
      </c>
      <c r="C29" s="686">
        <v>372</v>
      </c>
      <c r="D29" s="679">
        <v>531</v>
      </c>
      <c r="E29" s="679">
        <v>995</v>
      </c>
      <c r="F29" s="679">
        <v>771</v>
      </c>
      <c r="G29" s="679">
        <v>1608</v>
      </c>
      <c r="H29" s="679">
        <v>265</v>
      </c>
      <c r="I29" s="679">
        <v>2198</v>
      </c>
      <c r="J29" s="679">
        <v>349</v>
      </c>
      <c r="K29" s="679">
        <v>406</v>
      </c>
      <c r="L29" s="679">
        <v>492</v>
      </c>
      <c r="M29" s="679">
        <v>353</v>
      </c>
      <c r="N29" s="685">
        <v>279</v>
      </c>
      <c r="O29" s="679">
        <v>368</v>
      </c>
      <c r="P29" s="679">
        <v>565</v>
      </c>
      <c r="Q29" s="679">
        <v>482</v>
      </c>
      <c r="R29" s="679">
        <v>1746</v>
      </c>
      <c r="S29" s="679">
        <v>250</v>
      </c>
      <c r="T29" s="679">
        <v>278</v>
      </c>
      <c r="U29" s="686">
        <v>254</v>
      </c>
      <c r="V29" s="679">
        <v>1819</v>
      </c>
      <c r="W29" s="679">
        <v>105</v>
      </c>
      <c r="X29" s="684">
        <v>141</v>
      </c>
      <c r="Y29" s="617">
        <v>13530</v>
      </c>
      <c r="Z29" s="680">
        <v>89360</v>
      </c>
    </row>
    <row r="30" spans="1:26" s="616" customFormat="1" ht="13.5" x14ac:dyDescent="0.2">
      <c r="A30" s="703"/>
      <c r="B30" s="689" t="s">
        <v>577</v>
      </c>
      <c r="C30" s="893"/>
      <c r="D30" s="889"/>
      <c r="E30" s="889"/>
      <c r="F30" s="889"/>
      <c r="G30" s="889"/>
      <c r="H30" s="889"/>
      <c r="I30" s="889"/>
      <c r="J30" s="889"/>
      <c r="K30" s="889"/>
      <c r="L30" s="889"/>
      <c r="M30" s="889"/>
      <c r="N30" s="892"/>
      <c r="O30" s="889"/>
      <c r="P30" s="889"/>
      <c r="Q30" s="889"/>
      <c r="R30" s="889"/>
      <c r="S30" s="889"/>
      <c r="T30" s="889"/>
      <c r="U30" s="893"/>
      <c r="V30" s="889"/>
      <c r="W30" s="889"/>
      <c r="X30" s="891"/>
      <c r="Y30" s="895"/>
      <c r="Z30" s="890"/>
    </row>
    <row r="31" spans="1:26" s="616" customFormat="1" ht="13.5" x14ac:dyDescent="0.2">
      <c r="A31" s="703"/>
      <c r="B31" s="689" t="s">
        <v>578</v>
      </c>
      <c r="C31" s="893"/>
      <c r="D31" s="889"/>
      <c r="E31" s="889"/>
      <c r="F31" s="889"/>
      <c r="G31" s="889"/>
      <c r="H31" s="889"/>
      <c r="I31" s="889"/>
      <c r="J31" s="889"/>
      <c r="K31" s="889"/>
      <c r="L31" s="889"/>
      <c r="M31" s="889"/>
      <c r="N31" s="892"/>
      <c r="O31" s="889"/>
      <c r="P31" s="889"/>
      <c r="Q31" s="889"/>
      <c r="R31" s="889"/>
      <c r="S31" s="889"/>
      <c r="T31" s="889"/>
      <c r="U31" s="893"/>
      <c r="V31" s="889"/>
      <c r="W31" s="889"/>
      <c r="X31" s="891"/>
      <c r="Y31" s="895"/>
      <c r="Z31" s="890"/>
    </row>
    <row r="32" spans="1:26" s="616" customFormat="1" ht="13.5" x14ac:dyDescent="0.2">
      <c r="A32" s="703"/>
      <c r="B32" s="689" t="s">
        <v>579</v>
      </c>
      <c r="C32" s="686">
        <v>412</v>
      </c>
      <c r="D32" s="679">
        <v>863</v>
      </c>
      <c r="E32" s="679">
        <v>3532</v>
      </c>
      <c r="F32" s="679">
        <v>1191</v>
      </c>
      <c r="G32" s="679">
        <v>4198</v>
      </c>
      <c r="H32" s="679">
        <v>478</v>
      </c>
      <c r="I32" s="679">
        <v>6675</v>
      </c>
      <c r="J32" s="679">
        <v>817</v>
      </c>
      <c r="K32" s="679">
        <v>666</v>
      </c>
      <c r="L32" s="679">
        <v>1998</v>
      </c>
      <c r="M32" s="679">
        <v>887</v>
      </c>
      <c r="N32" s="685">
        <v>1014</v>
      </c>
      <c r="O32" s="679">
        <v>515</v>
      </c>
      <c r="P32" s="679">
        <v>1651</v>
      </c>
      <c r="Q32" s="679">
        <v>800</v>
      </c>
      <c r="R32" s="679">
        <v>5199</v>
      </c>
      <c r="S32" s="679">
        <v>1281</v>
      </c>
      <c r="T32" s="679">
        <v>435</v>
      </c>
      <c r="U32" s="686">
        <v>478</v>
      </c>
      <c r="V32" s="679">
        <v>2913</v>
      </c>
      <c r="W32" s="679">
        <v>372</v>
      </c>
      <c r="X32" s="684">
        <v>581</v>
      </c>
      <c r="Y32" s="617">
        <v>33590</v>
      </c>
      <c r="Z32" s="680">
        <v>186920</v>
      </c>
    </row>
    <row r="33" spans="1:26" s="616" customFormat="1" ht="13.5" x14ac:dyDescent="0.2">
      <c r="A33" s="703"/>
      <c r="B33" s="689" t="s">
        <v>580</v>
      </c>
      <c r="C33" s="686">
        <v>26</v>
      </c>
      <c r="D33" s="679">
        <v>83</v>
      </c>
      <c r="E33" s="679">
        <v>245</v>
      </c>
      <c r="F33" s="679">
        <v>173</v>
      </c>
      <c r="G33" s="679">
        <v>381</v>
      </c>
      <c r="H33" s="679">
        <v>39</v>
      </c>
      <c r="I33" s="679">
        <v>719</v>
      </c>
      <c r="J33" s="679">
        <v>76</v>
      </c>
      <c r="K33" s="679">
        <v>141</v>
      </c>
      <c r="L33" s="679">
        <v>80</v>
      </c>
      <c r="M33" s="679">
        <v>126</v>
      </c>
      <c r="N33" s="685">
        <v>70</v>
      </c>
      <c r="O33" s="679">
        <v>45</v>
      </c>
      <c r="P33" s="679">
        <v>176</v>
      </c>
      <c r="Q33" s="679">
        <v>67</v>
      </c>
      <c r="R33" s="679">
        <v>367</v>
      </c>
      <c r="S33" s="679">
        <v>84</v>
      </c>
      <c r="T33" s="679">
        <v>23</v>
      </c>
      <c r="U33" s="686" t="s">
        <v>73</v>
      </c>
      <c r="V33" s="679">
        <v>363</v>
      </c>
      <c r="W33" s="679">
        <v>14</v>
      </c>
      <c r="X33" s="684">
        <v>41</v>
      </c>
      <c r="Y33" s="617">
        <v>3070</v>
      </c>
      <c r="Z33" s="680">
        <v>22890</v>
      </c>
    </row>
    <row r="34" spans="1:26" s="616" customFormat="1" ht="13.5" x14ac:dyDescent="0.2">
      <c r="A34" s="703"/>
      <c r="B34" s="689" t="s">
        <v>581</v>
      </c>
      <c r="C34" s="686">
        <v>135</v>
      </c>
      <c r="D34" s="679">
        <v>153</v>
      </c>
      <c r="E34" s="679">
        <v>456</v>
      </c>
      <c r="F34" s="679">
        <v>343</v>
      </c>
      <c r="G34" s="679">
        <v>1159</v>
      </c>
      <c r="H34" s="679">
        <v>169</v>
      </c>
      <c r="I34" s="679">
        <v>1050</v>
      </c>
      <c r="J34" s="679">
        <v>81</v>
      </c>
      <c r="K34" s="679">
        <v>95</v>
      </c>
      <c r="L34" s="679">
        <v>1754</v>
      </c>
      <c r="M34" s="679">
        <v>130</v>
      </c>
      <c r="N34" s="685">
        <v>122</v>
      </c>
      <c r="O34" s="679">
        <v>29</v>
      </c>
      <c r="P34" s="679">
        <v>343</v>
      </c>
      <c r="Q34" s="679">
        <v>159</v>
      </c>
      <c r="R34" s="679">
        <v>803</v>
      </c>
      <c r="S34" s="679">
        <v>210</v>
      </c>
      <c r="T34" s="679">
        <v>156</v>
      </c>
      <c r="U34" s="686">
        <v>53</v>
      </c>
      <c r="V34" s="679">
        <v>690</v>
      </c>
      <c r="W34" s="679">
        <v>30</v>
      </c>
      <c r="X34" s="684">
        <v>62</v>
      </c>
      <c r="Y34" s="617">
        <v>7470</v>
      </c>
      <c r="Z34" s="680">
        <v>38440</v>
      </c>
    </row>
    <row r="35" spans="1:26" s="616" customFormat="1" ht="13.5" x14ac:dyDescent="0.2">
      <c r="A35" s="703"/>
      <c r="B35" s="689" t="s">
        <v>582</v>
      </c>
      <c r="C35" s="686">
        <v>55</v>
      </c>
      <c r="D35" s="679">
        <v>42</v>
      </c>
      <c r="E35" s="679">
        <v>305</v>
      </c>
      <c r="F35" s="679">
        <v>76</v>
      </c>
      <c r="G35" s="679">
        <v>370</v>
      </c>
      <c r="H35" s="679">
        <v>0</v>
      </c>
      <c r="I35" s="679">
        <v>413</v>
      </c>
      <c r="J35" s="679">
        <v>83</v>
      </c>
      <c r="K35" s="679">
        <v>48</v>
      </c>
      <c r="L35" s="679">
        <v>128</v>
      </c>
      <c r="M35" s="679">
        <v>49</v>
      </c>
      <c r="N35" s="685" t="s">
        <v>73</v>
      </c>
      <c r="O35" s="679">
        <v>43</v>
      </c>
      <c r="P35" s="679">
        <v>207</v>
      </c>
      <c r="Q35" s="679">
        <v>68</v>
      </c>
      <c r="R35" s="679">
        <v>195</v>
      </c>
      <c r="S35" s="679">
        <v>144</v>
      </c>
      <c r="T35" s="679">
        <v>61</v>
      </c>
      <c r="U35" s="686">
        <v>24</v>
      </c>
      <c r="V35" s="679">
        <v>0</v>
      </c>
      <c r="W35" s="679">
        <v>23</v>
      </c>
      <c r="X35" s="684">
        <v>18</v>
      </c>
      <c r="Y35" s="617">
        <v>1970</v>
      </c>
      <c r="Z35" s="680">
        <v>15890</v>
      </c>
    </row>
    <row r="36" spans="1:26" s="616" customFormat="1" ht="13.5" x14ac:dyDescent="0.2">
      <c r="A36" s="703"/>
      <c r="B36" s="689" t="s">
        <v>583</v>
      </c>
      <c r="C36" s="686">
        <v>6</v>
      </c>
      <c r="D36" s="679">
        <v>470</v>
      </c>
      <c r="E36" s="679">
        <v>206</v>
      </c>
      <c r="F36" s="679">
        <v>22</v>
      </c>
      <c r="G36" s="679">
        <v>453</v>
      </c>
      <c r="H36" s="679">
        <v>63</v>
      </c>
      <c r="I36" s="679">
        <v>64</v>
      </c>
      <c r="J36" s="679">
        <v>25</v>
      </c>
      <c r="K36" s="679" t="s">
        <v>73</v>
      </c>
      <c r="L36" s="679">
        <v>427</v>
      </c>
      <c r="M36" s="679">
        <v>0</v>
      </c>
      <c r="N36" s="685" t="s">
        <v>73</v>
      </c>
      <c r="O36" s="684" t="s">
        <v>73</v>
      </c>
      <c r="P36" s="679">
        <v>12</v>
      </c>
      <c r="Q36" s="679">
        <v>0</v>
      </c>
      <c r="R36" s="679">
        <v>0</v>
      </c>
      <c r="S36" s="679">
        <v>103</v>
      </c>
      <c r="T36" s="679">
        <v>59</v>
      </c>
      <c r="U36" s="684" t="s">
        <v>73</v>
      </c>
      <c r="V36" s="679">
        <v>149</v>
      </c>
      <c r="W36" s="679">
        <v>133</v>
      </c>
      <c r="X36" s="684" t="s">
        <v>73</v>
      </c>
      <c r="Y36" s="614">
        <v>2040</v>
      </c>
      <c r="Z36" s="680">
        <v>10680</v>
      </c>
    </row>
    <row r="37" spans="1:26" s="616" customFormat="1" ht="13.5" x14ac:dyDescent="0.2">
      <c r="A37" s="702">
        <v>13</v>
      </c>
      <c r="B37" s="690" t="s">
        <v>584</v>
      </c>
      <c r="C37" s="691">
        <v>428</v>
      </c>
      <c r="D37" s="679">
        <v>947</v>
      </c>
      <c r="E37" s="679">
        <v>3217</v>
      </c>
      <c r="F37" s="679">
        <v>772</v>
      </c>
      <c r="G37" s="679">
        <v>4772</v>
      </c>
      <c r="H37" s="679">
        <v>679</v>
      </c>
      <c r="I37" s="679">
        <v>4472</v>
      </c>
      <c r="J37" s="679">
        <v>444</v>
      </c>
      <c r="K37" s="679">
        <v>485</v>
      </c>
      <c r="L37" s="679">
        <v>1268</v>
      </c>
      <c r="M37" s="679">
        <v>647</v>
      </c>
      <c r="N37" s="692">
        <v>588</v>
      </c>
      <c r="O37" s="679">
        <v>390</v>
      </c>
      <c r="P37" s="679">
        <v>1104</v>
      </c>
      <c r="Q37" s="679">
        <v>530</v>
      </c>
      <c r="R37" s="679">
        <v>3724</v>
      </c>
      <c r="S37" s="679">
        <v>877</v>
      </c>
      <c r="T37" s="679">
        <v>444</v>
      </c>
      <c r="U37" s="691">
        <v>407</v>
      </c>
      <c r="V37" s="679">
        <v>2679</v>
      </c>
      <c r="W37" s="679">
        <v>166</v>
      </c>
      <c r="X37" s="684">
        <v>227</v>
      </c>
      <c r="Y37" s="617">
        <v>26840</v>
      </c>
      <c r="Z37" s="680">
        <v>143810</v>
      </c>
    </row>
    <row r="38" spans="1:26" s="616" customFormat="1" ht="13.5" x14ac:dyDescent="0.2">
      <c r="A38" s="702">
        <v>14</v>
      </c>
      <c r="B38" s="690" t="s">
        <v>585</v>
      </c>
      <c r="C38" s="691">
        <v>1670</v>
      </c>
      <c r="D38" s="679">
        <v>2701</v>
      </c>
      <c r="E38" s="679">
        <v>8366</v>
      </c>
      <c r="F38" s="679">
        <v>3580</v>
      </c>
      <c r="G38" s="679">
        <v>17660</v>
      </c>
      <c r="H38" s="679">
        <v>2679</v>
      </c>
      <c r="I38" s="679">
        <v>18827</v>
      </c>
      <c r="J38" s="679">
        <v>2509</v>
      </c>
      <c r="K38" s="679">
        <v>2213</v>
      </c>
      <c r="L38" s="679">
        <v>5790</v>
      </c>
      <c r="M38" s="679">
        <v>3190</v>
      </c>
      <c r="N38" s="692">
        <v>2791</v>
      </c>
      <c r="O38" s="679">
        <v>1541</v>
      </c>
      <c r="P38" s="679">
        <v>5585</v>
      </c>
      <c r="Q38" s="679">
        <v>2318</v>
      </c>
      <c r="R38" s="679">
        <v>12579</v>
      </c>
      <c r="S38" s="679">
        <v>3151</v>
      </c>
      <c r="T38" s="679">
        <v>1885</v>
      </c>
      <c r="U38" s="691">
        <v>1780</v>
      </c>
      <c r="V38" s="679">
        <v>10004</v>
      </c>
      <c r="W38" s="679">
        <v>927</v>
      </c>
      <c r="X38" s="684">
        <v>1096</v>
      </c>
      <c r="Y38" s="617">
        <v>102220</v>
      </c>
      <c r="Z38" s="680">
        <v>631090</v>
      </c>
    </row>
    <row r="39" spans="1:26" s="616" customFormat="1" ht="22.5" x14ac:dyDescent="0.2">
      <c r="A39" s="702">
        <v>15</v>
      </c>
      <c r="B39" s="687" t="s">
        <v>306</v>
      </c>
      <c r="C39" s="687"/>
      <c r="D39" s="687"/>
      <c r="E39" s="687"/>
      <c r="F39" s="687"/>
      <c r="G39" s="687"/>
      <c r="H39" s="687"/>
      <c r="I39" s="687"/>
      <c r="J39" s="687"/>
      <c r="K39" s="687"/>
      <c r="L39" s="687"/>
      <c r="M39" s="687"/>
      <c r="N39" s="687"/>
      <c r="O39" s="687"/>
      <c r="P39" s="687"/>
      <c r="Q39" s="687"/>
      <c r="R39" s="687"/>
      <c r="S39" s="687"/>
      <c r="T39" s="687"/>
      <c r="U39" s="687"/>
      <c r="V39" s="687"/>
      <c r="W39" s="687"/>
      <c r="X39" s="687"/>
      <c r="Y39" s="706"/>
      <c r="Z39" s="705"/>
    </row>
    <row r="40" spans="1:26" s="616" customFormat="1" ht="13.5" x14ac:dyDescent="0.2">
      <c r="A40" s="702"/>
      <c r="B40" s="683" t="s">
        <v>586</v>
      </c>
      <c r="C40" s="686">
        <v>291</v>
      </c>
      <c r="D40" s="679">
        <v>495</v>
      </c>
      <c r="E40" s="679">
        <v>1455</v>
      </c>
      <c r="F40" s="693">
        <v>305</v>
      </c>
      <c r="G40" s="679">
        <v>5282</v>
      </c>
      <c r="H40" s="679">
        <v>741</v>
      </c>
      <c r="I40" s="679">
        <v>1442</v>
      </c>
      <c r="J40" s="679">
        <v>147</v>
      </c>
      <c r="K40" s="679">
        <v>619</v>
      </c>
      <c r="L40" s="679">
        <v>256</v>
      </c>
      <c r="M40" s="679">
        <v>970</v>
      </c>
      <c r="N40" s="685">
        <v>509</v>
      </c>
      <c r="O40" s="679">
        <v>0</v>
      </c>
      <c r="P40" s="679">
        <v>1133</v>
      </c>
      <c r="Q40" s="679">
        <v>220</v>
      </c>
      <c r="R40" s="679">
        <v>745</v>
      </c>
      <c r="S40" s="679">
        <v>296</v>
      </c>
      <c r="T40" s="679">
        <v>231</v>
      </c>
      <c r="U40" s="686">
        <v>430</v>
      </c>
      <c r="V40" s="679">
        <v>8059</v>
      </c>
      <c r="W40" s="679">
        <v>0</v>
      </c>
      <c r="X40" s="684">
        <v>129</v>
      </c>
      <c r="Y40" s="617">
        <v>22190</v>
      </c>
      <c r="Z40" s="680">
        <v>103220</v>
      </c>
    </row>
    <row r="41" spans="1:26" s="616" customFormat="1" ht="13.5" x14ac:dyDescent="0.2">
      <c r="A41" s="702"/>
      <c r="B41" s="683" t="s">
        <v>848</v>
      </c>
      <c r="C41" s="686">
        <v>371</v>
      </c>
      <c r="D41" s="679">
        <v>375</v>
      </c>
      <c r="E41" s="679">
        <v>1090</v>
      </c>
      <c r="F41" s="693">
        <v>512</v>
      </c>
      <c r="G41" s="679">
        <v>7382</v>
      </c>
      <c r="H41" s="679">
        <v>762</v>
      </c>
      <c r="I41" s="679">
        <v>2166</v>
      </c>
      <c r="J41" s="679">
        <v>247</v>
      </c>
      <c r="K41" s="679">
        <v>609</v>
      </c>
      <c r="L41" s="679">
        <v>559</v>
      </c>
      <c r="M41" s="679">
        <v>818</v>
      </c>
      <c r="N41" s="685">
        <v>353</v>
      </c>
      <c r="O41" s="679">
        <v>113</v>
      </c>
      <c r="P41" s="679">
        <v>915</v>
      </c>
      <c r="Q41" s="679">
        <v>361</v>
      </c>
      <c r="R41" s="679">
        <v>2116</v>
      </c>
      <c r="S41" s="679">
        <v>646</v>
      </c>
      <c r="T41" s="679">
        <v>406</v>
      </c>
      <c r="U41" s="686">
        <v>240</v>
      </c>
      <c r="V41" s="679">
        <v>833</v>
      </c>
      <c r="W41" s="679">
        <v>95</v>
      </c>
      <c r="X41" s="684">
        <v>162</v>
      </c>
      <c r="Y41" s="614">
        <v>19160</v>
      </c>
      <c r="Z41" s="680">
        <v>107490</v>
      </c>
    </row>
    <row r="42" spans="1:26" s="616" customFormat="1" ht="13.5" x14ac:dyDescent="0.2">
      <c r="A42" s="702"/>
      <c r="B42" s="683" t="s">
        <v>849</v>
      </c>
      <c r="C42" s="686">
        <v>317</v>
      </c>
      <c r="D42" s="679">
        <v>728</v>
      </c>
      <c r="E42" s="679">
        <v>1819</v>
      </c>
      <c r="F42" s="693">
        <v>555</v>
      </c>
      <c r="G42" s="679">
        <v>1802</v>
      </c>
      <c r="H42" s="679">
        <v>420</v>
      </c>
      <c r="I42" s="679">
        <v>4455</v>
      </c>
      <c r="J42" s="679">
        <v>388</v>
      </c>
      <c r="K42" s="679">
        <v>463</v>
      </c>
      <c r="L42" s="679">
        <v>725</v>
      </c>
      <c r="M42" s="679">
        <v>599</v>
      </c>
      <c r="N42" s="685">
        <v>437</v>
      </c>
      <c r="O42" s="679">
        <v>309</v>
      </c>
      <c r="P42" s="679">
        <v>1023</v>
      </c>
      <c r="Q42" s="679">
        <v>311</v>
      </c>
      <c r="R42" s="679">
        <v>2219</v>
      </c>
      <c r="S42" s="679">
        <v>602</v>
      </c>
      <c r="T42" s="679">
        <v>267</v>
      </c>
      <c r="U42" s="686">
        <v>201</v>
      </c>
      <c r="V42" s="679">
        <v>478</v>
      </c>
      <c r="W42" s="679">
        <v>86</v>
      </c>
      <c r="X42" s="684">
        <v>214</v>
      </c>
      <c r="Y42" s="617">
        <v>16530</v>
      </c>
      <c r="Z42" s="680">
        <v>103210</v>
      </c>
    </row>
    <row r="43" spans="1:26" s="616" customFormat="1" ht="13.5" x14ac:dyDescent="0.2">
      <c r="A43" s="702"/>
      <c r="B43" s="683" t="s">
        <v>850</v>
      </c>
      <c r="C43" s="686">
        <v>532</v>
      </c>
      <c r="D43" s="679">
        <v>802</v>
      </c>
      <c r="E43" s="679">
        <v>2690</v>
      </c>
      <c r="F43" s="693">
        <v>799</v>
      </c>
      <c r="G43" s="679">
        <v>1640</v>
      </c>
      <c r="H43" s="679">
        <v>384</v>
      </c>
      <c r="I43" s="679">
        <v>8290</v>
      </c>
      <c r="J43" s="679">
        <v>1374</v>
      </c>
      <c r="K43" s="679">
        <v>251</v>
      </c>
      <c r="L43" s="679">
        <v>1453</v>
      </c>
      <c r="M43" s="679">
        <v>598</v>
      </c>
      <c r="N43" s="685">
        <v>1107</v>
      </c>
      <c r="O43" s="679">
        <v>419</v>
      </c>
      <c r="P43" s="679">
        <v>1434</v>
      </c>
      <c r="Q43" s="704">
        <v>1030</v>
      </c>
      <c r="R43" s="679">
        <v>4462</v>
      </c>
      <c r="S43" s="679">
        <v>715</v>
      </c>
      <c r="T43" s="679">
        <v>454</v>
      </c>
      <c r="U43" s="686">
        <v>878</v>
      </c>
      <c r="V43" s="679">
        <v>412</v>
      </c>
      <c r="W43" s="679">
        <v>324</v>
      </c>
      <c r="X43" s="684">
        <v>296</v>
      </c>
      <c r="Y43" s="617">
        <v>27750</v>
      </c>
      <c r="Z43" s="680">
        <v>207950</v>
      </c>
    </row>
    <row r="44" spans="1:26" s="616" customFormat="1" ht="13.5" x14ac:dyDescent="0.2">
      <c r="A44" s="702"/>
      <c r="B44" s="683" t="s">
        <v>587</v>
      </c>
      <c r="C44" s="686">
        <v>159</v>
      </c>
      <c r="D44" s="679">
        <v>301</v>
      </c>
      <c r="E44" s="679">
        <v>1312</v>
      </c>
      <c r="F44" s="693">
        <v>1409</v>
      </c>
      <c r="G44" s="679">
        <v>1554</v>
      </c>
      <c r="H44" s="679">
        <v>372</v>
      </c>
      <c r="I44" s="679">
        <v>2474</v>
      </c>
      <c r="J44" s="679">
        <v>353</v>
      </c>
      <c r="K44" s="679">
        <v>271</v>
      </c>
      <c r="L44" s="679">
        <v>2797</v>
      </c>
      <c r="M44" s="679">
        <v>205</v>
      </c>
      <c r="N44" s="685">
        <v>385</v>
      </c>
      <c r="O44" s="679">
        <v>645</v>
      </c>
      <c r="P44" s="679">
        <v>1080</v>
      </c>
      <c r="Q44" s="704">
        <v>396</v>
      </c>
      <c r="R44" s="679">
        <v>3037</v>
      </c>
      <c r="S44" s="679">
        <v>892</v>
      </c>
      <c r="T44" s="679">
        <v>527</v>
      </c>
      <c r="U44" s="686">
        <v>31</v>
      </c>
      <c r="V44" s="679">
        <v>222</v>
      </c>
      <c r="W44" s="679">
        <v>379</v>
      </c>
      <c r="X44" s="684">
        <v>295</v>
      </c>
      <c r="Y44" s="617">
        <v>16590</v>
      </c>
      <c r="Z44" s="680">
        <v>109180</v>
      </c>
    </row>
    <row r="45" spans="1:26" s="616" customFormat="1" ht="13.5" x14ac:dyDescent="0.2">
      <c r="A45" s="702">
        <v>16</v>
      </c>
      <c r="B45" s="690" t="s">
        <v>588</v>
      </c>
      <c r="C45" s="893"/>
      <c r="D45" s="889"/>
      <c r="E45" s="889"/>
      <c r="F45" s="889"/>
      <c r="G45" s="889"/>
      <c r="H45" s="889"/>
      <c r="I45" s="889"/>
      <c r="J45" s="889"/>
      <c r="K45" s="889"/>
      <c r="L45" s="889"/>
      <c r="M45" s="889"/>
      <c r="N45" s="892"/>
      <c r="O45" s="889"/>
      <c r="P45" s="889"/>
      <c r="Q45" s="889"/>
      <c r="R45" s="889"/>
      <c r="S45" s="889"/>
      <c r="T45" s="889"/>
      <c r="U45" s="893"/>
      <c r="V45" s="889"/>
      <c r="W45" s="889"/>
      <c r="X45" s="891"/>
      <c r="Y45" s="895"/>
      <c r="Z45" s="890"/>
    </row>
    <row r="46" spans="1:26" s="616" customFormat="1" ht="13.5" x14ac:dyDescent="0.2">
      <c r="A46" s="702">
        <v>17</v>
      </c>
      <c r="B46" s="690" t="s">
        <v>589</v>
      </c>
      <c r="C46" s="893"/>
      <c r="D46" s="889"/>
      <c r="E46" s="889"/>
      <c r="F46" s="889"/>
      <c r="G46" s="889"/>
      <c r="H46" s="889"/>
      <c r="I46" s="889"/>
      <c r="J46" s="889"/>
      <c r="K46" s="889"/>
      <c r="L46" s="889"/>
      <c r="M46" s="889"/>
      <c r="N46" s="892"/>
      <c r="O46" s="889"/>
      <c r="P46" s="889"/>
      <c r="Q46" s="889"/>
      <c r="R46" s="889"/>
      <c r="S46" s="889"/>
      <c r="T46" s="889"/>
      <c r="U46" s="893"/>
      <c r="V46" s="889"/>
      <c r="W46" s="889"/>
      <c r="X46" s="891"/>
      <c r="Y46" s="895"/>
      <c r="Z46" s="890"/>
    </row>
    <row r="47" spans="1:26" s="616" customFormat="1" ht="13.5" x14ac:dyDescent="0.2">
      <c r="A47" s="702">
        <v>18</v>
      </c>
      <c r="B47" s="690" t="s">
        <v>590</v>
      </c>
      <c r="C47" s="691">
        <v>993</v>
      </c>
      <c r="D47" s="679">
        <v>2175</v>
      </c>
      <c r="E47" s="679">
        <v>3714</v>
      </c>
      <c r="F47" s="679">
        <v>3134</v>
      </c>
      <c r="G47" s="679">
        <v>8285</v>
      </c>
      <c r="H47" s="679">
        <v>1230</v>
      </c>
      <c r="I47" s="679">
        <v>10019</v>
      </c>
      <c r="J47" s="679">
        <v>1945</v>
      </c>
      <c r="K47" s="679">
        <v>1874</v>
      </c>
      <c r="L47" s="679">
        <v>4293</v>
      </c>
      <c r="M47" s="679">
        <v>1748</v>
      </c>
      <c r="N47" s="692">
        <v>1683</v>
      </c>
      <c r="O47" s="679">
        <v>1223</v>
      </c>
      <c r="P47" s="679">
        <v>3193</v>
      </c>
      <c r="Q47" s="679">
        <v>2394</v>
      </c>
      <c r="R47" s="679">
        <v>7019</v>
      </c>
      <c r="S47" s="679">
        <v>2713</v>
      </c>
      <c r="T47" s="679">
        <v>1159</v>
      </c>
      <c r="U47" s="691">
        <v>1021</v>
      </c>
      <c r="V47" s="679">
        <v>7233</v>
      </c>
      <c r="W47" s="679">
        <v>767</v>
      </c>
      <c r="X47" s="684">
        <v>969</v>
      </c>
      <c r="Y47" s="617">
        <v>61720</v>
      </c>
      <c r="Z47" s="680">
        <v>404710</v>
      </c>
    </row>
    <row r="48" spans="1:26" s="616" customFormat="1" ht="13.5" x14ac:dyDescent="0.2">
      <c r="A48" s="702">
        <v>19</v>
      </c>
      <c r="B48" s="690" t="s">
        <v>591</v>
      </c>
      <c r="C48" s="691">
        <v>632</v>
      </c>
      <c r="D48" s="679">
        <v>879</v>
      </c>
      <c r="E48" s="679">
        <v>2472</v>
      </c>
      <c r="F48" s="679">
        <v>1334</v>
      </c>
      <c r="G48" s="679">
        <v>3844</v>
      </c>
      <c r="H48" s="679">
        <v>557</v>
      </c>
      <c r="I48" s="679">
        <v>6259</v>
      </c>
      <c r="J48" s="679">
        <v>1181</v>
      </c>
      <c r="K48" s="679">
        <v>558</v>
      </c>
      <c r="L48" s="679">
        <v>1805</v>
      </c>
      <c r="M48" s="679">
        <v>1025</v>
      </c>
      <c r="N48" s="692">
        <v>840</v>
      </c>
      <c r="O48" s="679">
        <v>708</v>
      </c>
      <c r="P48" s="679">
        <v>1529</v>
      </c>
      <c r="Q48" s="679">
        <v>1692</v>
      </c>
      <c r="R48" s="679">
        <v>4165</v>
      </c>
      <c r="S48" s="679">
        <v>1014</v>
      </c>
      <c r="T48" s="679">
        <v>692</v>
      </c>
      <c r="U48" s="691">
        <v>621</v>
      </c>
      <c r="V48" s="679">
        <v>3003</v>
      </c>
      <c r="W48" s="679">
        <v>350</v>
      </c>
      <c r="X48" s="684">
        <v>471</v>
      </c>
      <c r="Y48" s="617">
        <v>32400</v>
      </c>
      <c r="Z48" s="680">
        <v>198090</v>
      </c>
    </row>
    <row r="49" spans="1:26" s="616" customFormat="1" ht="13.5" x14ac:dyDescent="0.2">
      <c r="A49" s="702" t="s">
        <v>317</v>
      </c>
      <c r="B49" s="690" t="s">
        <v>592</v>
      </c>
      <c r="C49" s="691">
        <v>235</v>
      </c>
      <c r="D49" s="679">
        <v>481</v>
      </c>
      <c r="E49" s="679">
        <v>862</v>
      </c>
      <c r="F49" s="679">
        <v>711</v>
      </c>
      <c r="G49" s="679">
        <v>1784</v>
      </c>
      <c r="H49" s="679">
        <v>271</v>
      </c>
      <c r="I49" s="679">
        <v>1762</v>
      </c>
      <c r="J49" s="679">
        <v>403</v>
      </c>
      <c r="K49" s="679">
        <v>175</v>
      </c>
      <c r="L49" s="679">
        <v>878</v>
      </c>
      <c r="M49" s="679">
        <v>309</v>
      </c>
      <c r="N49" s="692">
        <v>415</v>
      </c>
      <c r="O49" s="679">
        <v>274</v>
      </c>
      <c r="P49" s="679">
        <v>586</v>
      </c>
      <c r="Q49" s="679">
        <v>514</v>
      </c>
      <c r="R49" s="679">
        <v>1485</v>
      </c>
      <c r="S49" s="679">
        <v>574</v>
      </c>
      <c r="T49" s="679">
        <v>362</v>
      </c>
      <c r="U49" s="691">
        <v>275</v>
      </c>
      <c r="V49" s="679">
        <v>1079</v>
      </c>
      <c r="W49" s="679">
        <v>137</v>
      </c>
      <c r="X49" s="684">
        <v>181</v>
      </c>
      <c r="Y49" s="617">
        <v>12230</v>
      </c>
      <c r="Z49" s="680">
        <v>79470</v>
      </c>
    </row>
    <row r="50" spans="1:26" s="616" customFormat="1" ht="13.5" x14ac:dyDescent="0.2">
      <c r="A50" s="702" t="s">
        <v>319</v>
      </c>
      <c r="B50" s="690" t="s">
        <v>593</v>
      </c>
      <c r="C50" s="691">
        <v>194</v>
      </c>
      <c r="D50" s="679">
        <v>420</v>
      </c>
      <c r="E50" s="679">
        <v>631</v>
      </c>
      <c r="F50" s="695">
        <v>410</v>
      </c>
      <c r="G50" s="679">
        <v>1375</v>
      </c>
      <c r="H50" s="679">
        <v>230</v>
      </c>
      <c r="I50" s="679">
        <v>1320</v>
      </c>
      <c r="J50" s="679">
        <v>353</v>
      </c>
      <c r="K50" s="679">
        <v>166</v>
      </c>
      <c r="L50" s="679">
        <v>781</v>
      </c>
      <c r="M50" s="679">
        <v>222</v>
      </c>
      <c r="N50" s="692">
        <v>313</v>
      </c>
      <c r="O50" s="679">
        <v>207</v>
      </c>
      <c r="P50" s="679">
        <v>547</v>
      </c>
      <c r="Q50" s="679">
        <v>380</v>
      </c>
      <c r="R50" s="679">
        <v>764</v>
      </c>
      <c r="S50" s="679">
        <v>486</v>
      </c>
      <c r="T50" s="679">
        <v>242</v>
      </c>
      <c r="U50" s="691">
        <v>265</v>
      </c>
      <c r="V50" s="679">
        <v>918</v>
      </c>
      <c r="W50" s="679">
        <v>73</v>
      </c>
      <c r="X50" s="684">
        <v>149</v>
      </c>
      <c r="Y50" s="617">
        <v>9170</v>
      </c>
      <c r="Z50" s="680">
        <v>61150</v>
      </c>
    </row>
    <row r="51" spans="1:26" s="616" customFormat="1" ht="13.5" x14ac:dyDescent="0.2">
      <c r="A51" s="702" t="s">
        <v>323</v>
      </c>
      <c r="B51" s="690" t="s">
        <v>594</v>
      </c>
      <c r="C51" s="691">
        <v>105</v>
      </c>
      <c r="D51" s="679">
        <v>395</v>
      </c>
      <c r="E51" s="679">
        <v>638</v>
      </c>
      <c r="F51" s="679">
        <v>560</v>
      </c>
      <c r="G51" s="679">
        <v>1294</v>
      </c>
      <c r="H51" s="679">
        <v>193</v>
      </c>
      <c r="I51" s="679">
        <v>1462</v>
      </c>
      <c r="J51" s="679">
        <v>344</v>
      </c>
      <c r="K51" s="679">
        <v>104</v>
      </c>
      <c r="L51" s="679">
        <v>687</v>
      </c>
      <c r="M51" s="679">
        <v>286</v>
      </c>
      <c r="N51" s="692">
        <v>290</v>
      </c>
      <c r="O51" s="679">
        <v>161</v>
      </c>
      <c r="P51" s="679">
        <v>428</v>
      </c>
      <c r="Q51" s="679">
        <v>324</v>
      </c>
      <c r="R51" s="679">
        <v>996</v>
      </c>
      <c r="S51" s="679">
        <v>362</v>
      </c>
      <c r="T51" s="679">
        <v>141</v>
      </c>
      <c r="U51" s="691">
        <v>168</v>
      </c>
      <c r="V51" s="679">
        <v>775</v>
      </c>
      <c r="W51" s="679">
        <v>74</v>
      </c>
      <c r="X51" s="684">
        <v>126</v>
      </c>
      <c r="Y51" s="617">
        <v>8980</v>
      </c>
      <c r="Z51" s="680">
        <v>53790</v>
      </c>
    </row>
    <row r="52" spans="1:26" s="616" customFormat="1" ht="13.5" x14ac:dyDescent="0.2">
      <c r="A52" s="702" t="s">
        <v>325</v>
      </c>
      <c r="B52" s="690" t="s">
        <v>595</v>
      </c>
      <c r="C52" s="691">
        <v>65</v>
      </c>
      <c r="D52" s="679">
        <v>283</v>
      </c>
      <c r="E52" s="679">
        <v>487</v>
      </c>
      <c r="F52" s="679">
        <v>383</v>
      </c>
      <c r="G52" s="679">
        <v>951</v>
      </c>
      <c r="H52" s="679">
        <v>152</v>
      </c>
      <c r="I52" s="679">
        <v>1153</v>
      </c>
      <c r="J52" s="679">
        <v>264</v>
      </c>
      <c r="K52" s="679">
        <v>68</v>
      </c>
      <c r="L52" s="679">
        <v>494</v>
      </c>
      <c r="M52" s="679">
        <v>217</v>
      </c>
      <c r="N52" s="692">
        <v>217</v>
      </c>
      <c r="O52" s="679">
        <v>97</v>
      </c>
      <c r="P52" s="679">
        <v>305</v>
      </c>
      <c r="Q52" s="679">
        <v>236</v>
      </c>
      <c r="R52" s="679">
        <v>660</v>
      </c>
      <c r="S52" s="679">
        <v>262</v>
      </c>
      <c r="T52" s="679">
        <v>85</v>
      </c>
      <c r="U52" s="691">
        <v>93</v>
      </c>
      <c r="V52" s="679">
        <v>592</v>
      </c>
      <c r="W52" s="679">
        <v>55</v>
      </c>
      <c r="X52" s="684">
        <v>78</v>
      </c>
      <c r="Y52" s="617">
        <v>6550</v>
      </c>
      <c r="Z52" s="680">
        <v>37540</v>
      </c>
    </row>
    <row r="53" spans="1:26" s="616" customFormat="1" ht="13.5" x14ac:dyDescent="0.2">
      <c r="A53" s="702" t="s">
        <v>596</v>
      </c>
      <c r="B53" s="690" t="s">
        <v>597</v>
      </c>
      <c r="C53" s="691">
        <v>64</v>
      </c>
      <c r="D53" s="679">
        <v>281</v>
      </c>
      <c r="E53" s="679">
        <v>428</v>
      </c>
      <c r="F53" s="695">
        <v>347</v>
      </c>
      <c r="G53" s="679">
        <v>761</v>
      </c>
      <c r="H53" s="679">
        <v>145</v>
      </c>
      <c r="I53" s="679">
        <v>1149</v>
      </c>
      <c r="J53" s="679">
        <v>251</v>
      </c>
      <c r="K53" s="679">
        <v>67</v>
      </c>
      <c r="L53" s="679">
        <v>463</v>
      </c>
      <c r="M53" s="679">
        <v>217</v>
      </c>
      <c r="N53" s="692">
        <v>155</v>
      </c>
      <c r="O53" s="679">
        <v>38</v>
      </c>
      <c r="P53" s="679">
        <v>293</v>
      </c>
      <c r="Q53" s="679">
        <v>170</v>
      </c>
      <c r="R53" s="679">
        <v>627</v>
      </c>
      <c r="S53" s="679">
        <v>258</v>
      </c>
      <c r="T53" s="679">
        <v>63</v>
      </c>
      <c r="U53" s="691">
        <v>93</v>
      </c>
      <c r="V53" s="679">
        <v>525</v>
      </c>
      <c r="W53" s="679">
        <v>44</v>
      </c>
      <c r="X53" s="684">
        <v>78</v>
      </c>
      <c r="Y53" s="617">
        <v>5900</v>
      </c>
      <c r="Z53" s="680">
        <v>33980</v>
      </c>
    </row>
    <row r="54" spans="1:26" s="616" customFormat="1" ht="13.5" x14ac:dyDescent="0.2">
      <c r="A54" s="677" t="s">
        <v>598</v>
      </c>
      <c r="B54" s="696" t="s">
        <v>804</v>
      </c>
      <c r="C54" s="887"/>
      <c r="D54" s="882"/>
      <c r="E54" s="882"/>
      <c r="F54" s="882"/>
      <c r="G54" s="882"/>
      <c r="H54" s="882"/>
      <c r="I54" s="882"/>
      <c r="J54" s="882"/>
      <c r="K54" s="882"/>
      <c r="L54" s="882"/>
      <c r="M54" s="882"/>
      <c r="N54" s="886"/>
      <c r="O54" s="882"/>
      <c r="P54" s="882"/>
      <c r="Q54" s="882"/>
      <c r="R54" s="882"/>
      <c r="S54" s="882"/>
      <c r="T54" s="882"/>
      <c r="U54" s="887"/>
      <c r="V54" s="882"/>
      <c r="W54" s="882"/>
      <c r="X54" s="885"/>
      <c r="Y54" s="896"/>
      <c r="Z54" s="883"/>
    </row>
    <row r="55" spans="1:26" s="616" customFormat="1" ht="13.5" x14ac:dyDescent="0.2">
      <c r="A55" s="702" t="s">
        <v>327</v>
      </c>
      <c r="B55" s="690" t="s">
        <v>599</v>
      </c>
      <c r="C55" s="691">
        <v>235</v>
      </c>
      <c r="D55" s="679">
        <v>396</v>
      </c>
      <c r="E55" s="679">
        <v>632</v>
      </c>
      <c r="F55" s="679">
        <v>540</v>
      </c>
      <c r="G55" s="679">
        <v>1501</v>
      </c>
      <c r="H55" s="679">
        <v>225</v>
      </c>
      <c r="I55" s="679">
        <v>1283</v>
      </c>
      <c r="J55" s="679">
        <v>334</v>
      </c>
      <c r="K55" s="679">
        <v>148</v>
      </c>
      <c r="L55" s="679">
        <v>684</v>
      </c>
      <c r="M55" s="679">
        <v>241</v>
      </c>
      <c r="N55" s="692">
        <v>408</v>
      </c>
      <c r="O55" s="679">
        <v>232</v>
      </c>
      <c r="P55" s="679">
        <v>506</v>
      </c>
      <c r="Q55" s="679">
        <v>392</v>
      </c>
      <c r="R55" s="679">
        <v>991</v>
      </c>
      <c r="S55" s="679">
        <v>382</v>
      </c>
      <c r="T55" s="679">
        <v>364</v>
      </c>
      <c r="U55" s="691">
        <v>225</v>
      </c>
      <c r="V55" s="679">
        <v>740</v>
      </c>
      <c r="W55" s="679">
        <v>193</v>
      </c>
      <c r="X55" s="684">
        <v>70</v>
      </c>
      <c r="Y55" s="617">
        <f t="shared" ref="Y55:Y60" si="0">SUM(C55:O55,Q55:R55,U55:X55)</f>
        <v>9470</v>
      </c>
      <c r="Z55" s="680">
        <v>65920</v>
      </c>
    </row>
    <row r="56" spans="1:26" s="616" customFormat="1" ht="13.5" x14ac:dyDescent="0.2">
      <c r="A56" s="702" t="s">
        <v>329</v>
      </c>
      <c r="B56" s="690" t="s">
        <v>600</v>
      </c>
      <c r="C56" s="691">
        <v>0</v>
      </c>
      <c r="D56" s="679">
        <v>30</v>
      </c>
      <c r="E56" s="679">
        <v>20</v>
      </c>
      <c r="F56" s="679">
        <v>49</v>
      </c>
      <c r="G56" s="679">
        <v>108</v>
      </c>
      <c r="H56" s="679">
        <v>13</v>
      </c>
      <c r="I56" s="679">
        <v>53</v>
      </c>
      <c r="J56" s="679">
        <v>17</v>
      </c>
      <c r="K56" s="679">
        <v>0</v>
      </c>
      <c r="L56" s="679">
        <v>28</v>
      </c>
      <c r="M56" s="679">
        <v>14</v>
      </c>
      <c r="N56" s="692">
        <v>15</v>
      </c>
      <c r="O56" s="679" t="s">
        <v>73</v>
      </c>
      <c r="P56" s="679">
        <v>6</v>
      </c>
      <c r="Q56" s="679">
        <v>12</v>
      </c>
      <c r="R56" s="679">
        <v>60</v>
      </c>
      <c r="S56" s="679">
        <v>6</v>
      </c>
      <c r="T56" s="679">
        <v>12</v>
      </c>
      <c r="U56" s="691">
        <v>5</v>
      </c>
      <c r="V56" s="679">
        <v>26</v>
      </c>
      <c r="W56" s="679" t="s">
        <v>73</v>
      </c>
      <c r="X56" s="684">
        <v>0</v>
      </c>
      <c r="Y56" s="617">
        <v>460</v>
      </c>
      <c r="Z56" s="680">
        <v>2250</v>
      </c>
    </row>
    <row r="57" spans="1:26" s="616" customFormat="1" ht="13.5" x14ac:dyDescent="0.2">
      <c r="A57" s="702" t="s">
        <v>333</v>
      </c>
      <c r="B57" s="690" t="s">
        <v>601</v>
      </c>
      <c r="C57" s="691">
        <v>169</v>
      </c>
      <c r="D57" s="679">
        <v>424</v>
      </c>
      <c r="E57" s="679">
        <v>724</v>
      </c>
      <c r="F57" s="679">
        <v>624</v>
      </c>
      <c r="G57" s="679">
        <v>1536</v>
      </c>
      <c r="H57" s="679">
        <v>219</v>
      </c>
      <c r="I57" s="679">
        <v>1559</v>
      </c>
      <c r="J57" s="679">
        <v>365</v>
      </c>
      <c r="K57" s="679">
        <v>162</v>
      </c>
      <c r="L57" s="679">
        <v>773</v>
      </c>
      <c r="M57" s="679">
        <v>285</v>
      </c>
      <c r="N57" s="692">
        <v>350</v>
      </c>
      <c r="O57" s="679">
        <v>240</v>
      </c>
      <c r="P57" s="679">
        <v>530</v>
      </c>
      <c r="Q57" s="679">
        <v>431</v>
      </c>
      <c r="R57" s="679">
        <v>1151</v>
      </c>
      <c r="S57" s="679">
        <v>491</v>
      </c>
      <c r="T57" s="679">
        <v>290</v>
      </c>
      <c r="U57" s="691">
        <v>242</v>
      </c>
      <c r="V57" s="679">
        <v>964</v>
      </c>
      <c r="W57" s="679">
        <v>126</v>
      </c>
      <c r="X57" s="684">
        <v>150</v>
      </c>
      <c r="Y57" s="617">
        <v>10490</v>
      </c>
      <c r="Z57" s="680">
        <v>68770</v>
      </c>
    </row>
    <row r="58" spans="1:26" s="616" customFormat="1" ht="13.5" x14ac:dyDescent="0.2">
      <c r="A58" s="702" t="s">
        <v>335</v>
      </c>
      <c r="B58" s="690" t="s">
        <v>602</v>
      </c>
      <c r="C58" s="691">
        <v>30</v>
      </c>
      <c r="D58" s="679">
        <v>101</v>
      </c>
      <c r="E58" s="679">
        <v>136</v>
      </c>
      <c r="F58" s="679">
        <v>156</v>
      </c>
      <c r="G58" s="679">
        <v>354</v>
      </c>
      <c r="H58" s="679">
        <v>51</v>
      </c>
      <c r="I58" s="679">
        <v>318</v>
      </c>
      <c r="J58" s="679">
        <v>82</v>
      </c>
      <c r="K58" s="679">
        <v>13</v>
      </c>
      <c r="L58" s="679">
        <v>181</v>
      </c>
      <c r="M58" s="679">
        <v>74</v>
      </c>
      <c r="N58" s="692">
        <v>62</v>
      </c>
      <c r="O58" s="679">
        <v>56</v>
      </c>
      <c r="P58" s="679">
        <v>112</v>
      </c>
      <c r="Q58" s="679">
        <v>132</v>
      </c>
      <c r="R58" s="679">
        <v>281</v>
      </c>
      <c r="S58" s="679">
        <v>97</v>
      </c>
      <c r="T58" s="679">
        <v>78</v>
      </c>
      <c r="U58" s="691">
        <v>44</v>
      </c>
      <c r="V58" s="679">
        <v>235</v>
      </c>
      <c r="W58" s="679">
        <v>26</v>
      </c>
      <c r="X58" s="684">
        <v>36</v>
      </c>
      <c r="Y58" s="617">
        <v>2370</v>
      </c>
      <c r="Z58" s="680">
        <v>13900</v>
      </c>
    </row>
    <row r="59" spans="1:26" s="616" customFormat="1" ht="13.5" x14ac:dyDescent="0.2">
      <c r="A59" s="702" t="s">
        <v>337</v>
      </c>
      <c r="B59" s="690" t="s">
        <v>603</v>
      </c>
      <c r="C59" s="893"/>
      <c r="D59" s="889"/>
      <c r="E59" s="889"/>
      <c r="F59" s="889"/>
      <c r="G59" s="889"/>
      <c r="H59" s="889"/>
      <c r="I59" s="889"/>
      <c r="J59" s="889"/>
      <c r="K59" s="889"/>
      <c r="L59" s="889"/>
      <c r="M59" s="889"/>
      <c r="N59" s="892"/>
      <c r="O59" s="889"/>
      <c r="P59" s="889"/>
      <c r="Q59" s="889"/>
      <c r="R59" s="889"/>
      <c r="S59" s="889"/>
      <c r="T59" s="889"/>
      <c r="U59" s="893"/>
      <c r="V59" s="889"/>
      <c r="W59" s="889"/>
      <c r="X59" s="891"/>
      <c r="Y59" s="895"/>
      <c r="Z59" s="890"/>
    </row>
    <row r="60" spans="1:26" s="616" customFormat="1" ht="13.5" x14ac:dyDescent="0.2">
      <c r="A60" s="702" t="s">
        <v>604</v>
      </c>
      <c r="B60" s="690" t="s">
        <v>605</v>
      </c>
      <c r="C60" s="691">
        <v>138</v>
      </c>
      <c r="D60" s="679">
        <v>418</v>
      </c>
      <c r="E60" s="679">
        <v>475</v>
      </c>
      <c r="F60" s="679">
        <v>603</v>
      </c>
      <c r="G60" s="679">
        <v>1594</v>
      </c>
      <c r="H60" s="679">
        <v>226</v>
      </c>
      <c r="I60" s="679">
        <v>1645</v>
      </c>
      <c r="J60" s="679">
        <v>414</v>
      </c>
      <c r="K60" s="679">
        <v>391</v>
      </c>
      <c r="L60" s="679">
        <v>685</v>
      </c>
      <c r="M60" s="679">
        <v>415</v>
      </c>
      <c r="N60" s="692">
        <v>278</v>
      </c>
      <c r="O60" s="679">
        <v>206</v>
      </c>
      <c r="P60" s="679">
        <v>522</v>
      </c>
      <c r="Q60" s="679">
        <v>522</v>
      </c>
      <c r="R60" s="679">
        <v>928</v>
      </c>
      <c r="S60" s="679">
        <v>360</v>
      </c>
      <c r="T60" s="679">
        <v>327</v>
      </c>
      <c r="U60" s="691">
        <v>145</v>
      </c>
      <c r="V60" s="679">
        <v>704</v>
      </c>
      <c r="W60" s="679">
        <v>107</v>
      </c>
      <c r="X60" s="684">
        <v>106</v>
      </c>
      <c r="Y60" s="617">
        <f t="shared" si="0"/>
        <v>10000</v>
      </c>
      <c r="Z60" s="680">
        <v>75420</v>
      </c>
    </row>
    <row r="61" spans="1:26" s="616" customFormat="1" ht="13.5" x14ac:dyDescent="0.2">
      <c r="A61" s="702" t="s">
        <v>606</v>
      </c>
      <c r="B61" s="690" t="s">
        <v>607</v>
      </c>
      <c r="C61" s="691">
        <f>SUM(C68:C71)</f>
        <v>103</v>
      </c>
      <c r="D61" s="691">
        <f t="shared" ref="D61:Z61" si="1">SUM(D68:D71)</f>
        <v>301</v>
      </c>
      <c r="E61" s="691">
        <f t="shared" si="1"/>
        <v>353</v>
      </c>
      <c r="F61" s="691">
        <f t="shared" si="1"/>
        <v>466</v>
      </c>
      <c r="G61" s="691">
        <f t="shared" si="1"/>
        <v>1238</v>
      </c>
      <c r="H61" s="691">
        <f t="shared" si="1"/>
        <v>186</v>
      </c>
      <c r="I61" s="691">
        <f t="shared" si="1"/>
        <v>1105</v>
      </c>
      <c r="J61" s="691">
        <f t="shared" si="1"/>
        <v>341</v>
      </c>
      <c r="K61" s="691">
        <f t="shared" si="1"/>
        <v>318</v>
      </c>
      <c r="L61" s="691">
        <f t="shared" si="1"/>
        <v>514</v>
      </c>
      <c r="M61" s="691">
        <f t="shared" si="1"/>
        <v>294</v>
      </c>
      <c r="N61" s="691">
        <f t="shared" si="1"/>
        <v>226</v>
      </c>
      <c r="O61" s="691">
        <f t="shared" si="1"/>
        <v>151</v>
      </c>
      <c r="P61" s="691">
        <f t="shared" si="1"/>
        <v>391</v>
      </c>
      <c r="Q61" s="691">
        <f t="shared" si="1"/>
        <v>441</v>
      </c>
      <c r="R61" s="691">
        <f t="shared" si="1"/>
        <v>654</v>
      </c>
      <c r="S61" s="691">
        <f t="shared" si="1"/>
        <v>279</v>
      </c>
      <c r="T61" s="691">
        <f t="shared" si="1"/>
        <v>269</v>
      </c>
      <c r="U61" s="691">
        <f t="shared" si="1"/>
        <v>90</v>
      </c>
      <c r="V61" s="691">
        <f t="shared" si="1"/>
        <v>500</v>
      </c>
      <c r="W61" s="691">
        <f t="shared" si="1"/>
        <v>61</v>
      </c>
      <c r="X61" s="691">
        <f t="shared" si="1"/>
        <v>70</v>
      </c>
      <c r="Y61" s="900">
        <f t="shared" si="1"/>
        <v>7450</v>
      </c>
      <c r="Z61" s="901">
        <f t="shared" si="1"/>
        <v>55630</v>
      </c>
    </row>
    <row r="62" spans="1:26" s="616" customFormat="1" ht="13.5" x14ac:dyDescent="0.2">
      <c r="A62" s="702" t="s">
        <v>608</v>
      </c>
      <c r="B62" s="690" t="s">
        <v>609</v>
      </c>
      <c r="C62" s="691">
        <v>25</v>
      </c>
      <c r="D62" s="679">
        <v>122</v>
      </c>
      <c r="E62" s="679">
        <v>141</v>
      </c>
      <c r="F62" s="679">
        <v>207</v>
      </c>
      <c r="G62" s="679">
        <v>507</v>
      </c>
      <c r="H62" s="679">
        <v>65</v>
      </c>
      <c r="I62" s="679">
        <v>566</v>
      </c>
      <c r="J62" s="679">
        <v>167</v>
      </c>
      <c r="K62" s="679">
        <v>128</v>
      </c>
      <c r="L62" s="679">
        <v>162</v>
      </c>
      <c r="M62" s="679">
        <v>119</v>
      </c>
      <c r="N62" s="692">
        <v>84</v>
      </c>
      <c r="O62" s="679">
        <v>46</v>
      </c>
      <c r="P62" s="679">
        <v>163</v>
      </c>
      <c r="Q62" s="679">
        <v>234</v>
      </c>
      <c r="R62" s="679">
        <v>244</v>
      </c>
      <c r="S62" s="679">
        <v>67</v>
      </c>
      <c r="T62" s="679">
        <v>132</v>
      </c>
      <c r="U62" s="691">
        <v>55</v>
      </c>
      <c r="V62" s="679">
        <v>156</v>
      </c>
      <c r="W62" s="679">
        <v>31</v>
      </c>
      <c r="X62" s="684">
        <v>20</v>
      </c>
      <c r="Y62" s="617">
        <v>3080</v>
      </c>
      <c r="Z62" s="680">
        <v>24680</v>
      </c>
    </row>
    <row r="63" spans="1:26" s="616" customFormat="1" ht="13.5" x14ac:dyDescent="0.2">
      <c r="A63" s="702" t="s">
        <v>610</v>
      </c>
      <c r="B63" s="697" t="s">
        <v>611</v>
      </c>
      <c r="C63" s="686">
        <v>14</v>
      </c>
      <c r="D63" s="679">
        <v>84</v>
      </c>
      <c r="E63" s="679">
        <v>99</v>
      </c>
      <c r="F63" s="679">
        <v>146</v>
      </c>
      <c r="G63" s="679">
        <v>367</v>
      </c>
      <c r="H63" s="679">
        <v>48</v>
      </c>
      <c r="I63" s="679">
        <v>384</v>
      </c>
      <c r="J63" s="679">
        <v>112</v>
      </c>
      <c r="K63" s="679">
        <v>73</v>
      </c>
      <c r="L63" s="679">
        <v>106</v>
      </c>
      <c r="M63" s="679">
        <v>74</v>
      </c>
      <c r="N63" s="692">
        <v>53</v>
      </c>
      <c r="O63" s="679">
        <v>33</v>
      </c>
      <c r="P63" s="679">
        <v>101</v>
      </c>
      <c r="Q63" s="679">
        <v>166</v>
      </c>
      <c r="R63" s="679">
        <v>164</v>
      </c>
      <c r="S63" s="679">
        <v>41</v>
      </c>
      <c r="T63" s="679">
        <v>75</v>
      </c>
      <c r="U63" s="691">
        <v>35</v>
      </c>
      <c r="V63" s="679">
        <v>109</v>
      </c>
      <c r="W63" s="679">
        <v>22</v>
      </c>
      <c r="X63" s="684">
        <v>15</v>
      </c>
      <c r="Y63" s="617">
        <v>2100</v>
      </c>
      <c r="Z63" s="680">
        <v>17230</v>
      </c>
    </row>
    <row r="64" spans="1:26" s="616" customFormat="1" ht="13.5" x14ac:dyDescent="0.2">
      <c r="A64" s="702" t="s">
        <v>612</v>
      </c>
      <c r="B64" s="697" t="s">
        <v>656</v>
      </c>
      <c r="C64" s="691" t="s">
        <v>73</v>
      </c>
      <c r="D64" s="679">
        <v>29</v>
      </c>
      <c r="E64" s="679">
        <v>35</v>
      </c>
      <c r="F64" s="679">
        <v>20</v>
      </c>
      <c r="G64" s="679">
        <v>112</v>
      </c>
      <c r="H64" s="679">
        <v>7</v>
      </c>
      <c r="I64" s="679">
        <v>235</v>
      </c>
      <c r="J64" s="679" t="s">
        <v>73</v>
      </c>
      <c r="K64" s="679">
        <v>26</v>
      </c>
      <c r="L64" s="679">
        <v>57</v>
      </c>
      <c r="M64" s="679">
        <v>72</v>
      </c>
      <c r="N64" s="692">
        <v>9</v>
      </c>
      <c r="O64" s="679">
        <v>8</v>
      </c>
      <c r="P64" s="679">
        <v>18</v>
      </c>
      <c r="Q64" s="679">
        <v>14</v>
      </c>
      <c r="R64" s="679">
        <v>111</v>
      </c>
      <c r="S64" s="679">
        <v>26</v>
      </c>
      <c r="T64" s="679" t="s">
        <v>73</v>
      </c>
      <c r="U64" s="691">
        <v>15</v>
      </c>
      <c r="V64" s="679">
        <v>69</v>
      </c>
      <c r="W64" s="679">
        <v>7</v>
      </c>
      <c r="X64" s="684">
        <v>14</v>
      </c>
      <c r="Y64" s="617">
        <v>850</v>
      </c>
      <c r="Z64" s="680">
        <v>4480</v>
      </c>
    </row>
    <row r="65" spans="1:26" s="616" customFormat="1" ht="13.5" x14ac:dyDescent="0.2">
      <c r="A65" s="701" t="s">
        <v>613</v>
      </c>
      <c r="B65" s="697" t="s">
        <v>614</v>
      </c>
      <c r="C65" s="691">
        <v>19</v>
      </c>
      <c r="D65" s="679">
        <v>40</v>
      </c>
      <c r="E65" s="679">
        <v>28</v>
      </c>
      <c r="F65" s="679">
        <v>67</v>
      </c>
      <c r="G65" s="679">
        <v>262</v>
      </c>
      <c r="H65" s="679">
        <v>41</v>
      </c>
      <c r="I65" s="679">
        <v>193</v>
      </c>
      <c r="J65" s="679">
        <v>41</v>
      </c>
      <c r="K65" s="679">
        <v>44</v>
      </c>
      <c r="L65" s="679">
        <v>77</v>
      </c>
      <c r="M65" s="679">
        <v>60</v>
      </c>
      <c r="N65" s="692">
        <v>32</v>
      </c>
      <c r="O65" s="679">
        <v>33</v>
      </c>
      <c r="P65" s="679">
        <v>80</v>
      </c>
      <c r="Q65" s="679">
        <v>50</v>
      </c>
      <c r="R65" s="679">
        <v>71</v>
      </c>
      <c r="S65" s="679">
        <v>44</v>
      </c>
      <c r="T65" s="679">
        <v>83</v>
      </c>
      <c r="U65" s="691">
        <v>8</v>
      </c>
      <c r="V65" s="679">
        <v>99</v>
      </c>
      <c r="W65" s="679">
        <v>14</v>
      </c>
      <c r="X65" s="684">
        <v>14</v>
      </c>
      <c r="Y65" s="617">
        <v>1190</v>
      </c>
      <c r="Z65" s="680">
        <v>7890</v>
      </c>
    </row>
    <row r="66" spans="1:26" s="616" customFormat="1" ht="13.5" x14ac:dyDescent="0.2">
      <c r="A66" s="701"/>
      <c r="B66" s="697" t="s">
        <v>757</v>
      </c>
      <c r="C66" s="893"/>
      <c r="D66" s="889"/>
      <c r="E66" s="889"/>
      <c r="F66" s="889"/>
      <c r="G66" s="889"/>
      <c r="H66" s="889"/>
      <c r="I66" s="889"/>
      <c r="J66" s="889"/>
      <c r="K66" s="889"/>
      <c r="L66" s="889"/>
      <c r="M66" s="889"/>
      <c r="N66" s="892"/>
      <c r="O66" s="889"/>
      <c r="P66" s="889"/>
      <c r="Q66" s="889"/>
      <c r="R66" s="889"/>
      <c r="S66" s="889"/>
      <c r="T66" s="889"/>
      <c r="U66" s="893"/>
      <c r="V66" s="889"/>
      <c r="W66" s="889"/>
      <c r="X66" s="891"/>
      <c r="Y66" s="895"/>
      <c r="Z66" s="890"/>
    </row>
    <row r="67" spans="1:26" s="616" customFormat="1" ht="13.5" x14ac:dyDescent="0.2">
      <c r="A67" s="701"/>
      <c r="B67" s="697" t="s">
        <v>758</v>
      </c>
      <c r="C67" s="893"/>
      <c r="D67" s="889"/>
      <c r="E67" s="889"/>
      <c r="F67" s="889"/>
      <c r="G67" s="889"/>
      <c r="H67" s="889"/>
      <c r="I67" s="889"/>
      <c r="J67" s="889"/>
      <c r="K67" s="889"/>
      <c r="L67" s="889"/>
      <c r="M67" s="889"/>
      <c r="N67" s="892"/>
      <c r="O67" s="889"/>
      <c r="P67" s="889"/>
      <c r="Q67" s="889"/>
      <c r="R67" s="889"/>
      <c r="S67" s="889"/>
      <c r="T67" s="889"/>
      <c r="U67" s="893"/>
      <c r="V67" s="889"/>
      <c r="W67" s="889"/>
      <c r="X67" s="891"/>
      <c r="Y67" s="895"/>
      <c r="Z67" s="890"/>
    </row>
    <row r="68" spans="1:26" s="616" customFormat="1" ht="13.5" x14ac:dyDescent="0.2">
      <c r="A68" s="701"/>
      <c r="B68" s="697" t="s">
        <v>783</v>
      </c>
      <c r="C68" s="691">
        <v>7</v>
      </c>
      <c r="D68" s="679">
        <v>23</v>
      </c>
      <c r="E68" s="679">
        <v>20</v>
      </c>
      <c r="F68" s="693">
        <v>36</v>
      </c>
      <c r="G68" s="679">
        <v>67</v>
      </c>
      <c r="H68" s="679">
        <v>9</v>
      </c>
      <c r="I68" s="679">
        <v>64</v>
      </c>
      <c r="J68" s="679">
        <v>29</v>
      </c>
      <c r="K68" s="679">
        <v>23</v>
      </c>
      <c r="L68" s="679">
        <v>36</v>
      </c>
      <c r="M68" s="679">
        <v>16</v>
      </c>
      <c r="N68" s="692">
        <v>21</v>
      </c>
      <c r="O68" s="679">
        <v>12</v>
      </c>
      <c r="P68" s="679">
        <v>38</v>
      </c>
      <c r="Q68" s="679">
        <v>40</v>
      </c>
      <c r="R68" s="679">
        <v>45</v>
      </c>
      <c r="S68" s="679">
        <v>21</v>
      </c>
      <c r="T68" s="679">
        <v>29</v>
      </c>
      <c r="U68" s="691" t="s">
        <v>73</v>
      </c>
      <c r="V68" s="679">
        <v>43</v>
      </c>
      <c r="W68" s="679" t="s">
        <v>73</v>
      </c>
      <c r="X68" s="684">
        <v>7</v>
      </c>
      <c r="Y68" s="617">
        <v>500</v>
      </c>
      <c r="Z68" s="680">
        <v>3820</v>
      </c>
    </row>
    <row r="69" spans="1:26" s="616" customFormat="1" ht="13.5" x14ac:dyDescent="0.2">
      <c r="A69" s="701"/>
      <c r="B69" s="697" t="s">
        <v>784</v>
      </c>
      <c r="C69" s="691">
        <v>12</v>
      </c>
      <c r="D69" s="679">
        <v>50</v>
      </c>
      <c r="E69" s="679">
        <v>52</v>
      </c>
      <c r="F69" s="693">
        <v>82</v>
      </c>
      <c r="G69" s="679">
        <v>213</v>
      </c>
      <c r="H69" s="679">
        <v>29</v>
      </c>
      <c r="I69" s="679">
        <v>112</v>
      </c>
      <c r="J69" s="679">
        <v>57</v>
      </c>
      <c r="K69" s="679">
        <v>55</v>
      </c>
      <c r="L69" s="679">
        <v>75</v>
      </c>
      <c r="M69" s="679">
        <v>47</v>
      </c>
      <c r="N69" s="692">
        <v>45</v>
      </c>
      <c r="O69" s="679">
        <v>26</v>
      </c>
      <c r="P69" s="679">
        <v>52</v>
      </c>
      <c r="Q69" s="679">
        <v>64</v>
      </c>
      <c r="R69" s="679">
        <v>80</v>
      </c>
      <c r="S69" s="679">
        <v>61</v>
      </c>
      <c r="T69" s="679">
        <v>40</v>
      </c>
      <c r="U69" s="691" t="s">
        <v>73</v>
      </c>
      <c r="V69" s="679">
        <v>83</v>
      </c>
      <c r="W69" s="679" t="s">
        <v>73</v>
      </c>
      <c r="X69" s="684">
        <v>10</v>
      </c>
      <c r="Y69" s="617">
        <v>1120</v>
      </c>
      <c r="Z69" s="680">
        <v>9170</v>
      </c>
    </row>
    <row r="70" spans="1:26" s="616" customFormat="1" ht="13.5" x14ac:dyDescent="0.2">
      <c r="A70" s="701"/>
      <c r="B70" s="697" t="s">
        <v>785</v>
      </c>
      <c r="C70" s="691">
        <v>20</v>
      </c>
      <c r="D70" s="679">
        <v>64</v>
      </c>
      <c r="E70" s="679">
        <v>75</v>
      </c>
      <c r="F70" s="693">
        <v>119</v>
      </c>
      <c r="G70" s="679">
        <v>317</v>
      </c>
      <c r="H70" s="679">
        <v>57</v>
      </c>
      <c r="I70" s="679">
        <v>237</v>
      </c>
      <c r="J70" s="679">
        <v>84</v>
      </c>
      <c r="K70" s="679">
        <v>82</v>
      </c>
      <c r="L70" s="679">
        <v>119</v>
      </c>
      <c r="M70" s="679">
        <v>58</v>
      </c>
      <c r="N70" s="692">
        <v>56</v>
      </c>
      <c r="O70" s="679">
        <v>40</v>
      </c>
      <c r="P70" s="679">
        <v>78</v>
      </c>
      <c r="Q70" s="679">
        <v>132</v>
      </c>
      <c r="R70" s="679">
        <v>154</v>
      </c>
      <c r="S70" s="679">
        <v>76</v>
      </c>
      <c r="T70" s="679">
        <v>59</v>
      </c>
      <c r="U70" s="691">
        <v>24</v>
      </c>
      <c r="V70" s="679">
        <v>109</v>
      </c>
      <c r="W70" s="679">
        <v>16</v>
      </c>
      <c r="X70" s="684">
        <v>14</v>
      </c>
      <c r="Y70" s="617">
        <v>1780</v>
      </c>
      <c r="Z70" s="680">
        <v>14100</v>
      </c>
    </row>
    <row r="71" spans="1:26" s="616" customFormat="1" ht="13.5" x14ac:dyDescent="0.2">
      <c r="A71" s="701"/>
      <c r="B71" s="697" t="s">
        <v>786</v>
      </c>
      <c r="C71" s="691">
        <v>64</v>
      </c>
      <c r="D71" s="679">
        <v>164</v>
      </c>
      <c r="E71" s="679">
        <v>206</v>
      </c>
      <c r="F71" s="693">
        <v>229</v>
      </c>
      <c r="G71" s="679">
        <v>641</v>
      </c>
      <c r="H71" s="679">
        <v>91</v>
      </c>
      <c r="I71" s="679">
        <v>692</v>
      </c>
      <c r="J71" s="679">
        <v>171</v>
      </c>
      <c r="K71" s="679">
        <v>158</v>
      </c>
      <c r="L71" s="679">
        <v>284</v>
      </c>
      <c r="M71" s="679">
        <v>173</v>
      </c>
      <c r="N71" s="692">
        <v>104</v>
      </c>
      <c r="O71" s="679">
        <v>73</v>
      </c>
      <c r="P71" s="679">
        <v>223</v>
      </c>
      <c r="Q71" s="679">
        <v>205</v>
      </c>
      <c r="R71" s="679">
        <v>375</v>
      </c>
      <c r="S71" s="679">
        <v>121</v>
      </c>
      <c r="T71" s="679">
        <v>141</v>
      </c>
      <c r="U71" s="691">
        <v>66</v>
      </c>
      <c r="V71" s="679">
        <v>265</v>
      </c>
      <c r="W71" s="679">
        <v>45</v>
      </c>
      <c r="X71" s="684">
        <v>39</v>
      </c>
      <c r="Y71" s="617">
        <v>4050</v>
      </c>
      <c r="Z71" s="680">
        <v>28540</v>
      </c>
    </row>
    <row r="72" spans="1:26" s="616" customFormat="1" ht="13.5" x14ac:dyDescent="0.2">
      <c r="A72" s="701"/>
      <c r="B72" s="697" t="s">
        <v>787</v>
      </c>
      <c r="C72" s="691">
        <v>35</v>
      </c>
      <c r="D72" s="679">
        <v>117</v>
      </c>
      <c r="E72" s="679">
        <v>122</v>
      </c>
      <c r="F72" s="693">
        <v>137</v>
      </c>
      <c r="G72" s="679">
        <v>356</v>
      </c>
      <c r="H72" s="679">
        <v>40</v>
      </c>
      <c r="I72" s="679">
        <v>540</v>
      </c>
      <c r="J72" s="679">
        <v>73</v>
      </c>
      <c r="K72" s="679">
        <v>73</v>
      </c>
      <c r="L72" s="679">
        <v>171</v>
      </c>
      <c r="M72" s="679">
        <v>121</v>
      </c>
      <c r="N72" s="692">
        <v>52</v>
      </c>
      <c r="O72" s="679">
        <v>55</v>
      </c>
      <c r="P72" s="679">
        <v>131</v>
      </c>
      <c r="Q72" s="679">
        <v>81</v>
      </c>
      <c r="R72" s="679">
        <v>274</v>
      </c>
      <c r="S72" s="679">
        <v>81</v>
      </c>
      <c r="T72" s="679">
        <v>58</v>
      </c>
      <c r="U72" s="691">
        <v>38</v>
      </c>
      <c r="V72" s="679">
        <v>204</v>
      </c>
      <c r="W72" s="679">
        <v>33</v>
      </c>
      <c r="X72" s="684">
        <v>36</v>
      </c>
      <c r="Y72" s="617">
        <v>2560</v>
      </c>
      <c r="Z72" s="680">
        <v>17040</v>
      </c>
    </row>
    <row r="73" spans="1:26" s="616" customFormat="1" ht="13.5" x14ac:dyDescent="0.2">
      <c r="A73" s="677" t="s">
        <v>615</v>
      </c>
      <c r="B73" s="678" t="s">
        <v>616</v>
      </c>
      <c r="C73" s="691">
        <v>84</v>
      </c>
      <c r="D73" s="679">
        <v>139</v>
      </c>
      <c r="E73" s="679">
        <v>197</v>
      </c>
      <c r="F73" s="679">
        <v>203</v>
      </c>
      <c r="G73" s="679">
        <v>628</v>
      </c>
      <c r="H73" s="679">
        <v>75</v>
      </c>
      <c r="I73" s="679">
        <v>767</v>
      </c>
      <c r="J73" s="679">
        <v>175</v>
      </c>
      <c r="K73" s="679">
        <v>137</v>
      </c>
      <c r="L73" s="679">
        <v>303</v>
      </c>
      <c r="M73" s="679">
        <v>238</v>
      </c>
      <c r="N73" s="685">
        <v>107</v>
      </c>
      <c r="O73" s="679">
        <v>125</v>
      </c>
      <c r="P73" s="679">
        <v>258</v>
      </c>
      <c r="Q73" s="679">
        <v>178</v>
      </c>
      <c r="R73" s="679">
        <v>453</v>
      </c>
      <c r="S73" s="679">
        <v>178</v>
      </c>
      <c r="T73" s="679">
        <v>138</v>
      </c>
      <c r="U73" s="686">
        <v>68</v>
      </c>
      <c r="V73" s="679">
        <v>378</v>
      </c>
      <c r="W73" s="679">
        <v>46</v>
      </c>
      <c r="X73" s="684">
        <v>66</v>
      </c>
      <c r="Y73" s="617">
        <v>4370</v>
      </c>
      <c r="Z73" s="680">
        <v>32050</v>
      </c>
    </row>
    <row r="74" spans="1:26" s="616" customFormat="1" ht="13.5" x14ac:dyDescent="0.2">
      <c r="A74" s="677" t="s">
        <v>617</v>
      </c>
      <c r="B74" s="678" t="s">
        <v>618</v>
      </c>
      <c r="C74" s="887"/>
      <c r="D74" s="882"/>
      <c r="E74" s="882"/>
      <c r="F74" s="882"/>
      <c r="G74" s="882"/>
      <c r="H74" s="882"/>
      <c r="I74" s="882"/>
      <c r="J74" s="882"/>
      <c r="K74" s="882"/>
      <c r="L74" s="882"/>
      <c r="M74" s="882"/>
      <c r="N74" s="886"/>
      <c r="O74" s="882"/>
      <c r="P74" s="882"/>
      <c r="Q74" s="882"/>
      <c r="R74" s="882"/>
      <c r="S74" s="882"/>
      <c r="T74" s="882"/>
      <c r="U74" s="887"/>
      <c r="V74" s="882"/>
      <c r="W74" s="882"/>
      <c r="X74" s="885"/>
      <c r="Y74" s="896"/>
      <c r="Z74" s="883"/>
    </row>
    <row r="75" spans="1:26" s="616" customFormat="1" ht="13.5" x14ac:dyDescent="0.2">
      <c r="A75" s="677" t="s">
        <v>619</v>
      </c>
      <c r="B75" s="678" t="s">
        <v>620</v>
      </c>
      <c r="C75" s="887"/>
      <c r="D75" s="882"/>
      <c r="E75" s="882"/>
      <c r="F75" s="882"/>
      <c r="G75" s="882"/>
      <c r="H75" s="882"/>
      <c r="I75" s="882"/>
      <c r="J75" s="882"/>
      <c r="K75" s="882"/>
      <c r="L75" s="882"/>
      <c r="M75" s="882"/>
      <c r="N75" s="886"/>
      <c r="O75" s="882"/>
      <c r="P75" s="882"/>
      <c r="Q75" s="882"/>
      <c r="R75" s="882"/>
      <c r="S75" s="882"/>
      <c r="T75" s="882"/>
      <c r="U75" s="887"/>
      <c r="V75" s="882"/>
      <c r="W75" s="882"/>
      <c r="X75" s="885"/>
      <c r="Y75" s="896"/>
      <c r="Z75" s="883"/>
    </row>
    <row r="76" spans="1:26" s="616" customFormat="1" ht="13.5" x14ac:dyDescent="0.2">
      <c r="A76" s="702">
        <v>26</v>
      </c>
      <c r="B76" s="697" t="s">
        <v>793</v>
      </c>
      <c r="C76" s="698" t="s">
        <v>73</v>
      </c>
      <c r="D76" s="679">
        <v>19</v>
      </c>
      <c r="E76" s="679">
        <v>9</v>
      </c>
      <c r="F76" s="679">
        <v>26</v>
      </c>
      <c r="G76" s="679">
        <v>55</v>
      </c>
      <c r="H76" s="679" t="s">
        <v>73</v>
      </c>
      <c r="I76" s="679">
        <v>56</v>
      </c>
      <c r="J76" s="679">
        <v>23</v>
      </c>
      <c r="K76" s="679" t="s">
        <v>73</v>
      </c>
      <c r="L76" s="679">
        <v>19</v>
      </c>
      <c r="M76" s="679" t="s">
        <v>73</v>
      </c>
      <c r="N76" s="692">
        <v>12</v>
      </c>
      <c r="O76" s="679">
        <v>8</v>
      </c>
      <c r="P76" s="679" t="s">
        <v>73</v>
      </c>
      <c r="Q76" s="679">
        <v>28</v>
      </c>
      <c r="R76" s="679">
        <v>14</v>
      </c>
      <c r="S76" s="679" t="s">
        <v>73</v>
      </c>
      <c r="T76" s="679">
        <v>7</v>
      </c>
      <c r="U76" s="691" t="s">
        <v>73</v>
      </c>
      <c r="V76" s="679">
        <v>41</v>
      </c>
      <c r="W76" s="679" t="s">
        <v>73</v>
      </c>
      <c r="X76" s="684" t="s">
        <v>73</v>
      </c>
      <c r="Y76" s="617">
        <v>340</v>
      </c>
      <c r="Z76" s="680">
        <v>2230</v>
      </c>
    </row>
    <row r="77" spans="1:26" s="616" customFormat="1" ht="13.5" x14ac:dyDescent="0.2">
      <c r="A77" s="702">
        <v>27</v>
      </c>
      <c r="B77" s="697" t="s">
        <v>621</v>
      </c>
      <c r="C77" s="686">
        <v>67</v>
      </c>
      <c r="D77" s="679">
        <v>176</v>
      </c>
      <c r="E77" s="679">
        <v>181</v>
      </c>
      <c r="F77" s="679">
        <v>161</v>
      </c>
      <c r="G77" s="679">
        <v>485</v>
      </c>
      <c r="H77" s="679">
        <v>81</v>
      </c>
      <c r="I77" s="679">
        <v>1046</v>
      </c>
      <c r="J77" s="679">
        <v>159</v>
      </c>
      <c r="K77" s="679">
        <v>144</v>
      </c>
      <c r="L77" s="679">
        <v>297</v>
      </c>
      <c r="M77" s="679">
        <v>187</v>
      </c>
      <c r="N77" s="692">
        <v>93</v>
      </c>
      <c r="O77" s="679">
        <v>112</v>
      </c>
      <c r="P77" s="679">
        <v>218</v>
      </c>
      <c r="Q77" s="679">
        <v>197</v>
      </c>
      <c r="R77" s="679">
        <v>408</v>
      </c>
      <c r="S77" s="679">
        <v>155</v>
      </c>
      <c r="T77" s="679">
        <v>102</v>
      </c>
      <c r="U77" s="691">
        <v>86</v>
      </c>
      <c r="V77" s="679">
        <v>338</v>
      </c>
      <c r="W77" s="679">
        <v>49</v>
      </c>
      <c r="X77" s="684">
        <v>36</v>
      </c>
      <c r="Y77" s="617">
        <v>4300</v>
      </c>
      <c r="Z77" s="680">
        <v>29860</v>
      </c>
    </row>
    <row r="78" spans="1:26" s="616" customFormat="1" ht="13.5" x14ac:dyDescent="0.2">
      <c r="A78" s="702" t="s">
        <v>353</v>
      </c>
      <c r="B78" s="697" t="s">
        <v>622</v>
      </c>
      <c r="C78" s="698" t="s">
        <v>73</v>
      </c>
      <c r="D78" s="679">
        <v>32</v>
      </c>
      <c r="E78" s="679">
        <v>24</v>
      </c>
      <c r="F78" s="679">
        <v>32</v>
      </c>
      <c r="G78" s="679">
        <v>55</v>
      </c>
      <c r="H78" s="679">
        <v>13</v>
      </c>
      <c r="I78" s="679">
        <v>104</v>
      </c>
      <c r="J78" s="679">
        <v>35</v>
      </c>
      <c r="K78" s="679">
        <v>9</v>
      </c>
      <c r="L78" s="679">
        <v>36</v>
      </c>
      <c r="M78" s="679">
        <v>30</v>
      </c>
      <c r="N78" s="699">
        <v>13</v>
      </c>
      <c r="O78" s="679">
        <v>13</v>
      </c>
      <c r="P78" s="679">
        <v>31</v>
      </c>
      <c r="Q78" s="679">
        <v>54</v>
      </c>
      <c r="R78" s="679">
        <v>33</v>
      </c>
      <c r="S78" s="679">
        <v>16</v>
      </c>
      <c r="T78" s="679">
        <v>20</v>
      </c>
      <c r="U78" s="698" t="s">
        <v>73</v>
      </c>
      <c r="V78" s="679">
        <v>35</v>
      </c>
      <c r="W78" s="679" t="s">
        <v>73</v>
      </c>
      <c r="X78" s="684" t="s">
        <v>73</v>
      </c>
      <c r="Y78" s="617">
        <v>530</v>
      </c>
      <c r="Z78" s="680">
        <v>3820</v>
      </c>
    </row>
    <row r="79" spans="1:26" s="616" customFormat="1" ht="13.5" x14ac:dyDescent="0.2">
      <c r="A79" s="702" t="s">
        <v>355</v>
      </c>
      <c r="B79" s="697" t="s">
        <v>623</v>
      </c>
      <c r="C79" s="889"/>
      <c r="D79" s="889"/>
      <c r="E79" s="889"/>
      <c r="F79" s="889"/>
      <c r="G79" s="889"/>
      <c r="H79" s="889"/>
      <c r="I79" s="889"/>
      <c r="J79" s="889"/>
      <c r="K79" s="889"/>
      <c r="L79" s="889"/>
      <c r="M79" s="889"/>
      <c r="N79" s="889"/>
      <c r="O79" s="889"/>
      <c r="P79" s="889"/>
      <c r="Q79" s="889"/>
      <c r="R79" s="889"/>
      <c r="S79" s="889"/>
      <c r="T79" s="889"/>
      <c r="U79" s="889"/>
      <c r="V79" s="889"/>
      <c r="W79" s="889"/>
      <c r="X79" s="891"/>
      <c r="Y79" s="895"/>
      <c r="Z79" s="890"/>
    </row>
    <row r="80" spans="1:26" s="616" customFormat="1" ht="13.5" x14ac:dyDescent="0.2">
      <c r="A80" s="702" t="s">
        <v>624</v>
      </c>
      <c r="B80" s="697" t="s">
        <v>625</v>
      </c>
      <c r="C80" s="889"/>
      <c r="D80" s="889"/>
      <c r="E80" s="889"/>
      <c r="F80" s="889"/>
      <c r="G80" s="889"/>
      <c r="H80" s="889"/>
      <c r="I80" s="889"/>
      <c r="J80" s="889"/>
      <c r="K80" s="889"/>
      <c r="L80" s="889"/>
      <c r="M80" s="889"/>
      <c r="N80" s="889"/>
      <c r="O80" s="889"/>
      <c r="P80" s="889"/>
      <c r="Q80" s="889"/>
      <c r="R80" s="889"/>
      <c r="S80" s="889"/>
      <c r="T80" s="889"/>
      <c r="U80" s="889"/>
      <c r="V80" s="889"/>
      <c r="W80" s="889"/>
      <c r="X80" s="891"/>
      <c r="Y80" s="903"/>
      <c r="Z80" s="890"/>
    </row>
    <row r="81" spans="1:26" ht="13.5" x14ac:dyDescent="0.2">
      <c r="A81" s="677">
        <v>29</v>
      </c>
      <c r="B81" s="683" t="s">
        <v>626</v>
      </c>
      <c r="C81" s="882"/>
      <c r="D81" s="882"/>
      <c r="E81" s="882"/>
      <c r="F81" s="882"/>
      <c r="G81" s="882"/>
      <c r="H81" s="882"/>
      <c r="I81" s="882"/>
      <c r="J81" s="882"/>
      <c r="K81" s="882"/>
      <c r="L81" s="882"/>
      <c r="M81" s="882"/>
      <c r="N81" s="882"/>
      <c r="O81" s="882"/>
      <c r="P81" s="882"/>
      <c r="Q81" s="882"/>
      <c r="R81" s="882"/>
      <c r="S81" s="882"/>
      <c r="T81" s="882"/>
      <c r="U81" s="882"/>
      <c r="V81" s="882"/>
      <c r="W81" s="882"/>
      <c r="X81" s="885"/>
      <c r="Y81" s="896"/>
      <c r="Z81" s="888"/>
    </row>
    <row r="82" spans="1:26" ht="13.5" x14ac:dyDescent="0.2">
      <c r="A82" s="677" t="s">
        <v>627</v>
      </c>
      <c r="B82" s="683" t="s">
        <v>628</v>
      </c>
      <c r="C82" s="882"/>
      <c r="D82" s="882"/>
      <c r="E82" s="882"/>
      <c r="F82" s="882"/>
      <c r="G82" s="882"/>
      <c r="H82" s="882"/>
      <c r="I82" s="882"/>
      <c r="J82" s="882"/>
      <c r="K82" s="882"/>
      <c r="L82" s="882"/>
      <c r="M82" s="882"/>
      <c r="N82" s="882"/>
      <c r="O82" s="882"/>
      <c r="P82" s="882"/>
      <c r="Q82" s="882"/>
      <c r="R82" s="882"/>
      <c r="S82" s="882"/>
      <c r="T82" s="882"/>
      <c r="U82" s="882"/>
      <c r="V82" s="882"/>
      <c r="W82" s="882"/>
      <c r="X82" s="885"/>
      <c r="Y82" s="896"/>
      <c r="Z82" s="888"/>
    </row>
    <row r="83" spans="1:26" ht="13.5" x14ac:dyDescent="0.2">
      <c r="A83" s="677" t="s">
        <v>629</v>
      </c>
      <c r="B83" s="683" t="s">
        <v>630</v>
      </c>
      <c r="C83" s="882"/>
      <c r="D83" s="882"/>
      <c r="E83" s="882"/>
      <c r="F83" s="882"/>
      <c r="G83" s="882"/>
      <c r="H83" s="882"/>
      <c r="I83" s="882"/>
      <c r="J83" s="882"/>
      <c r="K83" s="882"/>
      <c r="L83" s="882"/>
      <c r="M83" s="882"/>
      <c r="N83" s="882"/>
      <c r="O83" s="882"/>
      <c r="P83" s="882"/>
      <c r="Q83" s="882"/>
      <c r="R83" s="882"/>
      <c r="S83" s="882"/>
      <c r="T83" s="882"/>
      <c r="U83" s="882"/>
      <c r="V83" s="882"/>
      <c r="W83" s="882"/>
      <c r="X83" s="885"/>
      <c r="Y83" s="896"/>
      <c r="Z83" s="888"/>
    </row>
    <row r="84" spans="1:26" ht="13.5" x14ac:dyDescent="0.2">
      <c r="A84" s="677" t="s">
        <v>631</v>
      </c>
      <c r="B84" s="683" t="s">
        <v>632</v>
      </c>
      <c r="C84" s="882"/>
      <c r="D84" s="882"/>
      <c r="E84" s="882"/>
      <c r="F84" s="882"/>
      <c r="G84" s="882"/>
      <c r="H84" s="882"/>
      <c r="I84" s="882"/>
      <c r="J84" s="882"/>
      <c r="K84" s="882"/>
      <c r="L84" s="882"/>
      <c r="M84" s="882"/>
      <c r="N84" s="882"/>
      <c r="O84" s="882"/>
      <c r="P84" s="882"/>
      <c r="Q84" s="882"/>
      <c r="R84" s="882"/>
      <c r="S84" s="882"/>
      <c r="T84" s="882"/>
      <c r="U84" s="882"/>
      <c r="V84" s="882"/>
      <c r="W84" s="882"/>
      <c r="X84" s="885"/>
      <c r="Y84" s="896"/>
      <c r="Z84" s="888"/>
    </row>
    <row r="85" spans="1:26" ht="13.5" x14ac:dyDescent="0.2">
      <c r="A85" s="677" t="s">
        <v>633</v>
      </c>
      <c r="B85" s="683" t="s">
        <v>634</v>
      </c>
      <c r="C85" s="882"/>
      <c r="D85" s="882"/>
      <c r="E85" s="882"/>
      <c r="F85" s="882"/>
      <c r="G85" s="882"/>
      <c r="H85" s="882"/>
      <c r="I85" s="882"/>
      <c r="J85" s="882"/>
      <c r="K85" s="882"/>
      <c r="L85" s="882"/>
      <c r="M85" s="882"/>
      <c r="N85" s="882"/>
      <c r="O85" s="882"/>
      <c r="P85" s="882"/>
      <c r="Q85" s="882"/>
      <c r="R85" s="882"/>
      <c r="S85" s="882"/>
      <c r="T85" s="882"/>
      <c r="U85" s="882"/>
      <c r="V85" s="882"/>
      <c r="W85" s="882"/>
      <c r="X85" s="885"/>
      <c r="Y85" s="896"/>
      <c r="Z85" s="888"/>
    </row>
    <row r="86" spans="1:26" s="616" customFormat="1" ht="13.5" x14ac:dyDescent="0.2">
      <c r="A86" s="701"/>
      <c r="B86" s="697" t="s">
        <v>796</v>
      </c>
      <c r="C86" s="679" t="s">
        <v>73</v>
      </c>
      <c r="D86" s="679">
        <v>7</v>
      </c>
      <c r="E86" s="679" t="s">
        <v>73</v>
      </c>
      <c r="F86" s="693" t="s">
        <v>73</v>
      </c>
      <c r="G86" s="679">
        <v>20</v>
      </c>
      <c r="H86" s="679" t="s">
        <v>73</v>
      </c>
      <c r="I86" s="679">
        <v>16</v>
      </c>
      <c r="J86" s="679" t="s">
        <v>73</v>
      </c>
      <c r="K86" s="679" t="s">
        <v>73</v>
      </c>
      <c r="L86" s="679">
        <v>8</v>
      </c>
      <c r="M86" s="679">
        <v>8</v>
      </c>
      <c r="N86" s="679" t="s">
        <v>73</v>
      </c>
      <c r="O86" s="679" t="s">
        <v>73</v>
      </c>
      <c r="P86" s="679">
        <v>6</v>
      </c>
      <c r="Q86" s="679">
        <v>13</v>
      </c>
      <c r="R86" s="679">
        <v>13</v>
      </c>
      <c r="S86" s="679">
        <v>8</v>
      </c>
      <c r="T86" s="679">
        <v>6</v>
      </c>
      <c r="U86" s="679">
        <v>9</v>
      </c>
      <c r="V86" s="679">
        <v>0</v>
      </c>
      <c r="W86" s="679" t="s">
        <v>73</v>
      </c>
      <c r="X86" s="684">
        <v>0</v>
      </c>
      <c r="Y86" s="617">
        <v>120</v>
      </c>
      <c r="Z86" s="682">
        <v>1170</v>
      </c>
    </row>
    <row r="87" spans="1:26" s="616" customFormat="1" ht="13.5" x14ac:dyDescent="0.2">
      <c r="A87" s="701"/>
      <c r="B87" s="697" t="s">
        <v>797</v>
      </c>
      <c r="C87" s="679" t="s">
        <v>73</v>
      </c>
      <c r="D87" s="679">
        <v>25</v>
      </c>
      <c r="E87" s="679">
        <v>31</v>
      </c>
      <c r="F87" s="693">
        <v>18</v>
      </c>
      <c r="G87" s="679">
        <v>56</v>
      </c>
      <c r="H87" s="679" t="s">
        <v>73</v>
      </c>
      <c r="I87" s="679">
        <v>43</v>
      </c>
      <c r="J87" s="679">
        <v>19</v>
      </c>
      <c r="K87" s="679">
        <v>36</v>
      </c>
      <c r="L87" s="679">
        <v>44</v>
      </c>
      <c r="M87" s="679">
        <v>22</v>
      </c>
      <c r="N87" s="679">
        <v>14</v>
      </c>
      <c r="O87" s="679">
        <v>14</v>
      </c>
      <c r="P87" s="679">
        <v>28</v>
      </c>
      <c r="Q87" s="679">
        <v>39</v>
      </c>
      <c r="R87" s="679">
        <v>51</v>
      </c>
      <c r="S87" s="679">
        <v>28</v>
      </c>
      <c r="T87" s="679">
        <v>10</v>
      </c>
      <c r="U87" s="679">
        <v>20</v>
      </c>
      <c r="V87" s="679">
        <v>37</v>
      </c>
      <c r="W87" s="679" t="s">
        <v>73</v>
      </c>
      <c r="X87" s="684" t="s">
        <v>73</v>
      </c>
      <c r="Y87" s="617">
        <v>500</v>
      </c>
      <c r="Z87" s="682">
        <v>3430</v>
      </c>
    </row>
    <row r="88" spans="1:26" ht="13.5" x14ac:dyDescent="0.2">
      <c r="A88" s="702" t="s">
        <v>349</v>
      </c>
      <c r="B88" s="697" t="s">
        <v>635</v>
      </c>
      <c r="C88" s="889"/>
      <c r="D88" s="889"/>
      <c r="E88" s="889"/>
      <c r="F88" s="889"/>
      <c r="G88" s="889"/>
      <c r="H88" s="889"/>
      <c r="I88" s="889"/>
      <c r="J88" s="889"/>
      <c r="K88" s="889"/>
      <c r="L88" s="889"/>
      <c r="M88" s="889"/>
      <c r="N88" s="889"/>
      <c r="O88" s="889"/>
      <c r="P88" s="889"/>
      <c r="Q88" s="889"/>
      <c r="R88" s="889"/>
      <c r="S88" s="889"/>
      <c r="T88" s="889"/>
      <c r="U88" s="889"/>
      <c r="V88" s="889"/>
      <c r="W88" s="889"/>
      <c r="X88" s="891"/>
      <c r="Y88" s="895"/>
      <c r="Z88" s="894"/>
    </row>
    <row r="89" spans="1:26" ht="13.5" x14ac:dyDescent="0.2">
      <c r="A89" s="702" t="s">
        <v>351</v>
      </c>
      <c r="B89" s="697" t="s">
        <v>636</v>
      </c>
      <c r="C89" s="754"/>
      <c r="D89" s="754"/>
      <c r="E89" s="754"/>
      <c r="F89" s="754"/>
      <c r="G89" s="754"/>
      <c r="H89" s="754"/>
      <c r="I89" s="754"/>
      <c r="J89" s="754"/>
      <c r="K89" s="754"/>
      <c r="L89" s="754"/>
      <c r="M89" s="754"/>
      <c r="N89" s="754"/>
      <c r="O89" s="754"/>
      <c r="P89" s="754"/>
      <c r="Q89" s="754"/>
      <c r="R89" s="754"/>
      <c r="S89" s="754"/>
      <c r="T89" s="754"/>
      <c r="U89" s="754"/>
      <c r="V89" s="754"/>
      <c r="W89" s="754"/>
      <c r="X89" s="755"/>
      <c r="Y89" s="756"/>
      <c r="Z89" s="757"/>
    </row>
    <row r="90" spans="1:26" ht="13.5" x14ac:dyDescent="0.2">
      <c r="A90" s="702" t="s">
        <v>353</v>
      </c>
      <c r="B90" s="697" t="s">
        <v>637</v>
      </c>
      <c r="C90" s="889"/>
      <c r="D90" s="889"/>
      <c r="E90" s="889"/>
      <c r="F90" s="889"/>
      <c r="G90" s="889"/>
      <c r="H90" s="889"/>
      <c r="I90" s="889"/>
      <c r="J90" s="889"/>
      <c r="K90" s="889"/>
      <c r="L90" s="889"/>
      <c r="M90" s="889"/>
      <c r="N90" s="889"/>
      <c r="O90" s="889"/>
      <c r="P90" s="889"/>
      <c r="Q90" s="889"/>
      <c r="R90" s="889"/>
      <c r="S90" s="889"/>
      <c r="T90" s="889"/>
      <c r="U90" s="889"/>
      <c r="V90" s="889"/>
      <c r="W90" s="889"/>
      <c r="X90" s="891"/>
      <c r="Y90" s="895"/>
      <c r="Z90" s="894"/>
    </row>
    <row r="91" spans="1:26" ht="13.5" x14ac:dyDescent="0.2">
      <c r="A91" s="702" t="s">
        <v>355</v>
      </c>
      <c r="B91" s="697" t="s">
        <v>638</v>
      </c>
      <c r="C91" s="754"/>
      <c r="D91" s="754"/>
      <c r="E91" s="754"/>
      <c r="F91" s="754"/>
      <c r="G91" s="754"/>
      <c r="H91" s="754"/>
      <c r="I91" s="754"/>
      <c r="J91" s="754"/>
      <c r="K91" s="754"/>
      <c r="L91" s="754"/>
      <c r="M91" s="754"/>
      <c r="N91" s="754"/>
      <c r="O91" s="754"/>
      <c r="P91" s="754"/>
      <c r="Q91" s="754"/>
      <c r="R91" s="754"/>
      <c r="S91" s="754"/>
      <c r="T91" s="754"/>
      <c r="U91" s="754"/>
      <c r="V91" s="754"/>
      <c r="W91" s="754"/>
      <c r="X91" s="755"/>
      <c r="Y91" s="756"/>
      <c r="Z91" s="757"/>
    </row>
    <row r="92" spans="1:26" ht="13.5" x14ac:dyDescent="0.2">
      <c r="A92" s="677">
        <v>33</v>
      </c>
      <c r="B92" s="683" t="s">
        <v>639</v>
      </c>
      <c r="C92" s="882"/>
      <c r="D92" s="882"/>
      <c r="E92" s="882"/>
      <c r="F92" s="882"/>
      <c r="G92" s="882"/>
      <c r="H92" s="882"/>
      <c r="I92" s="882"/>
      <c r="J92" s="882"/>
      <c r="K92" s="882"/>
      <c r="L92" s="882"/>
      <c r="M92" s="882"/>
      <c r="N92" s="882"/>
      <c r="O92" s="882"/>
      <c r="P92" s="882"/>
      <c r="Q92" s="882"/>
      <c r="R92" s="882"/>
      <c r="S92" s="882"/>
      <c r="T92" s="882"/>
      <c r="U92" s="882"/>
      <c r="V92" s="882"/>
      <c r="W92" s="882"/>
      <c r="X92" s="885"/>
      <c r="Y92" s="896"/>
      <c r="Z92" s="888"/>
    </row>
    <row r="93" spans="1:26" ht="13.5" x14ac:dyDescent="0.2">
      <c r="A93" s="677">
        <v>34</v>
      </c>
      <c r="B93" s="683" t="s">
        <v>640</v>
      </c>
      <c r="C93" s="882"/>
      <c r="D93" s="882"/>
      <c r="E93" s="882"/>
      <c r="F93" s="882"/>
      <c r="G93" s="882"/>
      <c r="H93" s="882"/>
      <c r="I93" s="882"/>
      <c r="J93" s="882"/>
      <c r="K93" s="882"/>
      <c r="L93" s="882"/>
      <c r="M93" s="882"/>
      <c r="N93" s="882"/>
      <c r="O93" s="882"/>
      <c r="P93" s="882"/>
      <c r="Q93" s="882"/>
      <c r="R93" s="882"/>
      <c r="S93" s="882"/>
      <c r="T93" s="882"/>
      <c r="U93" s="882"/>
      <c r="V93" s="882"/>
      <c r="W93" s="882"/>
      <c r="X93" s="885"/>
      <c r="Y93" s="896"/>
      <c r="Z93" s="888"/>
    </row>
    <row r="94" spans="1:26" ht="13.5" x14ac:dyDescent="0.2">
      <c r="A94" s="677" t="s">
        <v>641</v>
      </c>
      <c r="B94" s="683" t="s">
        <v>642</v>
      </c>
      <c r="C94" s="882"/>
      <c r="D94" s="882"/>
      <c r="E94" s="882"/>
      <c r="F94" s="882"/>
      <c r="G94" s="882"/>
      <c r="H94" s="882"/>
      <c r="I94" s="882"/>
      <c r="J94" s="882"/>
      <c r="K94" s="882"/>
      <c r="L94" s="882"/>
      <c r="M94" s="882"/>
      <c r="N94" s="882"/>
      <c r="O94" s="882"/>
      <c r="P94" s="882"/>
      <c r="Q94" s="882"/>
      <c r="R94" s="882"/>
      <c r="S94" s="882"/>
      <c r="T94" s="882"/>
      <c r="U94" s="882"/>
      <c r="V94" s="882"/>
      <c r="W94" s="882"/>
      <c r="X94" s="885"/>
      <c r="Y94" s="896"/>
      <c r="Z94" s="888"/>
    </row>
    <row r="95" spans="1:26" ht="13.5" x14ac:dyDescent="0.2">
      <c r="A95" s="677" t="s">
        <v>643</v>
      </c>
      <c r="B95" s="683" t="s">
        <v>644</v>
      </c>
      <c r="C95" s="882"/>
      <c r="D95" s="882"/>
      <c r="E95" s="882"/>
      <c r="F95" s="882"/>
      <c r="G95" s="882"/>
      <c r="H95" s="882"/>
      <c r="I95" s="882"/>
      <c r="J95" s="882"/>
      <c r="K95" s="882"/>
      <c r="L95" s="882"/>
      <c r="M95" s="882"/>
      <c r="N95" s="882"/>
      <c r="O95" s="882"/>
      <c r="P95" s="882"/>
      <c r="Q95" s="882"/>
      <c r="R95" s="897"/>
      <c r="S95" s="882"/>
      <c r="T95" s="882"/>
      <c r="U95" s="882"/>
      <c r="V95" s="882"/>
      <c r="W95" s="882"/>
      <c r="X95" s="885"/>
      <c r="Y95" s="896"/>
      <c r="Z95" s="888"/>
    </row>
    <row r="96" spans="1:26" ht="13.5" x14ac:dyDescent="0.2">
      <c r="A96" s="677" t="s">
        <v>645</v>
      </c>
      <c r="B96" s="683" t="s">
        <v>646</v>
      </c>
      <c r="C96" s="882"/>
      <c r="D96" s="882"/>
      <c r="E96" s="882"/>
      <c r="F96" s="882"/>
      <c r="G96" s="882"/>
      <c r="H96" s="882"/>
      <c r="I96" s="882"/>
      <c r="J96" s="882"/>
      <c r="K96" s="882"/>
      <c r="L96" s="882"/>
      <c r="M96" s="882"/>
      <c r="N96" s="882"/>
      <c r="O96" s="882"/>
      <c r="P96" s="882"/>
      <c r="Q96" s="882"/>
      <c r="R96" s="882"/>
      <c r="S96" s="882"/>
      <c r="T96" s="882"/>
      <c r="U96" s="882"/>
      <c r="V96" s="882"/>
      <c r="W96" s="882"/>
      <c r="X96" s="885"/>
      <c r="Y96" s="896"/>
      <c r="Z96" s="888"/>
    </row>
    <row r="97" spans="1:26" ht="13.5" x14ac:dyDescent="0.2">
      <c r="A97" s="677">
        <v>36</v>
      </c>
      <c r="B97" s="683" t="s">
        <v>647</v>
      </c>
      <c r="C97" s="882"/>
      <c r="D97" s="882"/>
      <c r="E97" s="882"/>
      <c r="F97" s="882"/>
      <c r="G97" s="882"/>
      <c r="H97" s="882"/>
      <c r="I97" s="882"/>
      <c r="J97" s="882"/>
      <c r="K97" s="882"/>
      <c r="L97" s="882"/>
      <c r="M97" s="882"/>
      <c r="N97" s="882"/>
      <c r="O97" s="882"/>
      <c r="P97" s="882"/>
      <c r="Q97" s="882"/>
      <c r="R97" s="882"/>
      <c r="S97" s="882"/>
      <c r="T97" s="882"/>
      <c r="U97" s="882"/>
      <c r="V97" s="882"/>
      <c r="W97" s="882"/>
      <c r="X97" s="885"/>
      <c r="Y97" s="896"/>
      <c r="Z97" s="888"/>
    </row>
    <row r="98" spans="1:26" ht="13.5" x14ac:dyDescent="0.2">
      <c r="A98" s="677" t="s">
        <v>648</v>
      </c>
      <c r="B98" s="683" t="s">
        <v>649</v>
      </c>
      <c r="C98" s="882"/>
      <c r="D98" s="882"/>
      <c r="E98" s="882"/>
      <c r="F98" s="882"/>
      <c r="G98" s="882"/>
      <c r="H98" s="882"/>
      <c r="I98" s="882"/>
      <c r="J98" s="882"/>
      <c r="K98" s="882"/>
      <c r="L98" s="882"/>
      <c r="M98" s="882"/>
      <c r="N98" s="882"/>
      <c r="O98" s="882"/>
      <c r="P98" s="882"/>
      <c r="Q98" s="882"/>
      <c r="R98" s="882"/>
      <c r="S98" s="882"/>
      <c r="T98" s="882"/>
      <c r="U98" s="882"/>
      <c r="V98" s="882"/>
      <c r="W98" s="882"/>
      <c r="X98" s="885"/>
      <c r="Y98" s="896"/>
      <c r="Z98" s="888"/>
    </row>
    <row r="99" spans="1:26" ht="13.5" x14ac:dyDescent="0.2">
      <c r="A99" s="677" t="s">
        <v>650</v>
      </c>
      <c r="B99" s="683" t="s">
        <v>651</v>
      </c>
      <c r="C99" s="882"/>
      <c r="D99" s="882"/>
      <c r="E99" s="882"/>
      <c r="F99" s="882"/>
      <c r="G99" s="882"/>
      <c r="H99" s="882"/>
      <c r="I99" s="882"/>
      <c r="J99" s="882"/>
      <c r="K99" s="882"/>
      <c r="L99" s="882"/>
      <c r="M99" s="882"/>
      <c r="N99" s="882"/>
      <c r="O99" s="882"/>
      <c r="P99" s="882"/>
      <c r="Q99" s="882"/>
      <c r="R99" s="882"/>
      <c r="S99" s="882"/>
      <c r="T99" s="882"/>
      <c r="U99" s="882"/>
      <c r="V99" s="882"/>
      <c r="W99" s="882"/>
      <c r="X99" s="885"/>
      <c r="Y99" s="896"/>
      <c r="Z99" s="888"/>
    </row>
    <row r="100" spans="1:26" ht="13.5" x14ac:dyDescent="0.2">
      <c r="A100" s="677">
        <v>38</v>
      </c>
      <c r="B100" s="683" t="s">
        <v>652</v>
      </c>
      <c r="C100" s="882"/>
      <c r="D100" s="882"/>
      <c r="E100" s="882"/>
      <c r="F100" s="882"/>
      <c r="G100" s="882"/>
      <c r="H100" s="882"/>
      <c r="I100" s="882"/>
      <c r="J100" s="882"/>
      <c r="K100" s="882"/>
      <c r="L100" s="882"/>
      <c r="M100" s="882"/>
      <c r="N100" s="882"/>
      <c r="O100" s="882"/>
      <c r="P100" s="882"/>
      <c r="Q100" s="882"/>
      <c r="R100" s="882"/>
      <c r="S100" s="882"/>
      <c r="T100" s="882"/>
      <c r="U100" s="882"/>
      <c r="V100" s="882"/>
      <c r="W100" s="882"/>
      <c r="X100" s="885"/>
      <c r="Y100" s="896"/>
      <c r="Z100" s="888"/>
    </row>
    <row r="101" spans="1:26" ht="13.5" x14ac:dyDescent="0.2">
      <c r="A101" s="677">
        <v>39</v>
      </c>
      <c r="B101" s="683" t="s">
        <v>653</v>
      </c>
      <c r="C101" s="882"/>
      <c r="D101" s="882"/>
      <c r="E101" s="882"/>
      <c r="F101" s="882"/>
      <c r="G101" s="882"/>
      <c r="H101" s="882"/>
      <c r="I101" s="882"/>
      <c r="J101" s="882"/>
      <c r="K101" s="882"/>
      <c r="L101" s="882"/>
      <c r="M101" s="882"/>
      <c r="N101" s="882"/>
      <c r="O101" s="882"/>
      <c r="P101" s="882"/>
      <c r="Q101" s="882"/>
      <c r="R101" s="882"/>
      <c r="S101" s="882"/>
      <c r="T101" s="882"/>
      <c r="U101" s="882"/>
      <c r="V101" s="882"/>
      <c r="W101" s="882"/>
      <c r="X101" s="885"/>
      <c r="Y101" s="896"/>
      <c r="Z101" s="888"/>
    </row>
    <row r="102" spans="1:26" x14ac:dyDescent="0.2">
      <c r="A102" s="682" t="s">
        <v>744</v>
      </c>
      <c r="B102" s="700" t="s">
        <v>654</v>
      </c>
      <c r="C102" s="680">
        <f>SUM(C40:C43)</f>
        <v>1511</v>
      </c>
      <c r="D102" s="680">
        <f t="shared" ref="D102:Z102" si="2">SUM(D40:D43)</f>
        <v>2400</v>
      </c>
      <c r="E102" s="680">
        <f t="shared" si="2"/>
        <v>7054</v>
      </c>
      <c r="F102" s="680">
        <f t="shared" si="2"/>
        <v>2171</v>
      </c>
      <c r="G102" s="680">
        <f t="shared" si="2"/>
        <v>16106</v>
      </c>
      <c r="H102" s="680">
        <f t="shared" si="2"/>
        <v>2307</v>
      </c>
      <c r="I102" s="680">
        <f t="shared" si="2"/>
        <v>16353</v>
      </c>
      <c r="J102" s="680">
        <f t="shared" si="2"/>
        <v>2156</v>
      </c>
      <c r="K102" s="680">
        <f t="shared" si="2"/>
        <v>1942</v>
      </c>
      <c r="L102" s="680">
        <f t="shared" si="2"/>
        <v>2993</v>
      </c>
      <c r="M102" s="680">
        <f t="shared" si="2"/>
        <v>2985</v>
      </c>
      <c r="N102" s="680">
        <f t="shared" si="2"/>
        <v>2406</v>
      </c>
      <c r="O102" s="680">
        <f t="shared" si="2"/>
        <v>841</v>
      </c>
      <c r="P102" s="680">
        <f t="shared" si="2"/>
        <v>4505</v>
      </c>
      <c r="Q102" s="680">
        <f t="shared" si="2"/>
        <v>1922</v>
      </c>
      <c r="R102" s="680">
        <f t="shared" si="2"/>
        <v>9542</v>
      </c>
      <c r="S102" s="680">
        <f t="shared" si="2"/>
        <v>2259</v>
      </c>
      <c r="T102" s="680">
        <f t="shared" si="2"/>
        <v>1358</v>
      </c>
      <c r="U102" s="680">
        <f t="shared" si="2"/>
        <v>1749</v>
      </c>
      <c r="V102" s="680">
        <f t="shared" si="2"/>
        <v>9782</v>
      </c>
      <c r="W102" s="680">
        <f t="shared" si="2"/>
        <v>505</v>
      </c>
      <c r="X102" s="681">
        <f t="shared" si="2"/>
        <v>801</v>
      </c>
      <c r="Y102" s="681">
        <f t="shared" si="2"/>
        <v>85630</v>
      </c>
      <c r="Z102" s="680">
        <f t="shared" si="2"/>
        <v>521870</v>
      </c>
    </row>
    <row r="103" spans="1:26" x14ac:dyDescent="0.2">
      <c r="A103" s="682" t="s">
        <v>744</v>
      </c>
      <c r="B103" s="700" t="s">
        <v>655</v>
      </c>
      <c r="C103" s="680">
        <f>SUM(C40:C44)</f>
        <v>1670</v>
      </c>
      <c r="D103" s="680">
        <f t="shared" ref="D103:W103" si="3">SUM(D40:D44)</f>
        <v>2701</v>
      </c>
      <c r="E103" s="680">
        <f t="shared" si="3"/>
        <v>8366</v>
      </c>
      <c r="F103" s="680">
        <f t="shared" si="3"/>
        <v>3580</v>
      </c>
      <c r="G103" s="680">
        <f t="shared" si="3"/>
        <v>17660</v>
      </c>
      <c r="H103" s="680">
        <f t="shared" si="3"/>
        <v>2679</v>
      </c>
      <c r="I103" s="680">
        <f t="shared" si="3"/>
        <v>18827</v>
      </c>
      <c r="J103" s="680">
        <f t="shared" si="3"/>
        <v>2509</v>
      </c>
      <c r="K103" s="680">
        <f t="shared" si="3"/>
        <v>2213</v>
      </c>
      <c r="L103" s="680">
        <f t="shared" si="3"/>
        <v>5790</v>
      </c>
      <c r="M103" s="680">
        <f t="shared" si="3"/>
        <v>3190</v>
      </c>
      <c r="N103" s="680">
        <f t="shared" si="3"/>
        <v>2791</v>
      </c>
      <c r="O103" s="680">
        <f t="shared" si="3"/>
        <v>1486</v>
      </c>
      <c r="P103" s="680">
        <f t="shared" si="3"/>
        <v>5585</v>
      </c>
      <c r="Q103" s="680">
        <f t="shared" si="3"/>
        <v>2318</v>
      </c>
      <c r="R103" s="680">
        <f t="shared" si="3"/>
        <v>12579</v>
      </c>
      <c r="S103" s="680">
        <f t="shared" si="3"/>
        <v>3151</v>
      </c>
      <c r="T103" s="680">
        <f t="shared" si="3"/>
        <v>1885</v>
      </c>
      <c r="U103" s="680">
        <f t="shared" si="3"/>
        <v>1780</v>
      </c>
      <c r="V103" s="680">
        <f t="shared" si="3"/>
        <v>10004</v>
      </c>
      <c r="W103" s="680">
        <f t="shared" si="3"/>
        <v>884</v>
      </c>
      <c r="X103" s="681">
        <f>SUM(X40:X44)</f>
        <v>1096</v>
      </c>
      <c r="Y103" s="681">
        <f t="shared" ref="Y103:Z103" si="4">SUM(Y40:Y44)</f>
        <v>102220</v>
      </c>
      <c r="Z103" s="680">
        <f t="shared" si="4"/>
        <v>631050</v>
      </c>
    </row>
    <row r="104" spans="1:26" x14ac:dyDescent="0.2">
      <c r="Y104" s="515"/>
    </row>
    <row r="105" spans="1:26" x14ac:dyDescent="0.2">
      <c r="B105" s="618" t="s">
        <v>817</v>
      </c>
      <c r="C105" s="753">
        <f>VLOOKUP(Home!D12,Population!$B$8:G31,6,FALSE)</f>
        <v>28071</v>
      </c>
      <c r="D105" s="753">
        <f>VLOOKUP(Home!E12,Population!$B$8:H31,6,FALSE)</f>
        <v>50981</v>
      </c>
      <c r="E105" s="753">
        <f>VLOOKUP(Home!F12,Population!$B$8:I31,6,FALSE)</f>
        <v>123075</v>
      </c>
      <c r="F105" s="753">
        <f>VLOOKUP(Home!G12,Population!$B$8:J31,6,FALSE)</f>
        <v>106045</v>
      </c>
      <c r="G105" s="753">
        <f>VLOOKUP(Home!H12,Population!$B$8:K31,6,FALSE)</f>
        <v>283314</v>
      </c>
      <c r="H105" s="753">
        <f>VLOOKUP(Home!I12,Population!$B$8:L31,6,FALSE)</f>
        <v>25055</v>
      </c>
      <c r="I105" s="753">
        <f>VLOOKUP(Home!J12,Population!$B$8:M31,6,FALSE)</f>
        <v>336090</v>
      </c>
      <c r="J105" s="753">
        <f>VLOOKUP(Home!K12,Population!$B$8:N31,6,FALSE)</f>
        <v>63943</v>
      </c>
      <c r="K105" s="753">
        <f>VLOOKUP(Home!L12,Population!$B$8:O31,6,FALSE)</f>
        <v>67647</v>
      </c>
      <c r="L105" s="753">
        <f>VLOOKUP(Home!M12,Population!$B$8:P31,6,FALSE)</f>
        <v>143444</v>
      </c>
      <c r="M105" s="753">
        <f>VLOOKUP(Home!N12,Population!$B$8:Q31,6,FALSE)</f>
        <v>44192</v>
      </c>
      <c r="N105" s="753">
        <f>VLOOKUP(Home!O12,Population!$B$8:R31,6,FALSE)</f>
        <v>37093</v>
      </c>
      <c r="O105" s="753">
        <f>VLOOKUP(Home!P12,Population!$B$8:S31,6,FALSE)</f>
        <v>42180</v>
      </c>
      <c r="P105" s="753">
        <f>VLOOKUP(Home!Q12,Population!$B$8:T31,6,FALSE)</f>
        <v>110084</v>
      </c>
      <c r="Q105" s="753">
        <f>VLOOKUP(Home!R12,Population!$B$8:U31,6,FALSE)</f>
        <v>50305</v>
      </c>
      <c r="R105" s="753">
        <f>VLOOKUP(Home!S12,Population!$B$8:V31,6,FALSE)</f>
        <v>260305</v>
      </c>
      <c r="S105" s="753">
        <f>VLOOKUP(Home!T12,Population!$B$8:W31,6,FALSE)</f>
        <v>49924</v>
      </c>
      <c r="T105" s="753">
        <f>VLOOKUP(Home!U12,Population!$B$8:X31,6,FALSE)</f>
        <v>25417</v>
      </c>
      <c r="U105" s="753">
        <f>VLOOKUP(Home!V12,Population!$B$8:Y31,6,FALSE)</f>
        <v>35790</v>
      </c>
      <c r="V105" s="753">
        <f>VLOOKUP(Home!W12,Population!$B$8:Z31,6,FALSE)</f>
        <v>173281</v>
      </c>
      <c r="W105" s="753">
        <f>VLOOKUP(Home!X12,Population!$B$8:AA31,6,FALSE)</f>
        <v>34352</v>
      </c>
      <c r="X105" s="753">
        <f>VLOOKUP(Home!Y12,Population!$B$8:AB31,6,FALSE)</f>
        <v>38702</v>
      </c>
      <c r="Y105" s="753">
        <f>VLOOKUP(Home!Z12,Population!$B$8:AC31,6,FALSE)</f>
        <v>1943865</v>
      </c>
      <c r="Z105" s="753">
        <f>VLOOKUP(Home!AA12,Population!$B$8:AD31,6,FALSE)</f>
        <v>11866957</v>
      </c>
    </row>
    <row r="106" spans="1:26" x14ac:dyDescent="0.2">
      <c r="Y106" s="515"/>
    </row>
    <row r="107" spans="1:26" x14ac:dyDescent="0.2">
      <c r="Y107" s="515"/>
    </row>
    <row r="108" spans="1:26" x14ac:dyDescent="0.2">
      <c r="B108" s="618" t="s">
        <v>818</v>
      </c>
      <c r="Y108" s="515"/>
    </row>
    <row r="109" spans="1:26" x14ac:dyDescent="0.2">
      <c r="B109" s="618" t="s">
        <v>819</v>
      </c>
      <c r="Y109" s="515"/>
    </row>
    <row r="110" spans="1:26" x14ac:dyDescent="0.2">
      <c r="B110" s="618" t="s">
        <v>9</v>
      </c>
      <c r="Y110" s="515"/>
    </row>
    <row r="111" spans="1:26" x14ac:dyDescent="0.2">
      <c r="B111" s="618" t="s">
        <v>820</v>
      </c>
      <c r="Y111" s="515"/>
    </row>
    <row r="112" spans="1:26" x14ac:dyDescent="0.2">
      <c r="B112" s="618" t="s">
        <v>6</v>
      </c>
      <c r="Y112" s="515"/>
    </row>
    <row r="113" spans="2:25" x14ac:dyDescent="0.2">
      <c r="B113" s="618" t="s">
        <v>821</v>
      </c>
      <c r="Y113" s="515"/>
    </row>
    <row r="114" spans="2:25" x14ac:dyDescent="0.2">
      <c r="B114" s="618" t="s">
        <v>10</v>
      </c>
      <c r="Y114" s="515"/>
    </row>
    <row r="115" spans="2:25" x14ac:dyDescent="0.2">
      <c r="B115" s="618" t="s">
        <v>2</v>
      </c>
      <c r="Y115" s="515"/>
    </row>
    <row r="116" spans="2:25" x14ac:dyDescent="0.2">
      <c r="B116" s="618" t="s">
        <v>822</v>
      </c>
      <c r="Y116" s="515"/>
    </row>
    <row r="117" spans="2:25" x14ac:dyDescent="0.2">
      <c r="B117" s="618" t="s">
        <v>12</v>
      </c>
      <c r="Y117" s="515"/>
    </row>
    <row r="118" spans="2:25" x14ac:dyDescent="0.2">
      <c r="B118" s="618" t="s">
        <v>13</v>
      </c>
      <c r="Y118" s="515"/>
    </row>
    <row r="119" spans="2:25" x14ac:dyDescent="0.2">
      <c r="B119" s="618" t="s">
        <v>3</v>
      </c>
      <c r="Y119" s="515"/>
    </row>
    <row r="120" spans="2:25" x14ac:dyDescent="0.2">
      <c r="B120" s="618" t="s">
        <v>14</v>
      </c>
      <c r="Y120" s="515"/>
    </row>
    <row r="121" spans="2:25" x14ac:dyDescent="0.2">
      <c r="B121" s="618" t="s">
        <v>93</v>
      </c>
      <c r="Y121" s="515"/>
    </row>
    <row r="122" spans="2:25" x14ac:dyDescent="0.2">
      <c r="B122" s="618" t="s">
        <v>15</v>
      </c>
      <c r="Y122" s="515"/>
    </row>
    <row r="123" spans="2:25" x14ac:dyDescent="0.2">
      <c r="B123" s="618" t="s">
        <v>7</v>
      </c>
      <c r="Y123" s="515"/>
    </row>
    <row r="124" spans="2:25" x14ac:dyDescent="0.2">
      <c r="B124" s="618" t="s">
        <v>116</v>
      </c>
      <c r="Y124" s="515"/>
    </row>
    <row r="125" spans="2:25" x14ac:dyDescent="0.2">
      <c r="B125" s="618" t="s">
        <v>117</v>
      </c>
      <c r="Y125" s="515"/>
    </row>
    <row r="126" spans="2:25" x14ac:dyDescent="0.2">
      <c r="B126" s="618" t="s">
        <v>823</v>
      </c>
      <c r="Y126" s="515"/>
    </row>
    <row r="127" spans="2:25" x14ac:dyDescent="0.2">
      <c r="B127" s="618" t="s">
        <v>824</v>
      </c>
      <c r="Y127" s="515"/>
    </row>
    <row r="128" spans="2:25" x14ac:dyDescent="0.2">
      <c r="B128" s="618" t="s">
        <v>825</v>
      </c>
      <c r="Y128" s="515"/>
    </row>
    <row r="129" spans="2:25" x14ac:dyDescent="0.2">
      <c r="B129" s="618" t="s">
        <v>17</v>
      </c>
      <c r="Y129" s="515"/>
    </row>
    <row r="130" spans="2:25" x14ac:dyDescent="0.2">
      <c r="B130" s="618" t="s">
        <v>657</v>
      </c>
      <c r="Y130" s="515"/>
    </row>
    <row r="131" spans="2:25" x14ac:dyDescent="0.2">
      <c r="B131" s="618" t="s">
        <v>130</v>
      </c>
      <c r="Y131" s="515"/>
    </row>
  </sheetData>
  <conditionalFormatting sqref="Q43:Q44">
    <cfRule type="containsErrors" dxfId="289" priority="6">
      <formula>ISERROR(Q43)</formula>
    </cfRule>
  </conditionalFormatting>
  <conditionalFormatting sqref="C1:X1">
    <cfRule type="expression" dxfId="288" priority="1">
      <formula>$C1=#REF!</formula>
    </cfRule>
  </conditionalFormatting>
  <conditionalFormatting sqref="D1:X1">
    <cfRule type="expression" dxfId="287" priority="2">
      <formula>SUM(D$3:D$82)=0</formula>
    </cfRule>
    <cfRule type="containsErrors" dxfId="286" priority="3">
      <formula>ISERROR(D1)</formula>
    </cfRule>
  </conditionalFormatting>
  <conditionalFormatting sqref="C1">
    <cfRule type="expression" dxfId="285" priority="4">
      <formula>SUM(C$3:C$79)=0</formula>
    </cfRule>
    <cfRule type="containsErrors" dxfId="284" priority="5">
      <formula>ISERROR(C1)</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36"/>
  <sheetViews>
    <sheetView showRowColHeaders="0" tabSelected="1" zoomScaleNormal="100" workbookViewId="0"/>
  </sheetViews>
  <sheetFormatPr defaultColWidth="9.140625" defaultRowHeight="11.25" customHeight="1" x14ac:dyDescent="0.2"/>
  <cols>
    <col min="1" max="1" width="3.42578125" style="640" customWidth="1"/>
    <col min="2" max="2" width="17.140625" style="640" customWidth="1"/>
    <col min="3" max="3" width="34.5703125" style="640" customWidth="1"/>
    <col min="4" max="4" width="4.28515625" style="640" customWidth="1"/>
    <col min="5" max="5" width="15.140625" style="493" customWidth="1"/>
    <col min="6" max="6" width="31.42578125" style="640" customWidth="1"/>
    <col min="7" max="7" width="4.28515625" style="640" customWidth="1"/>
    <col min="8" max="8" width="14.140625" style="640" customWidth="1"/>
    <col min="9" max="9" width="5.7109375" style="640" customWidth="1"/>
    <col min="10" max="10" width="4.28515625" style="640" customWidth="1"/>
    <col min="11" max="11" width="3.42578125" style="640" customWidth="1"/>
    <col min="12" max="16384" width="9.140625" style="640"/>
  </cols>
  <sheetData>
    <row r="1" spans="1:11" ht="18" customHeight="1" x14ac:dyDescent="0.2">
      <c r="A1" s="787"/>
      <c r="B1" s="788"/>
      <c r="C1" s="788"/>
      <c r="D1" s="788"/>
      <c r="E1" s="789"/>
      <c r="F1" s="788"/>
      <c r="G1" s="788"/>
      <c r="H1" s="788"/>
      <c r="I1" s="788"/>
      <c r="J1" s="788"/>
      <c r="K1" s="790"/>
    </row>
    <row r="2" spans="1:11" ht="21" customHeight="1" x14ac:dyDescent="0.2">
      <c r="A2" s="791"/>
      <c r="B2" s="2"/>
      <c r="C2" s="2"/>
      <c r="D2" s="2"/>
      <c r="E2" s="1"/>
      <c r="F2" s="2"/>
      <c r="G2" s="2"/>
      <c r="H2" s="2"/>
      <c r="I2" s="2"/>
      <c r="J2" s="2"/>
      <c r="K2" s="792"/>
    </row>
    <row r="3" spans="1:11" ht="53.25" customHeight="1" x14ac:dyDescent="0.2">
      <c r="A3" s="791"/>
      <c r="B3" s="2"/>
      <c r="C3" s="2"/>
      <c r="D3" s="2"/>
      <c r="E3" s="929" t="s">
        <v>873</v>
      </c>
      <c r="F3" s="930"/>
      <c r="G3" s="930"/>
      <c r="H3" s="930"/>
      <c r="I3" s="930"/>
      <c r="J3" s="930"/>
      <c r="K3" s="792"/>
    </row>
    <row r="4" spans="1:11" ht="12" thickBot="1" x14ac:dyDescent="0.25">
      <c r="A4" s="791"/>
      <c r="B4" s="7"/>
      <c r="C4" s="7"/>
      <c r="D4" s="7"/>
      <c r="E4" s="931"/>
      <c r="F4" s="931"/>
      <c r="G4" s="931"/>
      <c r="H4" s="931"/>
      <c r="I4" s="931"/>
      <c r="J4" s="931"/>
      <c r="K4" s="793"/>
    </row>
    <row r="5" spans="1:11" ht="20.25" x14ac:dyDescent="0.3">
      <c r="A5" s="791"/>
      <c r="B5" s="2"/>
      <c r="C5" s="2"/>
      <c r="D5" s="2"/>
      <c r="E5" s="2"/>
      <c r="F5" s="2"/>
      <c r="G5" s="8"/>
      <c r="H5" s="8"/>
      <c r="I5" s="8"/>
      <c r="J5" s="803" t="s">
        <v>220</v>
      </c>
      <c r="K5" s="792"/>
    </row>
    <row r="6" spans="1:11" ht="21" customHeight="1" x14ac:dyDescent="0.2">
      <c r="A6" s="791"/>
      <c r="B6" s="2"/>
      <c r="C6" s="2"/>
      <c r="D6" s="2"/>
      <c r="E6" s="1"/>
      <c r="F6" s="2"/>
      <c r="G6" s="2"/>
      <c r="H6" s="2"/>
      <c r="I6" s="2"/>
      <c r="J6" s="2"/>
      <c r="K6" s="792"/>
    </row>
    <row r="7" spans="1:11" ht="18" customHeight="1" x14ac:dyDescent="0.2">
      <c r="A7" s="791"/>
      <c r="B7" s="2"/>
      <c r="C7" s="2"/>
      <c r="D7" s="2"/>
      <c r="E7" s="2"/>
      <c r="F7" s="2"/>
      <c r="G7" s="2"/>
      <c r="H7" s="2"/>
      <c r="I7" s="2"/>
      <c r="J7" s="2"/>
      <c r="K7" s="792"/>
    </row>
    <row r="8" spans="1:11" ht="15.75" customHeight="1" x14ac:dyDescent="0.2">
      <c r="A8" s="791"/>
      <c r="B8" s="932" t="s">
        <v>29</v>
      </c>
      <c r="C8" s="933"/>
      <c r="D8" s="933"/>
      <c r="E8" s="933"/>
      <c r="F8" s="933"/>
      <c r="G8" s="933"/>
      <c r="H8" s="933"/>
      <c r="I8" s="933"/>
      <c r="J8" s="933"/>
      <c r="K8" s="792"/>
    </row>
    <row r="9" spans="1:11" ht="5.25" customHeight="1" x14ac:dyDescent="0.2">
      <c r="A9" s="791"/>
      <c r="B9" s="5"/>
      <c r="C9" s="5"/>
      <c r="D9" s="5"/>
      <c r="E9" s="5"/>
      <c r="F9" s="5"/>
      <c r="G9" s="5"/>
      <c r="H9" s="5"/>
      <c r="I9" s="5"/>
      <c r="J9" s="5"/>
      <c r="K9" s="792"/>
    </row>
    <row r="10" spans="1:11" ht="15.75" customHeight="1" x14ac:dyDescent="0.2">
      <c r="A10" s="791"/>
      <c r="B10" s="938" t="s">
        <v>836</v>
      </c>
      <c r="C10" s="938"/>
      <c r="D10" s="938"/>
      <c r="E10" s="938"/>
      <c r="F10" s="938"/>
      <c r="G10" s="938"/>
      <c r="H10" s="938"/>
      <c r="I10" s="938"/>
      <c r="J10" s="938"/>
      <c r="K10" s="792"/>
    </row>
    <row r="11" spans="1:11" ht="9" customHeight="1" x14ac:dyDescent="0.2">
      <c r="A11" s="791"/>
      <c r="B11" s="934"/>
      <c r="C11" s="935"/>
      <c r="D11" s="935"/>
      <c r="E11" s="935"/>
      <c r="F11" s="935"/>
      <c r="G11" s="935"/>
      <c r="H11" s="935"/>
      <c r="I11" s="935"/>
      <c r="J11" s="935"/>
      <c r="K11" s="792"/>
    </row>
    <row r="12" spans="1:11" ht="26.25" customHeight="1" x14ac:dyDescent="0.2">
      <c r="A12" s="791"/>
      <c r="B12" s="942" t="s">
        <v>835</v>
      </c>
      <c r="C12" s="942"/>
      <c r="D12" s="942"/>
      <c r="E12" s="942"/>
      <c r="F12" s="942"/>
      <c r="G12" s="942"/>
      <c r="H12" s="942"/>
      <c r="I12" s="942"/>
      <c r="J12" s="942"/>
      <c r="K12" s="792"/>
    </row>
    <row r="13" spans="1:11" ht="9" customHeight="1" x14ac:dyDescent="0.2">
      <c r="A13" s="791"/>
      <c r="B13" s="777"/>
      <c r="C13" s="778"/>
      <c r="D13" s="778"/>
      <c r="E13" s="778"/>
      <c r="F13" s="778"/>
      <c r="G13" s="778"/>
      <c r="H13" s="778"/>
      <c r="I13" s="778"/>
      <c r="J13" s="778"/>
      <c r="K13" s="792"/>
    </row>
    <row r="14" spans="1:11" ht="9" customHeight="1" x14ac:dyDescent="0.2">
      <c r="A14" s="791"/>
      <c r="B14" s="780"/>
      <c r="C14" s="781"/>
      <c r="D14" s="781"/>
      <c r="E14" s="781"/>
      <c r="F14" s="781"/>
      <c r="G14" s="781"/>
      <c r="H14" s="781"/>
      <c r="I14" s="781"/>
      <c r="J14" s="781"/>
      <c r="K14" s="792"/>
    </row>
    <row r="15" spans="1:11" ht="15" x14ac:dyDescent="0.2">
      <c r="A15" s="791"/>
      <c r="B15" s="805" t="s">
        <v>830</v>
      </c>
      <c r="C15" s="778"/>
      <c r="D15" s="778"/>
      <c r="E15" s="778"/>
      <c r="F15" s="778"/>
      <c r="G15" s="778"/>
      <c r="H15" s="778"/>
      <c r="I15" s="778"/>
      <c r="J15" s="778"/>
      <c r="K15" s="792"/>
    </row>
    <row r="16" spans="1:11" ht="3" customHeight="1" x14ac:dyDescent="0.2">
      <c r="A16" s="791"/>
      <c r="B16" s="786"/>
      <c r="C16" s="778"/>
      <c r="D16" s="778"/>
      <c r="E16" s="778"/>
      <c r="F16" s="778"/>
      <c r="G16" s="778"/>
      <c r="H16" s="778"/>
      <c r="I16" s="778"/>
      <c r="J16" s="778"/>
      <c r="K16" s="792"/>
    </row>
    <row r="17" spans="1:11" ht="14.25" x14ac:dyDescent="0.2">
      <c r="A17" s="791"/>
      <c r="B17" s="804" t="s">
        <v>831</v>
      </c>
      <c r="C17" s="778"/>
      <c r="D17" s="939" t="s">
        <v>829</v>
      </c>
      <c r="E17" s="939"/>
      <c r="F17" s="939"/>
      <c r="G17" s="941" t="s">
        <v>833</v>
      </c>
      <c r="H17" s="940" t="s">
        <v>837</v>
      </c>
      <c r="I17" s="940"/>
      <c r="J17" s="940"/>
      <c r="K17" s="792"/>
    </row>
    <row r="18" spans="1:11" ht="14.25" x14ac:dyDescent="0.2">
      <c r="A18" s="791"/>
      <c r="B18" s="804" t="s">
        <v>832</v>
      </c>
      <c r="C18" s="778"/>
      <c r="D18" s="939"/>
      <c r="E18" s="939"/>
      <c r="F18" s="939"/>
      <c r="G18" s="941"/>
      <c r="H18" s="940"/>
      <c r="I18" s="940"/>
      <c r="J18" s="940"/>
      <c r="K18" s="792"/>
    </row>
    <row r="19" spans="1:11" ht="9" customHeight="1" x14ac:dyDescent="0.2">
      <c r="A19" s="791"/>
      <c r="B19" s="782"/>
      <c r="C19" s="783"/>
      <c r="D19" s="783"/>
      <c r="E19" s="783"/>
      <c r="F19" s="783"/>
      <c r="G19" s="783"/>
      <c r="H19" s="783"/>
      <c r="I19" s="783"/>
      <c r="J19" s="783"/>
      <c r="K19" s="792"/>
    </row>
    <row r="20" spans="1:11" ht="9" customHeight="1" x14ac:dyDescent="0.2">
      <c r="A20" s="791"/>
      <c r="B20" s="779"/>
      <c r="C20" s="778"/>
      <c r="D20" s="778"/>
      <c r="E20" s="778"/>
      <c r="F20" s="778"/>
      <c r="G20" s="778"/>
      <c r="H20" s="778"/>
      <c r="I20" s="778"/>
      <c r="J20" s="778"/>
      <c r="K20" s="792"/>
    </row>
    <row r="21" spans="1:11" ht="41.25" customHeight="1" x14ac:dyDescent="0.2">
      <c r="A21" s="791"/>
      <c r="B21" s="936" t="s">
        <v>834</v>
      </c>
      <c r="C21" s="937"/>
      <c r="D21" s="937"/>
      <c r="E21" s="937"/>
      <c r="F21" s="937"/>
      <c r="G21" s="937"/>
      <c r="H21" s="937"/>
      <c r="I21" s="937"/>
      <c r="J21" s="937"/>
      <c r="K21" s="792"/>
    </row>
    <row r="22" spans="1:11" ht="13.5" customHeight="1" x14ac:dyDescent="0.2">
      <c r="A22" s="791"/>
      <c r="B22" s="785" t="s">
        <v>827</v>
      </c>
      <c r="C22" s="794"/>
      <c r="D22" s="794"/>
      <c r="E22" s="794"/>
      <c r="F22" s="794"/>
      <c r="G22" s="794"/>
      <c r="H22" s="794"/>
      <c r="I22" s="794"/>
      <c r="J22" s="794"/>
      <c r="K22" s="792"/>
    </row>
    <row r="23" spans="1:11" ht="13.5" customHeight="1" x14ac:dyDescent="0.2">
      <c r="A23" s="791"/>
      <c r="B23" s="785" t="s">
        <v>828</v>
      </c>
      <c r="C23" s="794"/>
      <c r="D23" s="794"/>
      <c r="E23" s="794"/>
      <c r="F23" s="794"/>
      <c r="G23" s="794"/>
      <c r="H23" s="794"/>
      <c r="I23" s="794"/>
      <c r="J23" s="794"/>
      <c r="K23" s="792"/>
    </row>
    <row r="24" spans="1:11" ht="9" customHeight="1" x14ac:dyDescent="0.2">
      <c r="A24" s="791"/>
      <c r="B24" s="795"/>
      <c r="C24" s="796"/>
      <c r="D24" s="796"/>
      <c r="E24" s="796"/>
      <c r="F24" s="796"/>
      <c r="G24" s="796"/>
      <c r="H24" s="796"/>
      <c r="I24" s="796"/>
      <c r="J24" s="795"/>
      <c r="K24" s="792"/>
    </row>
    <row r="25" spans="1:11" ht="9" customHeight="1" x14ac:dyDescent="0.2">
      <c r="A25" s="791"/>
      <c r="B25" s="775"/>
      <c r="C25" s="776"/>
      <c r="D25" s="784"/>
      <c r="E25" s="776"/>
      <c r="F25" s="776"/>
      <c r="G25" s="776"/>
      <c r="H25" s="776"/>
      <c r="I25" s="776"/>
      <c r="J25" s="775"/>
      <c r="K25" s="792"/>
    </row>
    <row r="26" spans="1:11" ht="15" customHeight="1" x14ac:dyDescent="0.25">
      <c r="A26" s="791"/>
      <c r="B26" s="943" t="s">
        <v>826</v>
      </c>
      <c r="C26" s="943"/>
      <c r="D26" s="943"/>
      <c r="E26" s="70"/>
      <c r="F26" s="70"/>
      <c r="G26" s="70"/>
      <c r="H26" s="70"/>
      <c r="I26" s="70"/>
      <c r="J26" s="70"/>
      <c r="K26" s="792"/>
    </row>
    <row r="27" spans="1:11" ht="12" customHeight="1" x14ac:dyDescent="0.2">
      <c r="A27" s="791"/>
      <c r="B27" s="6"/>
      <c r="C27" s="6"/>
      <c r="D27" s="6"/>
      <c r="E27" s="6"/>
      <c r="F27" s="6"/>
      <c r="G27" s="6"/>
      <c r="H27" s="6"/>
      <c r="I27" s="6"/>
      <c r="J27" s="6"/>
      <c r="K27" s="792"/>
    </row>
    <row r="28" spans="1:11" ht="12.75" x14ac:dyDescent="0.2">
      <c r="A28" s="791"/>
      <c r="B28" s="6"/>
      <c r="C28" s="6"/>
      <c r="D28" s="6"/>
      <c r="E28"/>
      <c r="F28" s="6"/>
      <c r="G28" s="6"/>
      <c r="H28" s="6"/>
      <c r="I28" s="6"/>
      <c r="J28" s="6"/>
      <c r="K28" s="792"/>
    </row>
    <row r="29" spans="1:11" ht="11.25" customHeight="1" x14ac:dyDescent="0.2">
      <c r="A29" s="791"/>
      <c r="B29" s="6"/>
      <c r="C29" s="6"/>
      <c r="D29" s="6"/>
      <c r="E29" s="6"/>
      <c r="F29" s="6"/>
      <c r="G29" s="6"/>
      <c r="H29" s="6"/>
      <c r="I29" s="6"/>
      <c r="J29" s="6"/>
      <c r="K29" s="792"/>
    </row>
    <row r="30" spans="1:11" ht="11.25" customHeight="1" x14ac:dyDescent="0.2">
      <c r="A30" s="791"/>
      <c r="B30" s="6"/>
      <c r="C30" s="6"/>
      <c r="D30" s="6"/>
      <c r="E30" s="6"/>
      <c r="F30" s="6"/>
      <c r="G30" s="6"/>
      <c r="H30" s="6"/>
      <c r="I30" s="6"/>
      <c r="J30" s="6"/>
      <c r="K30" s="792"/>
    </row>
    <row r="31" spans="1:11" ht="10.5" customHeight="1" x14ac:dyDescent="0.2">
      <c r="A31" s="791"/>
      <c r="B31" s="6"/>
      <c r="C31" s="6"/>
      <c r="D31" s="6"/>
      <c r="E31" s="6"/>
      <c r="F31" s="6"/>
      <c r="G31" s="6"/>
      <c r="H31" s="6"/>
      <c r="I31" s="6"/>
      <c r="J31" s="6"/>
      <c r="K31" s="792"/>
    </row>
    <row r="32" spans="1:11" ht="10.5" customHeight="1" x14ac:dyDescent="0.2">
      <c r="A32" s="791"/>
      <c r="B32" s="6"/>
      <c r="C32" s="6"/>
      <c r="D32" s="6"/>
      <c r="E32" s="6"/>
      <c r="F32" s="6"/>
      <c r="G32" s="6"/>
      <c r="H32" s="6"/>
      <c r="I32" s="6"/>
      <c r="J32" s="6"/>
      <c r="K32" s="792"/>
    </row>
    <row r="33" spans="1:11" ht="13.5" customHeight="1" x14ac:dyDescent="0.2">
      <c r="A33" s="791"/>
      <c r="B33" s="6"/>
      <c r="C33" s="6"/>
      <c r="D33" s="6"/>
      <c r="E33" s="6"/>
      <c r="F33" s="6"/>
      <c r="G33" s="6"/>
      <c r="H33" s="6"/>
      <c r="I33" s="6"/>
      <c r="J33" s="6"/>
      <c r="K33" s="792"/>
    </row>
    <row r="34" spans="1:11" s="641" customFormat="1" ht="13.5" customHeight="1" x14ac:dyDescent="0.2">
      <c r="A34" s="797"/>
      <c r="B34" s="928" t="s">
        <v>838</v>
      </c>
      <c r="C34" s="928"/>
      <c r="D34" s="928"/>
      <c r="E34" s="928"/>
      <c r="F34" s="928"/>
      <c r="G34" s="6"/>
      <c r="H34" s="6"/>
      <c r="I34" s="6"/>
      <c r="J34" s="6"/>
      <c r="K34" s="798"/>
    </row>
    <row r="35" spans="1:11" s="641" customFormat="1" ht="13.5" customHeight="1" x14ac:dyDescent="0.2">
      <c r="A35" s="797"/>
      <c r="B35" s="6"/>
      <c r="C35" s="6"/>
      <c r="D35" s="4"/>
      <c r="E35" s="4"/>
      <c r="F35" s="3"/>
      <c r="G35" s="4"/>
      <c r="H35" s="4"/>
      <c r="I35" s="4"/>
      <c r="J35" s="4"/>
      <c r="K35" s="798"/>
    </row>
    <row r="36" spans="1:11" ht="4.5" customHeight="1" x14ac:dyDescent="0.2">
      <c r="A36" s="799"/>
      <c r="B36" s="800"/>
      <c r="C36" s="800"/>
      <c r="D36" s="800"/>
      <c r="E36" s="801"/>
      <c r="F36" s="800"/>
      <c r="G36" s="800"/>
      <c r="H36" s="800"/>
      <c r="I36" s="800"/>
      <c r="J36" s="800"/>
      <c r="K36" s="802"/>
    </row>
  </sheetData>
  <sheetProtection selectLockedCells="1"/>
  <mergeCells count="11">
    <mergeCell ref="B34:F34"/>
    <mergeCell ref="E3:J4"/>
    <mergeCell ref="B8:J8"/>
    <mergeCell ref="B11:J11"/>
    <mergeCell ref="B21:J21"/>
    <mergeCell ref="B10:J10"/>
    <mergeCell ref="D17:F18"/>
    <mergeCell ref="H17:J18"/>
    <mergeCell ref="G17:G18"/>
    <mergeCell ref="B12:J12"/>
    <mergeCell ref="B26:D26"/>
  </mergeCells>
  <phoneticPr fontId="5" type="noConversion"/>
  <hyperlinks>
    <hyperlink ref="D17" r:id="rId1"/>
  </hyperlinks>
  <printOptions horizontalCentered="1" verticalCentered="1"/>
  <pageMargins left="0.55118110236220474" right="0.55118110236220474" top="0.55118110236220474" bottom="0.55118110236220474" header="0.51181102362204722" footer="0.74803149606299213"/>
  <pageSetup paperSize="9" orientation="landscape"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E60"/>
  <sheetViews>
    <sheetView showRowColHeaders="0" zoomScaleNormal="100" zoomScaleSheetLayoutView="100" workbookViewId="0">
      <selection activeCell="S5" sqref="S5"/>
    </sheetView>
  </sheetViews>
  <sheetFormatPr defaultColWidth="7.7109375" defaultRowHeight="11.25" x14ac:dyDescent="0.2"/>
  <cols>
    <col min="1" max="1" width="2.140625" style="601" customWidth="1"/>
    <col min="2" max="2" width="11" style="601" customWidth="1"/>
    <col min="3" max="3" width="47.7109375" style="601" customWidth="1"/>
    <col min="4" max="4" width="5" style="601" customWidth="1"/>
    <col min="5" max="5" width="5" style="602" customWidth="1"/>
    <col min="6" max="8" width="5" style="601" customWidth="1"/>
    <col min="9" max="27" width="5" style="549" customWidth="1"/>
    <col min="28" max="28" width="2.140625" style="549" customWidth="1"/>
    <col min="29" max="29" width="0.140625" style="549" customWidth="1"/>
    <col min="30" max="30" width="6.42578125" style="549" customWidth="1"/>
    <col min="31" max="53" width="7.7109375" style="549" hidden="1" customWidth="1"/>
    <col min="54" max="16384" width="7.7109375" style="549"/>
  </cols>
  <sheetData>
    <row r="1" spans="1:57" ht="18.75" customHeight="1" x14ac:dyDescent="0.2">
      <c r="A1" s="859"/>
      <c r="B1" s="860"/>
      <c r="C1" s="860"/>
      <c r="D1" s="860"/>
      <c r="E1" s="860"/>
      <c r="F1" s="860"/>
      <c r="G1" s="860"/>
      <c r="H1" s="861"/>
      <c r="I1" s="860"/>
      <c r="J1" s="860"/>
      <c r="K1" s="860"/>
      <c r="L1" s="860"/>
      <c r="M1" s="860"/>
      <c r="N1" s="860"/>
      <c r="O1" s="860"/>
      <c r="P1" s="860"/>
      <c r="Q1" s="860"/>
      <c r="R1" s="860"/>
      <c r="S1" s="860"/>
      <c r="T1" s="860"/>
      <c r="U1" s="862"/>
      <c r="V1" s="862"/>
      <c r="W1" s="863"/>
      <c r="X1" s="863"/>
      <c r="Y1" s="863"/>
      <c r="Z1" s="863"/>
      <c r="AA1" s="863"/>
      <c r="AB1" s="864"/>
      <c r="AC1" s="553"/>
      <c r="AD1" s="548"/>
    </row>
    <row r="2" spans="1:57" ht="18.75" customHeight="1" x14ac:dyDescent="0.2">
      <c r="A2" s="563"/>
      <c r="B2" s="806"/>
      <c r="C2" s="774" t="str">
        <f>Frontpage!E3&amp;" "&amp;Frontpage!J5</f>
        <v>Annual Report
 (Public) 2017-18</v>
      </c>
      <c r="D2" s="550"/>
      <c r="E2" s="550"/>
      <c r="F2" s="550"/>
      <c r="G2" s="550"/>
      <c r="H2" s="551"/>
      <c r="I2" s="550"/>
      <c r="J2" s="550"/>
      <c r="K2" s="550"/>
      <c r="L2" s="550"/>
      <c r="M2" s="550"/>
      <c r="N2" s="550"/>
      <c r="O2" s="550"/>
      <c r="P2" s="550"/>
      <c r="Q2" s="550"/>
      <c r="R2" s="550"/>
      <c r="S2" s="550"/>
      <c r="T2" s="550"/>
      <c r="U2" s="552"/>
      <c r="V2" s="552"/>
      <c r="W2" s="553"/>
      <c r="X2" s="553"/>
      <c r="Y2" s="553"/>
      <c r="Z2" s="553"/>
      <c r="AA2" s="553"/>
      <c r="AB2" s="554"/>
      <c r="AC2" s="553"/>
      <c r="AD2" s="548"/>
    </row>
    <row r="3" spans="1:57" ht="18.75" customHeight="1" x14ac:dyDescent="0.2">
      <c r="A3" s="865"/>
      <c r="B3" s="807"/>
      <c r="C3" s="555"/>
      <c r="D3" s="555"/>
      <c r="E3" s="555"/>
      <c r="F3" s="555"/>
      <c r="G3" s="555"/>
      <c r="H3" s="556"/>
      <c r="I3" s="555"/>
      <c r="J3" s="555"/>
      <c r="K3" s="555"/>
      <c r="L3" s="555"/>
      <c r="M3" s="555"/>
      <c r="N3" s="555"/>
      <c r="O3" s="555"/>
      <c r="P3" s="555"/>
      <c r="Q3" s="555"/>
      <c r="R3" s="555"/>
      <c r="S3" s="555"/>
      <c r="T3" s="555"/>
      <c r="U3" s="557"/>
      <c r="V3" s="557"/>
      <c r="W3" s="558"/>
      <c r="X3" s="558"/>
      <c r="Y3" s="558"/>
      <c r="Z3" s="558"/>
      <c r="AA3" s="558"/>
      <c r="AB3" s="559"/>
      <c r="AC3" s="553"/>
      <c r="AD3" s="548"/>
    </row>
    <row r="4" spans="1:57" ht="11.25" customHeight="1" x14ac:dyDescent="0.2">
      <c r="A4" s="563"/>
      <c r="B4" s="550"/>
      <c r="C4" s="550"/>
      <c r="D4" s="550"/>
      <c r="E4" s="560"/>
      <c r="F4" s="550"/>
      <c r="G4" s="550"/>
      <c r="H4" s="550"/>
      <c r="I4" s="550"/>
      <c r="J4" s="550"/>
      <c r="K4" s="550"/>
      <c r="L4" s="550"/>
      <c r="M4" s="550"/>
      <c r="N4" s="550"/>
      <c r="O4" s="550"/>
      <c r="P4" s="550"/>
      <c r="Q4" s="550"/>
      <c r="R4" s="550"/>
      <c r="S4" s="550"/>
      <c r="T4" s="550"/>
      <c r="U4" s="550"/>
      <c r="V4" s="550"/>
      <c r="W4" s="550"/>
      <c r="X4" s="550"/>
      <c r="Y4" s="550"/>
      <c r="Z4" s="550"/>
      <c r="AA4" s="550"/>
      <c r="AB4" s="561"/>
      <c r="AC4" s="550"/>
      <c r="AD4" s="562"/>
    </row>
    <row r="5" spans="1:57" ht="15" customHeight="1" x14ac:dyDescent="0.2">
      <c r="A5" s="563"/>
      <c r="B5" s="915" t="s">
        <v>876</v>
      </c>
      <c r="C5" s="550"/>
      <c r="D5" s="550"/>
      <c r="E5" s="560"/>
      <c r="F5" s="550"/>
      <c r="G5" s="550"/>
      <c r="H5" s="550"/>
      <c r="I5" s="550"/>
      <c r="J5" s="550"/>
      <c r="K5" s="550"/>
      <c r="L5" s="550"/>
      <c r="M5" s="550"/>
      <c r="N5" s="550"/>
      <c r="O5" s="550"/>
      <c r="P5" s="550"/>
      <c r="Q5" s="550"/>
      <c r="R5" s="550"/>
      <c r="S5" s="550"/>
      <c r="T5" s="550"/>
      <c r="U5" s="550"/>
      <c r="V5" s="550"/>
      <c r="W5" s="550"/>
      <c r="X5" s="550"/>
      <c r="Y5" s="550"/>
      <c r="Z5" s="550"/>
      <c r="AA5" s="550"/>
      <c r="AB5" s="561"/>
      <c r="AC5" s="550"/>
      <c r="AD5" s="562"/>
    </row>
    <row r="6" spans="1:57" ht="16.5" customHeight="1" x14ac:dyDescent="0.2">
      <c r="A6" s="563"/>
      <c r="B6" s="917" t="s">
        <v>877</v>
      </c>
      <c r="C6" s="917"/>
      <c r="D6" s="550"/>
      <c r="E6" s="560"/>
      <c r="F6" s="550"/>
      <c r="G6" s="550"/>
      <c r="H6" s="550"/>
      <c r="I6" s="550"/>
      <c r="J6" s="550"/>
      <c r="K6" s="550"/>
      <c r="L6" s="550"/>
      <c r="M6" s="550"/>
      <c r="N6" s="550"/>
      <c r="O6" s="550"/>
      <c r="P6" s="550"/>
      <c r="Q6" s="550"/>
      <c r="R6" s="550"/>
      <c r="S6" s="550"/>
      <c r="T6" s="550"/>
      <c r="U6" s="550"/>
      <c r="V6" s="550"/>
      <c r="W6" s="550"/>
      <c r="X6" s="550"/>
      <c r="Y6" s="550"/>
      <c r="Z6" s="550"/>
      <c r="AA6" s="550"/>
      <c r="AB6" s="561"/>
      <c r="AC6" s="550"/>
      <c r="AD6" s="562"/>
    </row>
    <row r="7" spans="1:57" ht="16.5" customHeight="1" x14ac:dyDescent="0.2">
      <c r="A7" s="563"/>
      <c r="B7" s="917" t="s">
        <v>879</v>
      </c>
      <c r="C7" s="917"/>
      <c r="D7" s="550"/>
      <c r="E7" s="560"/>
      <c r="F7" s="550"/>
      <c r="G7" s="916"/>
      <c r="H7" s="550"/>
      <c r="I7" s="550"/>
      <c r="J7" s="550"/>
      <c r="K7" s="550"/>
      <c r="L7" s="550"/>
      <c r="M7" s="550"/>
      <c r="N7" s="550"/>
      <c r="O7" s="550"/>
      <c r="P7" s="550"/>
      <c r="Q7" s="550"/>
      <c r="R7" s="550"/>
      <c r="S7" s="550"/>
      <c r="T7" s="550"/>
      <c r="U7" s="550"/>
      <c r="V7" s="550"/>
      <c r="W7" s="550"/>
      <c r="X7" s="550"/>
      <c r="Y7" s="550"/>
      <c r="Z7" s="550"/>
      <c r="AA7" s="550"/>
      <c r="AB7" s="561"/>
      <c r="AC7" s="550"/>
      <c r="AD7" s="562"/>
    </row>
    <row r="8" spans="1:57" ht="16.5" customHeight="1" x14ac:dyDescent="0.2">
      <c r="A8" s="563"/>
      <c r="B8" s="917" t="s">
        <v>878</v>
      </c>
      <c r="C8" s="917"/>
      <c r="D8" s="550"/>
      <c r="E8" s="560"/>
      <c r="F8" s="550"/>
      <c r="G8" s="550"/>
      <c r="H8" s="550"/>
      <c r="I8" s="550"/>
      <c r="J8" s="550"/>
      <c r="K8" s="550"/>
      <c r="L8" s="550"/>
      <c r="M8" s="550"/>
      <c r="N8" s="550"/>
      <c r="O8" s="550"/>
      <c r="P8" s="550"/>
      <c r="Q8" s="550"/>
      <c r="R8" s="550"/>
      <c r="S8" s="550"/>
      <c r="T8" s="550"/>
      <c r="U8" s="550"/>
      <c r="V8" s="550"/>
      <c r="W8" s="550"/>
      <c r="X8" s="550"/>
      <c r="Y8" s="550"/>
      <c r="Z8" s="550"/>
      <c r="AA8" s="550"/>
      <c r="AB8" s="561"/>
      <c r="AC8" s="550"/>
      <c r="AD8" s="562"/>
    </row>
    <row r="9" spans="1:57" ht="7.5" customHeight="1" x14ac:dyDescent="0.2">
      <c r="A9" s="563"/>
      <c r="B9" s="550"/>
      <c r="C9" s="550"/>
      <c r="D9" s="550"/>
      <c r="E9" s="560"/>
      <c r="F9" s="550"/>
      <c r="G9" s="550"/>
      <c r="H9" s="550"/>
      <c r="I9" s="550"/>
      <c r="J9" s="550"/>
      <c r="K9" s="550"/>
      <c r="L9" s="550"/>
      <c r="M9" s="550"/>
      <c r="N9" s="550"/>
      <c r="O9" s="550"/>
      <c r="P9" s="550"/>
      <c r="Q9" s="550"/>
      <c r="R9" s="550"/>
      <c r="S9" s="550"/>
      <c r="T9" s="550"/>
      <c r="U9" s="550"/>
      <c r="V9" s="550"/>
      <c r="W9" s="550"/>
      <c r="X9" s="550"/>
      <c r="Y9" s="550"/>
      <c r="Z9" s="550"/>
      <c r="AA9" s="550"/>
      <c r="AB9" s="561"/>
      <c r="AC9" s="550"/>
      <c r="AD9" s="562"/>
    </row>
    <row r="10" spans="1:57" ht="13.5" customHeight="1" x14ac:dyDescent="0.2">
      <c r="A10" s="563"/>
      <c r="B10" s="959" t="s">
        <v>85</v>
      </c>
      <c r="C10" s="959"/>
      <c r="D10" s="958" t="s">
        <v>221</v>
      </c>
      <c r="E10" s="958"/>
      <c r="F10" s="958"/>
      <c r="G10" s="958"/>
      <c r="H10" s="958"/>
      <c r="I10" s="550"/>
      <c r="J10" s="550"/>
      <c r="K10" s="550"/>
      <c r="L10" s="550"/>
      <c r="M10" s="550"/>
      <c r="N10" s="550"/>
      <c r="O10" s="550"/>
      <c r="P10" s="550"/>
      <c r="Q10" s="550"/>
      <c r="R10" s="550"/>
      <c r="S10" s="550"/>
      <c r="T10" s="550"/>
      <c r="U10" s="550"/>
      <c r="V10" s="550"/>
      <c r="X10" s="550"/>
      <c r="Y10" s="550"/>
      <c r="Z10" s="550"/>
      <c r="AA10" s="550"/>
      <c r="AB10" s="561"/>
      <c r="AC10" s="550"/>
      <c r="AD10" s="562"/>
    </row>
    <row r="11" spans="1:57" s="773" customFormat="1" ht="7.5" customHeight="1" thickBot="1" x14ac:dyDescent="0.25">
      <c r="A11" s="768"/>
      <c r="B11" s="769"/>
      <c r="C11" s="769"/>
      <c r="D11" s="769"/>
      <c r="E11" s="770"/>
      <c r="F11" s="769"/>
      <c r="G11" s="769"/>
      <c r="H11" s="769"/>
      <c r="I11" s="769"/>
      <c r="J11" s="769"/>
      <c r="K11" s="769"/>
      <c r="L11" s="769"/>
      <c r="M11" s="769"/>
      <c r="N11" s="769"/>
      <c r="O11" s="769"/>
      <c r="P11" s="769"/>
      <c r="Q11" s="769"/>
      <c r="R11" s="769"/>
      <c r="S11" s="769"/>
      <c r="T11" s="769"/>
      <c r="U11" s="769"/>
      <c r="V11" s="769"/>
      <c r="W11" s="769"/>
      <c r="X11" s="769"/>
      <c r="Y11" s="769"/>
      <c r="Z11" s="769"/>
      <c r="AA11" s="769"/>
      <c r="AB11" s="771"/>
      <c r="AC11" s="769"/>
      <c r="AD11" s="772"/>
    </row>
    <row r="12" spans="1:57" s="569" customFormat="1" ht="57.75" customHeight="1" x14ac:dyDescent="0.2">
      <c r="A12" s="564"/>
      <c r="B12" s="957" t="s">
        <v>871</v>
      </c>
      <c r="C12" s="957"/>
      <c r="D12" s="955" t="s">
        <v>0</v>
      </c>
      <c r="E12" s="951" t="s">
        <v>32</v>
      </c>
      <c r="F12" s="951" t="s">
        <v>9</v>
      </c>
      <c r="G12" s="951" t="s">
        <v>4</v>
      </c>
      <c r="H12" s="951" t="s">
        <v>6</v>
      </c>
      <c r="I12" s="951" t="s">
        <v>1</v>
      </c>
      <c r="J12" s="951" t="s">
        <v>10</v>
      </c>
      <c r="K12" s="951" t="s">
        <v>2</v>
      </c>
      <c r="L12" s="951" t="s">
        <v>11</v>
      </c>
      <c r="M12" s="951" t="s">
        <v>12</v>
      </c>
      <c r="N12" s="951" t="s">
        <v>13</v>
      </c>
      <c r="O12" s="951" t="s">
        <v>3</v>
      </c>
      <c r="P12" s="951" t="s">
        <v>14</v>
      </c>
      <c r="Q12" s="951" t="s">
        <v>93</v>
      </c>
      <c r="R12" s="951" t="s">
        <v>15</v>
      </c>
      <c r="S12" s="951" t="s">
        <v>7</v>
      </c>
      <c r="T12" s="951" t="s">
        <v>116</v>
      </c>
      <c r="U12" s="951" t="s">
        <v>117</v>
      </c>
      <c r="V12" s="951" t="s">
        <v>16</v>
      </c>
      <c r="W12" s="951" t="s">
        <v>5</v>
      </c>
      <c r="X12" s="951" t="s">
        <v>31</v>
      </c>
      <c r="Y12" s="953" t="s">
        <v>17</v>
      </c>
      <c r="Z12" s="947" t="s">
        <v>74</v>
      </c>
      <c r="AA12" s="949" t="s">
        <v>130</v>
      </c>
      <c r="AB12" s="565"/>
      <c r="AC12" s="866"/>
      <c r="AD12" s="566"/>
      <c r="AE12" s="567" t="s">
        <v>221</v>
      </c>
      <c r="AF12" s="567" t="s">
        <v>0</v>
      </c>
      <c r="AG12" s="567" t="s">
        <v>32</v>
      </c>
      <c r="AH12" s="567" t="s">
        <v>9</v>
      </c>
      <c r="AI12" s="567" t="s">
        <v>4</v>
      </c>
      <c r="AJ12" s="567" t="s">
        <v>6</v>
      </c>
      <c r="AK12" s="567" t="s">
        <v>1</v>
      </c>
      <c r="AL12" s="567" t="s">
        <v>10</v>
      </c>
      <c r="AM12" s="567" t="s">
        <v>2</v>
      </c>
      <c r="AN12" s="567" t="s">
        <v>11</v>
      </c>
      <c r="AO12" s="567" t="s">
        <v>12</v>
      </c>
      <c r="AP12" s="567" t="s">
        <v>13</v>
      </c>
      <c r="AQ12" s="567" t="s">
        <v>3</v>
      </c>
      <c r="AR12" s="567" t="s">
        <v>14</v>
      </c>
      <c r="AS12" s="567" t="s">
        <v>93</v>
      </c>
      <c r="AT12" s="567" t="s">
        <v>15</v>
      </c>
      <c r="AU12" s="567" t="s">
        <v>7</v>
      </c>
      <c r="AV12" s="567" t="s">
        <v>116</v>
      </c>
      <c r="AW12" s="567" t="s">
        <v>117</v>
      </c>
      <c r="AX12" s="567" t="s">
        <v>16</v>
      </c>
      <c r="AY12" s="567" t="s">
        <v>5</v>
      </c>
      <c r="AZ12" s="567" t="s">
        <v>31</v>
      </c>
      <c r="BA12" s="567" t="s">
        <v>17</v>
      </c>
      <c r="BB12" s="568"/>
      <c r="BC12" s="568"/>
      <c r="BD12" s="568"/>
      <c r="BE12" s="568"/>
    </row>
    <row r="13" spans="1:57" s="569" customFormat="1" ht="11.25" customHeight="1" thickBot="1" x14ac:dyDescent="0.25">
      <c r="A13" s="564"/>
      <c r="B13" s="808" t="s">
        <v>222</v>
      </c>
      <c r="C13" s="808" t="s">
        <v>223</v>
      </c>
      <c r="D13" s="956"/>
      <c r="E13" s="952"/>
      <c r="F13" s="952"/>
      <c r="G13" s="952"/>
      <c r="H13" s="952"/>
      <c r="I13" s="952"/>
      <c r="J13" s="952"/>
      <c r="K13" s="952"/>
      <c r="L13" s="952"/>
      <c r="M13" s="952"/>
      <c r="N13" s="952"/>
      <c r="O13" s="952"/>
      <c r="P13" s="952"/>
      <c r="Q13" s="952"/>
      <c r="R13" s="952"/>
      <c r="S13" s="952"/>
      <c r="T13" s="952"/>
      <c r="U13" s="952"/>
      <c r="V13" s="952"/>
      <c r="W13" s="952"/>
      <c r="X13" s="952"/>
      <c r="Y13" s="954"/>
      <c r="Z13" s="948"/>
      <c r="AA13" s="950"/>
      <c r="AB13" s="565"/>
      <c r="AC13" s="866"/>
      <c r="AD13" s="566"/>
      <c r="AE13" s="567"/>
      <c r="AF13" s="567"/>
      <c r="AG13" s="567"/>
      <c r="AH13" s="567"/>
      <c r="AI13" s="567"/>
      <c r="AJ13" s="567"/>
      <c r="AK13" s="567"/>
      <c r="AL13" s="567"/>
      <c r="AM13" s="567"/>
      <c r="AN13" s="567"/>
      <c r="AO13" s="567"/>
      <c r="AP13" s="567"/>
      <c r="AQ13" s="567"/>
      <c r="AR13" s="567"/>
      <c r="AS13" s="567"/>
      <c r="AT13" s="567"/>
      <c r="AU13" s="567"/>
      <c r="AV13" s="567"/>
      <c r="AW13" s="567"/>
      <c r="AX13" s="567"/>
      <c r="AY13" s="567"/>
      <c r="AZ13" s="567"/>
      <c r="BA13" s="567"/>
      <c r="BB13" s="568"/>
      <c r="BC13" s="568"/>
      <c r="BD13" s="568"/>
      <c r="BE13" s="568"/>
    </row>
    <row r="14" spans="1:57" s="515" customFormat="1" ht="22.5" x14ac:dyDescent="0.2">
      <c r="A14" s="570"/>
      <c r="B14" s="960" t="s">
        <v>80</v>
      </c>
      <c r="C14" s="582" t="s">
        <v>224</v>
      </c>
      <c r="D14" s="811">
        <f>IFERROR(VLOOKUP(D12,Referrals!$B$9:$O$32,14,FALSE),"")</f>
        <v>647.9997150083716</v>
      </c>
      <c r="E14" s="572">
        <f>IFERROR(VLOOKUP(E12,Referrals!$B$9:$O$32,14,FALSE),"")</f>
        <v>655.93064082697481</v>
      </c>
      <c r="F14" s="572">
        <f>IFERROR(VLOOKUP(F12,Referrals!$B$9:$O$32,14,FALSE),"")</f>
        <v>839.89437334958347</v>
      </c>
      <c r="G14" s="572">
        <f>IFERROR(VLOOKUP(G12,Referrals!$B$9:$O$32,14,FALSE),"")</f>
        <v>411.80630864255738</v>
      </c>
      <c r="H14" s="572">
        <f>IFERROR(VLOOKUP(H12,Referrals!$B$9:$O$32,14,FALSE),"")</f>
        <v>568.80351835772319</v>
      </c>
      <c r="I14" s="572">
        <f>IFERROR(VLOOKUP(I12,Referrals!$B$9:$O$32,14,FALSE),"")</f>
        <v>882.85771303133106</v>
      </c>
      <c r="J14" s="572">
        <f>IFERROR(VLOOKUP(J12,Referrals!$B$9:$O$32,14,FALSE),"")</f>
        <v>576.42298193936142</v>
      </c>
      <c r="K14" s="572">
        <f>IFERROR(VLOOKUP(K12,Referrals!$B$9:$O$32,14,FALSE),"")</f>
        <v>408.48881034671507</v>
      </c>
      <c r="L14" s="572">
        <f>IFERROR(VLOOKUP(L12,Referrals!$B$9:$O$32,14,FALSE),"")</f>
        <v>348.72204236699338</v>
      </c>
      <c r="M14" s="572">
        <f>IFERROR(VLOOKUP(M12,Referrals!$B$9:$O$32,14,FALSE),"")</f>
        <v>475.02858258275006</v>
      </c>
      <c r="N14" s="572">
        <f>IFERROR(VLOOKUP(N12,Referrals!$B$9:$O$32,14,FALSE),"")</f>
        <v>643.78167994207092</v>
      </c>
      <c r="O14" s="572">
        <f>IFERROR(VLOOKUP(O12,Referrals!$B$9:$O$32,14,FALSE),"")</f>
        <v>708.48947240719269</v>
      </c>
      <c r="P14" s="572">
        <f>IFERROR(VLOOKUP(P12,Referrals!$B$9:$O$32,14,FALSE),"")</f>
        <v>377.19298245614033</v>
      </c>
      <c r="Q14" s="572">
        <f>IFERROR(VLOOKUP(Q12,Referrals!$B$9:$O$32,14,FALSE),"")</f>
        <v>469.1871661640202</v>
      </c>
      <c r="R14" s="572">
        <f>IFERROR(VLOOKUP(R12,Referrals!$B$9:$O$32,14,FALSE),"")</f>
        <v>519.43146804492596</v>
      </c>
      <c r="S14" s="572">
        <f>IFERROR(VLOOKUP(S12,Referrals!$B$9:$O$32,14,FALSE),"")</f>
        <v>523.46286087474311</v>
      </c>
      <c r="T14" s="572">
        <f>IFERROR(VLOOKUP(T12,Referrals!$B$9:$O$32,14,FALSE),"")</f>
        <v>726.50428651550362</v>
      </c>
      <c r="U14" s="572">
        <f>IFERROR(VLOOKUP(U12,Referrals!$B$9:$O$32,14,FALSE),"")</f>
        <v>710.15462092300436</v>
      </c>
      <c r="V14" s="572">
        <f>IFERROR(VLOOKUP(V12,Referrals!$B$9:$O$32,14,FALSE),"")</f>
        <v>422.46437552388937</v>
      </c>
      <c r="W14" s="572">
        <f>IFERROR(VLOOKUP(W12,Referrals!$B$9:$O$32,14,FALSE),"")</f>
        <v>576.80876726242343</v>
      </c>
      <c r="X14" s="572">
        <f>IFERROR(VLOOKUP(X12,Referrals!$B$9:$O$32,14,FALSE),"")</f>
        <v>308.8612016767583</v>
      </c>
      <c r="Y14" s="812">
        <f>IFERROR(VLOOKUP(Y12,Referrals!$B$9:$O$32,14,FALSE),"")</f>
        <v>354.24525864296419</v>
      </c>
      <c r="Z14" s="583">
        <f>IFERROR(VLOOKUP(Z12,Referrals!$B$9:$O$32,14,FALSE),"")</f>
        <v>548.34054834054837</v>
      </c>
      <c r="AA14" s="583">
        <f>IFERROR(VLOOKUP(AA12,Referrals!$B$9:$O$32,14,FALSE),"")</f>
        <v>552.48367378427349</v>
      </c>
      <c r="AB14" s="574"/>
      <c r="AC14" s="867"/>
      <c r="AD14" s="575"/>
      <c r="AE14" s="576"/>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row>
    <row r="15" spans="1:57" s="515" customFormat="1" ht="22.5" customHeight="1" thickBot="1" x14ac:dyDescent="0.25">
      <c r="A15" s="570"/>
      <c r="B15" s="961"/>
      <c r="C15" s="586" t="s">
        <v>225</v>
      </c>
      <c r="D15" s="818">
        <f>IFERROR(VLOOKUP(D12,Referrals!$B$110:$H$133,7,FALSE),"")</f>
        <v>0.9279824079164376</v>
      </c>
      <c r="E15" s="604">
        <f>IFERROR(VLOOKUP(E12,Referrals!$B$110:$H$133,7,FALSE),"")</f>
        <v>0.9087918660287081</v>
      </c>
      <c r="F15" s="604">
        <f>IFERROR(VLOOKUP(F12,Referrals!$B$110:$H$133,7,FALSE),"")</f>
        <v>0.74102737738221924</v>
      </c>
      <c r="G15" s="604">
        <f>IFERROR(VLOOKUP(G12,Referrals!$B$110:$H$133,7,FALSE),"")</f>
        <v>0.9814517975727044</v>
      </c>
      <c r="H15" s="604">
        <f>IFERROR(VLOOKUP(H12,Referrals!$B$110:$H$133,7,FALSE),"")</f>
        <v>0.83599131244182434</v>
      </c>
      <c r="I15" s="604">
        <f>IFERROR(VLOOKUP(I12,Referrals!$B$110:$H$133,7,FALSE),"")</f>
        <v>0.80605786618444841</v>
      </c>
      <c r="J15" s="604">
        <f>IFERROR(VLOOKUP(J12,Referrals!$B$110:$H$133,7,FALSE),"")</f>
        <v>0.99236050172921075</v>
      </c>
      <c r="K15" s="604">
        <f>IFERROR(VLOOKUP(K12,Referrals!$B$110:$H$133,7,FALSE),"")</f>
        <v>0.92534456355283312</v>
      </c>
      <c r="L15" s="604">
        <f>IFERROR(VLOOKUP(L12,Referrals!$B$110:$H$133,7,FALSE),"")</f>
        <v>0.81644764730818142</v>
      </c>
      <c r="M15" s="604">
        <f>IFERROR(VLOOKUP(M12,Referrals!$B$110:$H$133,7,FALSE),"")</f>
        <v>0.79439389492221901</v>
      </c>
      <c r="N15" s="604">
        <f>IFERROR(VLOOKUP(N12,Referrals!$B$110:$H$133,7,FALSE),"")</f>
        <v>0.98137082601054482</v>
      </c>
      <c r="O15" s="604">
        <f>IFERROR(VLOOKUP(O12,Referrals!$B$110:$H$133,7,FALSE),"")</f>
        <v>0.98820395738203959</v>
      </c>
      <c r="P15" s="604">
        <f>IFERROR(VLOOKUP(P12,Referrals!$B$110:$H$133,7,FALSE),"")</f>
        <v>0.99245757385292266</v>
      </c>
      <c r="Q15" s="604">
        <f>IFERROR(VLOOKUP(Q12,Referrals!$B$110:$H$133,7,FALSE),"")</f>
        <v>0.97715392061955475</v>
      </c>
      <c r="R15" s="604">
        <f>IFERROR(VLOOKUP(R12,Referrals!$B$110:$H$133,7,FALSE),"")</f>
        <v>0.99540757749712971</v>
      </c>
      <c r="S15" s="604">
        <f>IFERROR(VLOOKUP(S12,Referrals!$B$110:$H$133,7,FALSE),"")</f>
        <v>0.99288125642154701</v>
      </c>
      <c r="T15" s="604">
        <f>IFERROR(VLOOKUP(T12,Referrals!$B$110:$H$133,7,FALSE),"")</f>
        <v>0.92390405293631095</v>
      </c>
      <c r="U15" s="604">
        <f>IFERROR(VLOOKUP(U12,Referrals!$B$110:$H$133,7,FALSE),"")</f>
        <v>0.87922437673130194</v>
      </c>
      <c r="V15" s="604">
        <f>IFERROR(VLOOKUP(V12,Referrals!$B$110:$H$133,7,FALSE),"")</f>
        <v>1</v>
      </c>
      <c r="W15" s="604">
        <f>IFERROR(VLOOKUP(W12,Referrals!$B$110:$H$133,7,FALSE),"")</f>
        <v>1</v>
      </c>
      <c r="X15" s="604">
        <f>IFERROR(VLOOKUP(X12,Referrals!$B$110:$H$133,7,FALSE),"")</f>
        <v>0.85768143261074459</v>
      </c>
      <c r="Y15" s="819">
        <f>IFERROR(VLOOKUP(Y12,Referrals!$B$110:$H$133,7,FALSE),"")</f>
        <v>0.96425966447848288</v>
      </c>
      <c r="Z15" s="587">
        <f>IFERROR(VLOOKUP(Z12,Referrals!$B$110:$H$133,7,FALSE),"")</f>
        <v>0.91697157331832257</v>
      </c>
      <c r="AA15" s="587">
        <f>IFERROR(VLOOKUP(AA12,Referrals!$B$110:$H$133,7,FALSE),"")</f>
        <v>0.90590729527324865</v>
      </c>
      <c r="AB15" s="574"/>
      <c r="AC15" s="867"/>
      <c r="AD15" s="575"/>
      <c r="AE15" s="576"/>
      <c r="AF15" s="576"/>
      <c r="AG15" s="576"/>
      <c r="AH15" s="576"/>
      <c r="AI15" s="576"/>
      <c r="AJ15" s="576"/>
      <c r="AK15" s="576"/>
      <c r="AL15" s="576"/>
      <c r="AM15" s="576"/>
      <c r="AN15" s="576"/>
      <c r="AO15" s="576"/>
      <c r="AP15" s="576"/>
      <c r="AQ15" s="576"/>
      <c r="AR15" s="576"/>
      <c r="AS15" s="576"/>
      <c r="AT15" s="576"/>
      <c r="AU15" s="576"/>
      <c r="AV15" s="576"/>
      <c r="AW15" s="576"/>
      <c r="AX15" s="576"/>
      <c r="AY15" s="576"/>
      <c r="AZ15" s="576"/>
      <c r="BA15" s="576"/>
    </row>
    <row r="16" spans="1:57" s="515" customFormat="1" ht="21" customHeight="1" x14ac:dyDescent="0.2">
      <c r="A16" s="570"/>
      <c r="B16" s="967" t="s">
        <v>870</v>
      </c>
      <c r="C16" s="592" t="s">
        <v>226</v>
      </c>
      <c r="D16" s="820">
        <f>IFERROR(VLOOKUP(D$12,Referral_Source!$BC$33:$BM$56,2,FALSE),"")</f>
        <v>6.4321055525013743E-2</v>
      </c>
      <c r="E16" s="751">
        <f>IFERROR(VLOOKUP(E$12,Referral_Source!$BC$33:$BM$56,2,FALSE),"")</f>
        <v>4.6351674641148324E-2</v>
      </c>
      <c r="F16" s="751">
        <f>IFERROR(VLOOKUP(F$12,Referral_Source!$BC$33:$BM$56,2,FALSE),"")</f>
        <v>7.2651639740737156E-2</v>
      </c>
      <c r="G16" s="751">
        <f>IFERROR(VLOOKUP(G$12,Referral_Source!$BC$33:$BM$56,2,FALSE),"")</f>
        <v>9.5030913670712161E-2</v>
      </c>
      <c r="H16" s="751">
        <f>IFERROR(VLOOKUP(H$12,Referral_Source!$BC$33:$BM$56,2,FALSE),"")</f>
        <v>0.11399317406143344</v>
      </c>
      <c r="I16" s="751">
        <f>IFERROR(VLOOKUP(I$12,Referral_Source!$BC$33:$BM$56,2,FALSE),"")</f>
        <v>9.7197106690777579E-2</v>
      </c>
      <c r="J16" s="751">
        <f>IFERROR(VLOOKUP(J$12,Referral_Source!$BC$33:$BM$56,2,FALSE),"")</f>
        <v>0.11190832602075053</v>
      </c>
      <c r="K16" s="751">
        <f>IFERROR(VLOOKUP(K$12,Referral_Source!$BC$33:$BM$56,2,FALSE),"")</f>
        <v>9.4563552833078102E-2</v>
      </c>
      <c r="L16" s="751">
        <f>IFERROR(VLOOKUP(L$12,Referral_Source!$BC$33:$BM$56,2,FALSE),"")</f>
        <v>9.1609589041095896E-2</v>
      </c>
      <c r="M16" s="751">
        <f>IFERROR(VLOOKUP(M$12,Referral_Source!$BC$33:$BM$56,2,FALSE),"")</f>
        <v>5.6207807455239213E-2</v>
      </c>
      <c r="N16" s="751">
        <f>IFERROR(VLOOKUP(N$12,Referral_Source!$BC$33:$BM$56,2,FALSE),"")</f>
        <v>8.6467486818980671E-2</v>
      </c>
      <c r="O16" s="751">
        <f>IFERROR(VLOOKUP(O$12,Referral_Source!$BC$33:$BM$56,2,FALSE),"")</f>
        <v>6.4665127020785224E-2</v>
      </c>
      <c r="P16" s="751">
        <f>IFERROR(VLOOKUP(P$12,Referral_Source!$BC$33:$BM$56,2,FALSE),"")</f>
        <v>6.9269521410579349E-2</v>
      </c>
      <c r="Q16" s="751">
        <f>IFERROR(VLOOKUP(Q$12,Referral_Source!$BC$33:$BM$56,2,FALSE),"")</f>
        <v>0.12410454985479187</v>
      </c>
      <c r="R16" s="751">
        <f>IFERROR(VLOOKUP(R$12,Referral_Source!$BC$33:$BM$56,2,FALSE),"")</f>
        <v>3.7887485648679678E-2</v>
      </c>
      <c r="S16" s="751">
        <f>IFERROR(VLOOKUP(S$12,Referral_Source!$BC$33:$BM$56,2,FALSE),"")</f>
        <v>4.7996477322765303E-2</v>
      </c>
      <c r="T16" s="751">
        <f>IFERROR(VLOOKUP(T$12,Referral_Source!$BC$33:$BM$56,2,FALSE),"")</f>
        <v>8.7951475048249239E-2</v>
      </c>
      <c r="U16" s="751">
        <f>IFERROR(VLOOKUP(U$12,Referral_Source!$BC$33:$BM$56,2,FALSE),"")</f>
        <v>7.8116343490304704E-2</v>
      </c>
      <c r="V16" s="751">
        <f>IFERROR(VLOOKUP(V$12,Referral_Source!$BC$33:$BM$56,2,FALSE),"")</f>
        <v>9.3163538873994645E-2</v>
      </c>
      <c r="W16" s="751">
        <f>IFERROR(VLOOKUP(W$12,Referral_Source!$BC$33:$BM$56,2,FALSE),"")</f>
        <v>9.1945972986493249E-2</v>
      </c>
      <c r="X16" s="751">
        <f>IFERROR(VLOOKUP(X$12,Referral_Source!$BC$33:$BM$56,2,FALSE),"")</f>
        <v>0.13854853911404336</v>
      </c>
      <c r="Y16" s="821">
        <f>IFERROR(VLOOKUP(Y$12,Referral_Source!$BC$33:$BM$56,2,FALSE),"")</f>
        <v>8.9167280766396462E-2</v>
      </c>
      <c r="Z16" s="752">
        <f>IFERROR(VLOOKUP(Z$12,Referral_Source!$BC$33:$BM$56,2,FALSE),"")</f>
        <v>8.5489746863967556E-2</v>
      </c>
      <c r="AA16" s="752">
        <f>IFERROR(VLOOKUP(AA$12,Referral_Source!$BC$33:$BM$56,2,FALSE),"")</f>
        <v>8.066214051415059E-2</v>
      </c>
      <c r="AB16" s="574"/>
      <c r="AC16" s="867"/>
      <c r="AD16" s="575"/>
      <c r="AE16" s="576"/>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row>
    <row r="17" spans="1:53" s="515" customFormat="1" ht="21" customHeight="1" x14ac:dyDescent="0.2">
      <c r="A17" s="570"/>
      <c r="B17" s="968"/>
      <c r="C17" s="593" t="s">
        <v>227</v>
      </c>
      <c r="D17" s="813">
        <f>IFERROR(VLOOKUP(D$12,Referral_Source!$BC$33:$BM$56,3,FALSE),"")</f>
        <v>0.29466739967014843</v>
      </c>
      <c r="E17" s="578">
        <f>IFERROR(VLOOKUP(E$12,Referral_Source!$BC$33:$BM$56,3,FALSE),"")</f>
        <v>0.18600478468899523</v>
      </c>
      <c r="F17" s="578">
        <f>IFERROR(VLOOKUP(F$12,Referral_Source!$BC$33:$BM$56,3,FALSE),"")</f>
        <v>0.19841346618941666</v>
      </c>
      <c r="G17" s="578">
        <f>IFERROR(VLOOKUP(G$12,Referral_Source!$BC$33:$BM$56,3,FALSE),"")</f>
        <v>0.20403022670025189</v>
      </c>
      <c r="H17" s="578">
        <f>IFERROR(VLOOKUP(H$12,Referral_Source!$BC$33:$BM$56,3,FALSE),"")</f>
        <v>0.23406763884579584</v>
      </c>
      <c r="I17" s="578">
        <f>IFERROR(VLOOKUP(I$12,Referral_Source!$BC$33:$BM$56,3,FALSE),"")</f>
        <v>0.30153707052441231</v>
      </c>
      <c r="J17" s="578">
        <f>IFERROR(VLOOKUP(J$12,Referral_Source!$BC$33:$BM$56,3,FALSE),"")</f>
        <v>0.17059825530377329</v>
      </c>
      <c r="K17" s="578">
        <f>IFERROR(VLOOKUP(K$12,Referral_Source!$BC$33:$BM$56,3,FALSE),"")</f>
        <v>0.21209800918836141</v>
      </c>
      <c r="L17" s="578">
        <f>IFERROR(VLOOKUP(L$12,Referral_Source!$BC$33:$BM$56,3,FALSE),"")</f>
        <v>0.20034246575342465</v>
      </c>
      <c r="M17" s="578">
        <f>IFERROR(VLOOKUP(M$12,Referral_Source!$BC$33:$BM$56,3,FALSE),"")</f>
        <v>0.13149398297622542</v>
      </c>
      <c r="N17" s="578">
        <f>IFERROR(VLOOKUP(N$12,Referral_Source!$BC$33:$BM$56,3,FALSE),"")</f>
        <v>0.18699472759226712</v>
      </c>
      <c r="O17" s="578">
        <f>IFERROR(VLOOKUP(O$12,Referral_Source!$BC$33:$BM$56,3,FALSE),"")</f>
        <v>0.1855273287143957</v>
      </c>
      <c r="P17" s="578">
        <f>IFERROR(VLOOKUP(P$12,Referral_Source!$BC$33:$BM$56,3,FALSE),"")</f>
        <v>0.17506297229219145</v>
      </c>
      <c r="Q17" s="578">
        <f>IFERROR(VLOOKUP(Q$12,Referral_Source!$BC$33:$BM$56,3,FALSE),"")</f>
        <v>0.14249757986447242</v>
      </c>
      <c r="R17" s="578">
        <f>IFERROR(VLOOKUP(R$12,Referral_Source!$BC$33:$BM$56,3,FALSE),"")</f>
        <v>0.21393034825870647</v>
      </c>
      <c r="S17" s="578">
        <f>IFERROR(VLOOKUP(S$12,Referral_Source!$BC$33:$BM$56,3,FALSE),"")</f>
        <v>0.20240716277704388</v>
      </c>
      <c r="T17" s="578">
        <f>IFERROR(VLOOKUP(T$12,Referral_Source!$BC$33:$BM$56,3,FALSE),"")</f>
        <v>0.20126826578439483</v>
      </c>
      <c r="U17" s="578">
        <f>IFERROR(VLOOKUP(U$12,Referral_Source!$BC$33:$BM$56,3,FALSE),"")</f>
        <v>0.2116343490304709</v>
      </c>
      <c r="V17" s="578">
        <f>IFERROR(VLOOKUP(V$12,Referral_Source!$BC$33:$BM$56,3,FALSE),"")</f>
        <v>0.22050938337801609</v>
      </c>
      <c r="W17" s="578">
        <f>IFERROR(VLOOKUP(W$12,Referral_Source!$BC$33:$BM$56,3,FALSE),"")</f>
        <v>0.18779389694847423</v>
      </c>
      <c r="X17" s="578">
        <f>IFERROR(VLOOKUP(X$12,Referral_Source!$BC$33:$BM$56,3,FALSE),"")</f>
        <v>9.1423185673892557E-2</v>
      </c>
      <c r="Y17" s="750">
        <f>IFERROR(VLOOKUP(Y$12,Referral_Source!$BC$33:$BM$56,3,FALSE),"")</f>
        <v>0.15327929255711129</v>
      </c>
      <c r="Z17" s="579">
        <f>IFERROR(VLOOKUP(Z$12,Referral_Source!$BC$33:$BM$56,3,FALSE),"")</f>
        <v>0.19606775332381882</v>
      </c>
      <c r="AA17" s="579">
        <f>IFERROR(VLOOKUP(AA$12,Referral_Source!$BC$33:$BM$56,3,FALSE),"")</f>
        <v>0.20166297963231367</v>
      </c>
      <c r="AB17" s="574"/>
      <c r="AC17" s="867"/>
      <c r="AD17" s="575"/>
      <c r="AE17" s="576"/>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row>
    <row r="18" spans="1:53" s="515" customFormat="1" ht="21" customHeight="1" x14ac:dyDescent="0.2">
      <c r="A18" s="570"/>
      <c r="B18" s="968"/>
      <c r="C18" s="593" t="s">
        <v>228</v>
      </c>
      <c r="D18" s="813">
        <f>IFERROR(VLOOKUP(D$12,Referral_Source!$BC$33:$BM$56,4,FALSE),"")</f>
        <v>7.476635514018691E-2</v>
      </c>
      <c r="E18" s="578">
        <f>IFERROR(VLOOKUP(E$12,Referral_Source!$BC$33:$BM$56,4,FALSE),"")</f>
        <v>0.11064593301435406</v>
      </c>
      <c r="F18" s="578">
        <f>IFERROR(VLOOKUP(F$12,Referral_Source!$BC$33:$BM$56,4,FALSE),"")</f>
        <v>0.16523169198026508</v>
      </c>
      <c r="G18" s="578">
        <f>IFERROR(VLOOKUP(G$12,Referral_Source!$BC$33:$BM$56,4,FALSE),"")</f>
        <v>0.10190061827341425</v>
      </c>
      <c r="H18" s="578">
        <f>IFERROR(VLOOKUP(H$12,Referral_Source!$BC$33:$BM$56,4,FALSE),"")</f>
        <v>0.13447098976109215</v>
      </c>
      <c r="I18" s="578">
        <f>IFERROR(VLOOKUP(I$12,Referral_Source!$BC$33:$BM$56,4,FALSE),"")</f>
        <v>0.12793851717902352</v>
      </c>
      <c r="J18" s="578">
        <f>IFERROR(VLOOKUP(J$12,Referral_Source!$BC$33:$BM$56,4,FALSE),"")</f>
        <v>0.12259329995354359</v>
      </c>
      <c r="K18" s="578">
        <f>IFERROR(VLOOKUP(K$12,Referral_Source!$BC$33:$BM$56,4,FALSE),"")</f>
        <v>0.12098009188361408</v>
      </c>
      <c r="L18" s="578">
        <f>IFERROR(VLOOKUP(L$12,Referral_Source!$BC$33:$BM$56,4,FALSE),"")</f>
        <v>0.12756849315068494</v>
      </c>
      <c r="M18" s="578">
        <f>IFERROR(VLOOKUP(M$12,Referral_Source!$BC$33:$BM$56,4,FALSE),"")</f>
        <v>9.1135896683299092E-2</v>
      </c>
      <c r="N18" s="578">
        <f>IFERROR(VLOOKUP(N$12,Referral_Source!$BC$33:$BM$56,4,FALSE),"")</f>
        <v>0.15360281195079087</v>
      </c>
      <c r="O18" s="578">
        <f>IFERROR(VLOOKUP(O$12,Referral_Source!$BC$33:$BM$56,4,FALSE),"")</f>
        <v>0.15280985373364125</v>
      </c>
      <c r="P18" s="578">
        <f>IFERROR(VLOOKUP(P$12,Referral_Source!$BC$33:$BM$56,4,FALSE),"")</f>
        <v>0.12594458438287154</v>
      </c>
      <c r="Q18" s="578">
        <f>IFERROR(VLOOKUP(Q$12,Referral_Source!$BC$33:$BM$56,4,FALSE),"")</f>
        <v>0.15605033881897387</v>
      </c>
      <c r="R18" s="578">
        <f>IFERROR(VLOOKUP(R$12,Referral_Source!$BC$33:$BM$56,4,FALSE),"")</f>
        <v>0.13088404133180254</v>
      </c>
      <c r="S18" s="578">
        <f>IFERROR(VLOOKUP(S$12,Referral_Source!$BC$33:$BM$56,4,FALSE),"")</f>
        <v>0.13048583590195215</v>
      </c>
      <c r="T18" s="578">
        <f>IFERROR(VLOOKUP(T$12,Referral_Source!$BC$33:$BM$56,4,FALSE),"")</f>
        <v>0.12682657843948167</v>
      </c>
      <c r="U18" s="578">
        <f>IFERROR(VLOOKUP(U$12,Referral_Source!$BC$33:$BM$56,4,FALSE),"")</f>
        <v>0.14459833795013852</v>
      </c>
      <c r="V18" s="578">
        <f>IFERROR(VLOOKUP(V$12,Referral_Source!$BC$33:$BM$56,4,FALSE),"")</f>
        <v>0.12533512064343164</v>
      </c>
      <c r="W18" s="578">
        <f>IFERROR(VLOOKUP(W$12,Referral_Source!$BC$33:$BM$56,4,FALSE),"")</f>
        <v>0.10835417708854428</v>
      </c>
      <c r="X18" s="578">
        <f>IFERROR(VLOOKUP(X$12,Referral_Source!$BC$33:$BM$56,4,FALSE),"")</f>
        <v>0.12535344015080113</v>
      </c>
      <c r="Y18" s="750">
        <f>IFERROR(VLOOKUP(Y$12,Referral_Source!$BC$33:$BM$56,4,FALSE),"")</f>
        <v>0.12896094325718496</v>
      </c>
      <c r="Z18" s="579">
        <f>IFERROR(VLOOKUP(Z$12,Referral_Source!$BC$33:$BM$56,4,FALSE),"")</f>
        <v>0.12629572598212274</v>
      </c>
      <c r="AA18" s="579">
        <f>IFERROR(VLOOKUP(AA$12,Referral_Source!$BC$33:$BM$56,4,FALSE),"")</f>
        <v>0.14765428331680525</v>
      </c>
      <c r="AB18" s="574"/>
      <c r="AC18" s="867"/>
      <c r="AD18" s="575"/>
      <c r="AE18" s="576"/>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row>
    <row r="19" spans="1:53" s="515" customFormat="1" ht="21" customHeight="1" x14ac:dyDescent="0.2">
      <c r="A19" s="570"/>
      <c r="B19" s="968"/>
      <c r="C19" s="593" t="s">
        <v>229</v>
      </c>
      <c r="D19" s="813">
        <f>IFERROR(VLOOKUP(D$12,Referral_Source!$BC$33:$BM$56,5,FALSE),"")</f>
        <v>1.3194062671797692E-2</v>
      </c>
      <c r="E19" s="578">
        <f>IFERROR(VLOOKUP(E$12,Referral_Source!$BC$33:$BM$56,5,FALSE),"")</f>
        <v>1.6447368421052631E-2</v>
      </c>
      <c r="F19" s="578">
        <f>IFERROR(VLOOKUP(F$12,Referral_Source!$BC$33:$BM$56,5,FALSE),"")</f>
        <v>8.5131082519106123E-3</v>
      </c>
      <c r="G19" s="578">
        <f>IFERROR(VLOOKUP(G$12,Referral_Source!$BC$33:$BM$56,5,FALSE),"")</f>
        <v>9.1596061369361124E-3</v>
      </c>
      <c r="H19" s="578">
        <f>IFERROR(VLOOKUP(H$12,Referral_Source!$BC$33:$BM$56,5,FALSE),"")</f>
        <v>1.0549177784672665E-2</v>
      </c>
      <c r="I19" s="578">
        <f>IFERROR(VLOOKUP(I$12,Referral_Source!$BC$33:$BM$56,5,FALSE),"")</f>
        <v>1.4918625678119348E-2</v>
      </c>
      <c r="J19" s="578">
        <f>IFERROR(VLOOKUP(J$12,Referral_Source!$BC$33:$BM$56,5,FALSE),"")</f>
        <v>2.0957002013111032E-2</v>
      </c>
      <c r="K19" s="578">
        <f>IFERROR(VLOOKUP(K$12,Referral_Source!$BC$33:$BM$56,5,FALSE),"")</f>
        <v>2.4502297090352222E-2</v>
      </c>
      <c r="L19" s="578" t="str">
        <f>IFERROR(VLOOKUP(L$12,Referral_Source!$BC$33:$BM$56,5,FALSE),"")</f>
        <v/>
      </c>
      <c r="M19" s="578">
        <f>IFERROR(VLOOKUP(M$12,Referral_Source!$BC$33:$BM$56,5,FALSE),"")</f>
        <v>5.1364837100088051E-3</v>
      </c>
      <c r="N19" s="578">
        <f>IFERROR(VLOOKUP(N$12,Referral_Source!$BC$33:$BM$56,5,FALSE),"")</f>
        <v>2.9876977152899824E-2</v>
      </c>
      <c r="O19" s="578">
        <f>IFERROR(VLOOKUP(O$12,Referral_Source!$BC$33:$BM$56,5,FALSE),"")</f>
        <v>2.5404157043879907E-2</v>
      </c>
      <c r="P19" s="578" t="str">
        <f>IFERROR(VLOOKUP(P$12,Referral_Source!$BC$33:$BM$56,5,FALSE),"")</f>
        <v/>
      </c>
      <c r="Q19" s="578">
        <f>IFERROR(VLOOKUP(Q$12,Referral_Source!$BC$33:$BM$56,5,FALSE),"")</f>
        <v>5.4211035818005808E-3</v>
      </c>
      <c r="R19" s="578">
        <f>IFERROR(VLOOKUP(R$12,Referral_Source!$BC$33:$BM$56,5,FALSE),"")</f>
        <v>1.4159969383849981E-2</v>
      </c>
      <c r="S19" s="578">
        <f>IFERROR(VLOOKUP(S$12,Referral_Source!$BC$33:$BM$56,5,FALSE),"")</f>
        <v>9.247027741083224E-3</v>
      </c>
      <c r="T19" s="578">
        <f>IFERROR(VLOOKUP(T$12,Referral_Source!$BC$33:$BM$56,5,FALSE),"")</f>
        <v>1.2682657843948167E-2</v>
      </c>
      <c r="U19" s="578">
        <f>IFERROR(VLOOKUP(U$12,Referral_Source!$BC$33:$BM$56,5,FALSE),"")</f>
        <v>4.9861495844875344E-3</v>
      </c>
      <c r="V19" s="578">
        <f>IFERROR(VLOOKUP(V$12,Referral_Source!$BC$33:$BM$56,5,FALSE),"")</f>
        <v>1.876675603217158E-2</v>
      </c>
      <c r="W19" s="578">
        <f>IFERROR(VLOOKUP(W$12,Referral_Source!$BC$33:$BM$56,5,FALSE),"")</f>
        <v>1.8209104552276138E-2</v>
      </c>
      <c r="X19" s="578">
        <f>IFERROR(VLOOKUP(X$12,Referral_Source!$BC$33:$BM$56,5,FALSE),"")</f>
        <v>6.5975494816211122E-3</v>
      </c>
      <c r="Y19" s="750">
        <f>IFERROR(VLOOKUP(Y$12,Referral_Source!$BC$33:$BM$56,5,FALSE),"")</f>
        <v>7.3691967575534268E-3</v>
      </c>
      <c r="Z19" s="579">
        <f>IFERROR(VLOOKUP(Z$12,Referral_Source!$BC$33:$BM$56,5,FALSE),"")</f>
        <v>1.367084804326598E-2</v>
      </c>
      <c r="AA19" s="579">
        <f>IFERROR(VLOOKUP(AA$12,Referral_Source!$BC$33:$BM$56,5,FALSE),"")</f>
        <v>1.4402319017468914E-2</v>
      </c>
      <c r="AB19" s="574"/>
      <c r="AC19" s="867"/>
      <c r="AD19" s="575"/>
      <c r="AE19" s="576"/>
      <c r="AF19" s="576"/>
      <c r="AG19" s="576"/>
      <c r="AH19" s="576"/>
      <c r="AI19" s="576"/>
      <c r="AJ19" s="576"/>
      <c r="AK19" s="576"/>
      <c r="AL19" s="576"/>
      <c r="AM19" s="576"/>
      <c r="AN19" s="576"/>
      <c r="AO19" s="576"/>
      <c r="AP19" s="576"/>
      <c r="AQ19" s="576"/>
      <c r="AR19" s="576"/>
      <c r="AS19" s="576"/>
      <c r="AT19" s="576"/>
      <c r="AU19" s="576"/>
      <c r="AV19" s="576"/>
      <c r="AW19" s="576"/>
      <c r="AX19" s="576"/>
      <c r="AY19" s="576"/>
      <c r="AZ19" s="576"/>
      <c r="BA19" s="576"/>
    </row>
    <row r="20" spans="1:53" s="515" customFormat="1" ht="21" customHeight="1" x14ac:dyDescent="0.2">
      <c r="A20" s="570"/>
      <c r="B20" s="968"/>
      <c r="C20" s="593" t="s">
        <v>230</v>
      </c>
      <c r="D20" s="813">
        <f>IFERROR(VLOOKUP(D$12,Referral_Source!$BC$33:$BM$56,6,FALSE),"")</f>
        <v>0.2045079714128642</v>
      </c>
      <c r="E20" s="578">
        <f>IFERROR(VLOOKUP(E$12,Referral_Source!$BC$33:$BM$56,6,FALSE),"")</f>
        <v>0.15879186602870812</v>
      </c>
      <c r="F20" s="578">
        <f>IFERROR(VLOOKUP(F$12,Referral_Source!$BC$33:$BM$56,6,FALSE),"")</f>
        <v>9.6256167166489312E-2</v>
      </c>
      <c r="G20" s="578">
        <f>IFERROR(VLOOKUP(G$12,Referral_Source!$BC$33:$BM$56,6,FALSE),"")</f>
        <v>0.17655140828944355</v>
      </c>
      <c r="H20" s="578">
        <f>IFERROR(VLOOKUP(H$12,Referral_Source!$BC$33:$BM$56,6,FALSE),"")</f>
        <v>9.9782811045609682E-2</v>
      </c>
      <c r="I20" s="578">
        <f>IFERROR(VLOOKUP(I$12,Referral_Source!$BC$33:$BM$56,6,FALSE),"")</f>
        <v>0.11980108499095841</v>
      </c>
      <c r="J20" s="578">
        <f>IFERROR(VLOOKUP(J$12,Referral_Source!$BC$33:$BM$56,6,FALSE),"")</f>
        <v>0.11345687296753214</v>
      </c>
      <c r="K20" s="578">
        <f>IFERROR(VLOOKUP(K$12,Referral_Source!$BC$33:$BM$56,6,FALSE),"")</f>
        <v>0.13361408882082695</v>
      </c>
      <c r="L20" s="578">
        <f>IFERROR(VLOOKUP(L$12,Referral_Source!$BC$33:$BM$56,6,FALSE),"")</f>
        <v>0.1738013698630137</v>
      </c>
      <c r="M20" s="578">
        <f>IFERROR(VLOOKUP(M$12,Referral_Source!$BC$33:$BM$56,6,FALSE),"")</f>
        <v>7.2204285294980922E-2</v>
      </c>
      <c r="N20" s="578">
        <f>IFERROR(VLOOKUP(N$12,Referral_Source!$BC$33:$BM$56,6,FALSE),"")</f>
        <v>0.12407732864674868</v>
      </c>
      <c r="O20" s="578">
        <f>IFERROR(VLOOKUP(O$12,Referral_Source!$BC$33:$BM$56,6,FALSE),"")</f>
        <v>0.10739030023094688</v>
      </c>
      <c r="P20" s="578">
        <f>IFERROR(VLOOKUP(P$12,Referral_Source!$BC$33:$BM$56,6,FALSE),"")</f>
        <v>0.23173803526448364</v>
      </c>
      <c r="Q20" s="578">
        <f>IFERROR(VLOOKUP(Q$12,Referral_Source!$BC$33:$BM$56,6,FALSE),"")</f>
        <v>0.10939012584704744</v>
      </c>
      <c r="R20" s="578">
        <f>IFERROR(VLOOKUP(R$12,Referral_Source!$BC$33:$BM$56,6,FALSE),"")</f>
        <v>0.18446230386528895</v>
      </c>
      <c r="S20" s="578">
        <f>IFERROR(VLOOKUP(S$12,Referral_Source!$BC$33:$BM$56,6,FALSE),"")</f>
        <v>0.12813738441215325</v>
      </c>
      <c r="T20" s="578">
        <f>IFERROR(VLOOKUP(T$12,Referral_Source!$BC$33:$BM$56,6,FALSE),"")</f>
        <v>6.892748828232699E-2</v>
      </c>
      <c r="U20" s="578">
        <f>IFERROR(VLOOKUP(U$12,Referral_Source!$BC$33:$BM$56,6,FALSE),"")</f>
        <v>0.15401662049861495</v>
      </c>
      <c r="V20" s="578">
        <f>IFERROR(VLOOKUP(V$12,Referral_Source!$BC$33:$BM$56,6,FALSE),"")</f>
        <v>0.17024128686327078</v>
      </c>
      <c r="W20" s="578">
        <f>IFERROR(VLOOKUP(W$12,Referral_Source!$BC$33:$BM$56,6,FALSE),"")</f>
        <v>0.18199099549774889</v>
      </c>
      <c r="X20" s="578">
        <f>IFERROR(VLOOKUP(X$12,Referral_Source!$BC$33:$BM$56,6,FALSE),"")</f>
        <v>9.8963242224316683E-2</v>
      </c>
      <c r="Y20" s="750">
        <f>IFERROR(VLOOKUP(Y$12,Referral_Source!$BC$33:$BM$56,6,FALSE),"")</f>
        <v>0.10390567428150331</v>
      </c>
      <c r="Z20" s="579">
        <f>IFERROR(VLOOKUP(Z$12,Referral_Source!$BC$33:$BM$56,6,FALSE),"")</f>
        <v>0.12707503943513859</v>
      </c>
      <c r="AA20" s="579">
        <f>IFERROR(VLOOKUP(AA$12,Referral_Source!$BC$33:$BM$56,6,FALSE),"")</f>
        <v>0.13633381646197268</v>
      </c>
      <c r="AB20" s="574"/>
      <c r="AC20" s="867"/>
      <c r="AD20" s="575"/>
      <c r="AE20" s="576"/>
      <c r="AF20" s="576"/>
      <c r="AG20" s="576"/>
      <c r="AH20" s="576"/>
      <c r="AI20" s="576"/>
      <c r="AJ20" s="576"/>
      <c r="AK20" s="576"/>
      <c r="AL20" s="576"/>
      <c r="AM20" s="576"/>
      <c r="AN20" s="576"/>
      <c r="AO20" s="576"/>
      <c r="AP20" s="576"/>
      <c r="AQ20" s="576"/>
      <c r="AR20" s="576"/>
      <c r="AS20" s="576"/>
      <c r="AT20" s="576"/>
      <c r="AU20" s="576"/>
      <c r="AV20" s="576"/>
      <c r="AW20" s="576"/>
      <c r="AX20" s="576"/>
      <c r="AY20" s="576"/>
      <c r="AZ20" s="576"/>
      <c r="BA20" s="576"/>
    </row>
    <row r="21" spans="1:53" s="515" customFormat="1" ht="21" customHeight="1" x14ac:dyDescent="0.2">
      <c r="A21" s="570"/>
      <c r="B21" s="968"/>
      <c r="C21" s="593" t="s">
        <v>231</v>
      </c>
      <c r="D21" s="813">
        <f>IFERROR(VLOOKUP(D$12,Referral_Source!$BC$33:$BM$56,7,FALSE),"")</f>
        <v>0.22649807586586038</v>
      </c>
      <c r="E21" s="578">
        <f>IFERROR(VLOOKUP(E$12,Referral_Source!$BC$33:$BM$56,7,FALSE),"")</f>
        <v>0.25807416267942584</v>
      </c>
      <c r="F21" s="578">
        <f>IFERROR(VLOOKUP(F$12,Referral_Source!$BC$33:$BM$56,7,FALSE),"")</f>
        <v>0.34168520847441231</v>
      </c>
      <c r="G21" s="578">
        <f>IFERROR(VLOOKUP(G$12,Referral_Source!$BC$33:$BM$56,7,FALSE),"")</f>
        <v>0.27272727272727271</v>
      </c>
      <c r="H21" s="578">
        <f>IFERROR(VLOOKUP(H$12,Referral_Source!$BC$33:$BM$56,7,FALSE),"")</f>
        <v>0.26050263729444617</v>
      </c>
      <c r="I21" s="578">
        <f>IFERROR(VLOOKUP(I$12,Referral_Source!$BC$33:$BM$56,7,FALSE),"")</f>
        <v>0.21609403254972875</v>
      </c>
      <c r="J21" s="578">
        <f>IFERROR(VLOOKUP(J$12,Referral_Source!$BC$33:$BM$56,7,FALSE),"")</f>
        <v>0.3445516956589067</v>
      </c>
      <c r="K21" s="578">
        <f>IFERROR(VLOOKUP(K$12,Referral_Source!$BC$33:$BM$56,7,FALSE),"")</f>
        <v>0.31278713629402755</v>
      </c>
      <c r="L21" s="578">
        <f>IFERROR(VLOOKUP(L$12,Referral_Source!$BC$33:$BM$56,7,FALSE),"")</f>
        <v>0.2851027397260274</v>
      </c>
      <c r="M21" s="578">
        <f>IFERROR(VLOOKUP(M$12,Referral_Source!$BC$33:$BM$56,7,FALSE),"")</f>
        <v>0.2932198415027884</v>
      </c>
      <c r="N21" s="578">
        <f>IFERROR(VLOOKUP(N$12,Referral_Source!$BC$33:$BM$56,7,FALSE),"")</f>
        <v>0.31177504393673111</v>
      </c>
      <c r="O21" s="578">
        <f>IFERROR(VLOOKUP(O$12,Referral_Source!$BC$33:$BM$56,7,FALSE),"")</f>
        <v>0.39030023094688221</v>
      </c>
      <c r="P21" s="578">
        <f>IFERROR(VLOOKUP(P$12,Referral_Source!$BC$33:$BM$56,7,FALSE),"")</f>
        <v>0.3243073047858942</v>
      </c>
      <c r="Q21" s="578">
        <f>IFERROR(VLOOKUP(Q$12,Referral_Source!$BC$33:$BM$56,7,FALSE),"")</f>
        <v>0.31965150048402713</v>
      </c>
      <c r="R21" s="578">
        <f>IFERROR(VLOOKUP(R$12,Referral_Source!$BC$33:$BM$56,7,FALSE),"")</f>
        <v>0.30616150019135091</v>
      </c>
      <c r="S21" s="578">
        <f>IFERROR(VLOOKUP(S$12,Referral_Source!$BC$33:$BM$56,7,FALSE),"")</f>
        <v>0.38154997798326729</v>
      </c>
      <c r="T21" s="578">
        <f>IFERROR(VLOOKUP(T$12,Referral_Source!$BC$33:$BM$56,7,FALSE),"")</f>
        <v>0.35318444995864351</v>
      </c>
      <c r="U21" s="578">
        <f>IFERROR(VLOOKUP(U$12,Referral_Source!$BC$33:$BM$56,7,FALSE),"")</f>
        <v>0.24099722991689751</v>
      </c>
      <c r="V21" s="578">
        <f>IFERROR(VLOOKUP(V$12,Referral_Source!$BC$33:$BM$56,7,FALSE),"")</f>
        <v>0.32037533512064342</v>
      </c>
      <c r="W21" s="578">
        <f>IFERROR(VLOOKUP(W$12,Referral_Source!$BC$33:$BM$56,7,FALSE),"")</f>
        <v>0.29144572286143072</v>
      </c>
      <c r="X21" s="578">
        <f>IFERROR(VLOOKUP(X$12,Referral_Source!$BC$33:$BM$56,7,FALSE),"")</f>
        <v>0.35061262959472195</v>
      </c>
      <c r="Y21" s="750">
        <f>IFERROR(VLOOKUP(Y$12,Referral_Source!$BC$33:$BM$56,7,FALSE),"")</f>
        <v>0.42815033161385407</v>
      </c>
      <c r="Z21" s="579">
        <f>IFERROR(VLOOKUP(Z$12,Referral_Source!$BC$33:$BM$56,7,FALSE),"")</f>
        <v>0.31537782618493204</v>
      </c>
      <c r="AA21" s="579">
        <f>IFERROR(VLOOKUP(AA$12,Referral_Source!$BC$33:$BM$56,7,FALSE),"")</f>
        <v>0.28517812190098407</v>
      </c>
      <c r="AB21" s="574"/>
      <c r="AC21" s="867"/>
      <c r="AD21" s="575"/>
      <c r="AE21" s="576"/>
      <c r="AF21" s="576"/>
      <c r="AG21" s="576"/>
      <c r="AH21" s="576"/>
      <c r="AI21" s="576"/>
      <c r="AJ21" s="576"/>
      <c r="AK21" s="576"/>
      <c r="AL21" s="576"/>
      <c r="AM21" s="576"/>
      <c r="AN21" s="576"/>
      <c r="AO21" s="576"/>
      <c r="AP21" s="576"/>
      <c r="AQ21" s="576"/>
      <c r="AR21" s="576"/>
      <c r="AS21" s="576"/>
      <c r="AT21" s="576"/>
      <c r="AU21" s="576"/>
      <c r="AV21" s="576"/>
      <c r="AW21" s="576"/>
      <c r="AX21" s="576"/>
      <c r="AY21" s="576"/>
      <c r="AZ21" s="576"/>
      <c r="BA21" s="576"/>
    </row>
    <row r="22" spans="1:53" s="515" customFormat="1" ht="21" customHeight="1" x14ac:dyDescent="0.2">
      <c r="A22" s="570"/>
      <c r="B22" s="968"/>
      <c r="C22" s="593" t="s">
        <v>232</v>
      </c>
      <c r="D22" s="813">
        <f>IFERROR(VLOOKUP(D$12,Referral_Source!$BC$33:$BM$56,8,FALSE),"")</f>
        <v>1.4293567894447499E-2</v>
      </c>
      <c r="E22" s="578">
        <f>IFERROR(VLOOKUP(E$12,Referral_Source!$BC$33:$BM$56,8,FALSE),"")</f>
        <v>2.4820574162679427E-2</v>
      </c>
      <c r="F22" s="578">
        <f>IFERROR(VLOOKUP(F$12,Referral_Source!$BC$33:$BM$56,8,FALSE),"")</f>
        <v>2.3701267292251138E-2</v>
      </c>
      <c r="G22" s="578">
        <f>IFERROR(VLOOKUP(G$12,Referral_Source!$BC$33:$BM$56,8,FALSE),"")</f>
        <v>3.9615296542248685E-2</v>
      </c>
      <c r="H22" s="578">
        <f>IFERROR(VLOOKUP(H$12,Referral_Source!$BC$33:$BM$56,8,FALSE),"")</f>
        <v>2.3642569035060502E-2</v>
      </c>
      <c r="I22" s="578">
        <f>IFERROR(VLOOKUP(I$12,Referral_Source!$BC$33:$BM$56,8,FALSE),"")</f>
        <v>1.763110307414105E-2</v>
      </c>
      <c r="J22" s="578">
        <f>IFERROR(VLOOKUP(J$12,Referral_Source!$BC$33:$BM$56,8,FALSE),"")</f>
        <v>3.7113508491199092E-2</v>
      </c>
      <c r="K22" s="578">
        <f>IFERROR(VLOOKUP(K$12,Referral_Source!$BC$33:$BM$56,8,FALSE),"")</f>
        <v>2.9096477794793262E-2</v>
      </c>
      <c r="L22" s="578">
        <f>IFERROR(VLOOKUP(L$12,Referral_Source!$BC$33:$BM$56,8,FALSE),"")</f>
        <v>6.0359589041095889E-2</v>
      </c>
      <c r="M22" s="578">
        <f>IFERROR(VLOOKUP(M$12,Referral_Source!$BC$33:$BM$56,8,FALSE),"")</f>
        <v>1.1740534194305841E-2</v>
      </c>
      <c r="N22" s="578">
        <f>IFERROR(VLOOKUP(N$12,Referral_Source!$BC$33:$BM$56,8,FALSE),"")</f>
        <v>4.4288224956063271E-2</v>
      </c>
      <c r="O22" s="578">
        <f>IFERROR(VLOOKUP(O$12,Referral_Source!$BC$33:$BM$56,8,FALSE),"")</f>
        <v>2.6943802925327175E-2</v>
      </c>
      <c r="P22" s="578">
        <f>IFERROR(VLOOKUP(P$12,Referral_Source!$BC$33:$BM$56,8,FALSE),"")</f>
        <v>2.8337531486146095E-2</v>
      </c>
      <c r="Q22" s="578">
        <f>IFERROR(VLOOKUP(Q$12,Referral_Source!$BC$33:$BM$56,8,FALSE),"")</f>
        <v>3.4075508228460796E-2</v>
      </c>
      <c r="R22" s="578">
        <f>IFERROR(VLOOKUP(R$12,Referral_Source!$BC$33:$BM$56,8,FALSE),"")</f>
        <v>2.564102564102564E-2</v>
      </c>
      <c r="S22" s="578">
        <f>IFERROR(VLOOKUP(S$12,Referral_Source!$BC$33:$BM$56,8,FALSE),"")</f>
        <v>2.6933803023631294E-2</v>
      </c>
      <c r="T22" s="578">
        <f>IFERROR(VLOOKUP(T$12,Referral_Source!$BC$33:$BM$56,8,FALSE),"")</f>
        <v>2.3159636062861869E-2</v>
      </c>
      <c r="U22" s="578">
        <f>IFERROR(VLOOKUP(U$12,Referral_Source!$BC$33:$BM$56,8,FALSE),"")</f>
        <v>1.2742382271468145E-2</v>
      </c>
      <c r="V22" s="578" t="str">
        <f>IFERROR(VLOOKUP(V$12,Referral_Source!$BC$33:$BM$56,8,FALSE),"")</f>
        <v/>
      </c>
      <c r="W22" s="578">
        <f>IFERROR(VLOOKUP(W$12,Referral_Source!$BC$33:$BM$56,8,FALSE),"")</f>
        <v>3.6318159079539773E-2</v>
      </c>
      <c r="X22" s="578">
        <f>IFERROR(VLOOKUP(X$12,Referral_Source!$BC$33:$BM$56,8,FALSE),"")</f>
        <v>1.3195098963242224E-2</v>
      </c>
      <c r="Y22" s="750">
        <f>IFERROR(VLOOKUP(Y$12,Referral_Source!$BC$33:$BM$56,8,FALSE),"")</f>
        <v>3.021370670596905E-2</v>
      </c>
      <c r="Z22" s="579">
        <f>IFERROR(VLOOKUP(Z$12,Referral_Source!$BC$33:$BM$56,8,FALSE),"")</f>
        <v>2.8693757980920904E-2</v>
      </c>
      <c r="AA22" s="579">
        <f>IFERROR(VLOOKUP(AA$12,Referral_Source!$BC$33:$BM$56,8,FALSE),"")</f>
        <v>3.4922572278587229E-2</v>
      </c>
      <c r="AB22" s="574"/>
      <c r="AC22" s="867"/>
      <c r="AD22" s="575"/>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row>
    <row r="23" spans="1:53" s="515" customFormat="1" ht="21" customHeight="1" x14ac:dyDescent="0.2">
      <c r="A23" s="570"/>
      <c r="B23" s="968"/>
      <c r="C23" s="593" t="s">
        <v>233</v>
      </c>
      <c r="D23" s="813">
        <f>IFERROR(VLOOKUP(D$12,Referral_Source!$BC$33:$BM$56,9,FALSE),"")</f>
        <v>7.4216602528862016E-2</v>
      </c>
      <c r="E23" s="578">
        <f>IFERROR(VLOOKUP(E$12,Referral_Source!$BC$33:$BM$56,9,FALSE),"")</f>
        <v>4.5753588516746414E-2</v>
      </c>
      <c r="F23" s="578">
        <f>IFERROR(VLOOKUP(F$12,Referral_Source!$BC$33:$BM$56,9,FALSE),"")</f>
        <v>4.4113379123536807E-2</v>
      </c>
      <c r="G23" s="578">
        <f>IFERROR(VLOOKUP(G$12,Referral_Source!$BC$33:$BM$56,9,FALSE),"")</f>
        <v>7.8543622624227163E-2</v>
      </c>
      <c r="H23" s="578">
        <f>IFERROR(VLOOKUP(H$12,Referral_Source!$BC$33:$BM$56,9,FALSE),"")</f>
        <v>7.1920570896680108E-2</v>
      </c>
      <c r="I23" s="578">
        <f>IFERROR(VLOOKUP(I$12,Referral_Source!$BC$33:$BM$56,9,FALSE),"")</f>
        <v>7.640144665461121E-2</v>
      </c>
      <c r="J23" s="578">
        <f>IFERROR(VLOOKUP(J$12,Referral_Source!$BC$33:$BM$56,9,FALSE),"")</f>
        <v>5.4199143137356111E-2</v>
      </c>
      <c r="K23" s="578">
        <f>IFERROR(VLOOKUP(K$12,Referral_Source!$BC$33:$BM$56,9,FALSE),"")</f>
        <v>3.1010719754977028E-2</v>
      </c>
      <c r="L23" s="578">
        <f>IFERROR(VLOOKUP(L$12,Referral_Source!$BC$33:$BM$56,9,FALSE),"")</f>
        <v>4.0667808219178085E-2</v>
      </c>
      <c r="M23" s="578">
        <f>IFERROR(VLOOKUP(M$12,Referral_Source!$BC$33:$BM$56,9,FALSE),"")</f>
        <v>0.25741121221015556</v>
      </c>
      <c r="N23" s="578">
        <f>IFERROR(VLOOKUP(N$12,Referral_Source!$BC$33:$BM$56,9,FALSE),"")</f>
        <v>4.5694200351493852E-2</v>
      </c>
      <c r="O23" s="578">
        <f>IFERROR(VLOOKUP(O$12,Referral_Source!$BC$33:$BM$56,9,FALSE),"")</f>
        <v>4.6959199384141649E-2</v>
      </c>
      <c r="P23" s="578">
        <f>IFERROR(VLOOKUP(P$12,Referral_Source!$BC$33:$BM$56,9,FALSE),"")</f>
        <v>1.8261964735516372E-2</v>
      </c>
      <c r="Q23" s="578">
        <f>IFERROR(VLOOKUP(Q$12,Referral_Source!$BC$33:$BM$56,9,FALSE),"")</f>
        <v>6.6408518877057121E-2</v>
      </c>
      <c r="R23" s="578">
        <f>IFERROR(VLOOKUP(R$12,Referral_Source!$BC$33:$BM$56,9,FALSE),"")</f>
        <v>6.0849598163030996E-2</v>
      </c>
      <c r="S23" s="578">
        <f>IFERROR(VLOOKUP(S$12,Referral_Source!$BC$33:$BM$56,9,FALSE),"")</f>
        <v>5.8931454572141495E-2</v>
      </c>
      <c r="T23" s="578">
        <f>IFERROR(VLOOKUP(T$12,Referral_Source!$BC$33:$BM$56,9,FALSE),"")</f>
        <v>5.7899090157154671E-2</v>
      </c>
      <c r="U23" s="578">
        <f>IFERROR(VLOOKUP(U$12,Referral_Source!$BC$33:$BM$56,9,FALSE),"")</f>
        <v>8.6426592797783933E-2</v>
      </c>
      <c r="V23" s="578">
        <f>IFERROR(VLOOKUP(V$12,Referral_Source!$BC$33:$BM$56,9,FALSE),"")</f>
        <v>3.5522788203753354E-2</v>
      </c>
      <c r="W23" s="578">
        <f>IFERROR(VLOOKUP(W$12,Referral_Source!$BC$33:$BM$56,9,FALSE),"")</f>
        <v>6.9034517258629316E-2</v>
      </c>
      <c r="X23" s="578">
        <f>IFERROR(VLOOKUP(X$12,Referral_Source!$BC$33:$BM$56,9,FALSE),"")</f>
        <v>2.827521206409048E-2</v>
      </c>
      <c r="Y23" s="750">
        <f>IFERROR(VLOOKUP(Y$12,Referral_Source!$BC$33:$BM$56,9,FALSE),"")</f>
        <v>4.5689019896831246E-2</v>
      </c>
      <c r="Z23" s="579">
        <f>IFERROR(VLOOKUP(Z$12,Referral_Source!$BC$33:$BM$56,9,FALSE),"")</f>
        <v>7.0166378727559528E-2</v>
      </c>
      <c r="AA23" s="579">
        <f>IFERROR(VLOOKUP(AA$12,Referral_Source!$BC$33:$BM$56,9,FALSE),"")</f>
        <v>5.86467312533374E-2</v>
      </c>
      <c r="AB23" s="574"/>
      <c r="AC23" s="867"/>
      <c r="AD23" s="575"/>
      <c r="AE23" s="576"/>
      <c r="AF23" s="576"/>
      <c r="AG23" s="576"/>
      <c r="AH23" s="576"/>
      <c r="AI23" s="576"/>
      <c r="AJ23" s="576"/>
      <c r="AK23" s="576"/>
      <c r="AL23" s="576"/>
      <c r="AM23" s="576"/>
      <c r="AN23" s="576"/>
      <c r="AO23" s="576"/>
      <c r="AP23" s="576"/>
      <c r="AQ23" s="576"/>
      <c r="AR23" s="576"/>
      <c r="AS23" s="576"/>
      <c r="AT23" s="576"/>
      <c r="AU23" s="576"/>
      <c r="AV23" s="576"/>
      <c r="AW23" s="576"/>
      <c r="AX23" s="576"/>
      <c r="AY23" s="576"/>
      <c r="AZ23" s="576"/>
      <c r="BA23" s="576"/>
    </row>
    <row r="24" spans="1:53" s="515" customFormat="1" ht="21" customHeight="1" x14ac:dyDescent="0.2">
      <c r="A24" s="570"/>
      <c r="B24" s="968"/>
      <c r="C24" s="593" t="s">
        <v>234</v>
      </c>
      <c r="D24" s="813">
        <f>IFERROR(VLOOKUP(D$12,Referral_Source!$BC$33:$BM$56,10,FALSE),"")</f>
        <v>3.0236393622869707E-2</v>
      </c>
      <c r="E24" s="578">
        <f>IFERROR(VLOOKUP(E$12,Referral_Source!$BC$33:$BM$56,10,FALSE),"")</f>
        <v>1.2559808612440191E-2</v>
      </c>
      <c r="F24" s="578">
        <f>IFERROR(VLOOKUP(F$12,Referral_Source!$BC$33:$BM$56,10,FALSE),"")</f>
        <v>2.9505659282190191E-2</v>
      </c>
      <c r="G24" s="578">
        <f>IFERROR(VLOOKUP(G$12,Referral_Source!$BC$33:$BM$56,10,FALSE),"")</f>
        <v>1.7403251660178611E-2</v>
      </c>
      <c r="H24" s="578">
        <f>IFERROR(VLOOKUP(H$12,Referral_Source!$BC$33:$BM$56,10,FALSE),"")</f>
        <v>2.2959975178405211E-2</v>
      </c>
      <c r="I24" s="578">
        <f>IFERROR(VLOOKUP(I$12,Referral_Source!$BC$33:$BM$56,10,FALSE),"")</f>
        <v>0</v>
      </c>
      <c r="J24" s="578">
        <f>IFERROR(VLOOKUP(J$12,Referral_Source!$BC$33:$BM$56,10,FALSE),"")</f>
        <v>2.1318329634026738E-2</v>
      </c>
      <c r="K24" s="578">
        <f>IFERROR(VLOOKUP(K$12,Referral_Source!$BC$33:$BM$56,10,FALSE),"")</f>
        <v>3.1776416539050535E-2</v>
      </c>
      <c r="L24" s="578">
        <f>IFERROR(VLOOKUP(L$12,Referral_Source!$BC$33:$BM$56,10,FALSE),"")</f>
        <v>2.0547945205479451E-2</v>
      </c>
      <c r="M24" s="578">
        <f>IFERROR(VLOOKUP(M$12,Referral_Source!$BC$33:$BM$56,10,FALSE),"")</f>
        <v>1.8784854710889344E-2</v>
      </c>
      <c r="N24" s="578">
        <f>IFERROR(VLOOKUP(N$12,Referral_Source!$BC$33:$BM$56,10,FALSE),"")</f>
        <v>1.7223198594024606E-2</v>
      </c>
      <c r="O24" s="578" t="str">
        <f>IFERROR(VLOOKUP(O$12,Referral_Source!$BC$33:$BM$56,10,FALSE),"")</f>
        <v/>
      </c>
      <c r="P24" s="578">
        <f>IFERROR(VLOOKUP(P$12,Referral_Source!$BC$33:$BM$56,10,FALSE),"")</f>
        <v>2.7078085642317382E-2</v>
      </c>
      <c r="Q24" s="578">
        <f>IFERROR(VLOOKUP(Q$12,Referral_Source!$BC$33:$BM$56,10,FALSE),"")</f>
        <v>4.0077444336882866E-2</v>
      </c>
      <c r="R24" s="578">
        <f>IFERROR(VLOOKUP(R$12,Referral_Source!$BC$33:$BM$56,10,FALSE),"")</f>
        <v>2.6023727516264829E-2</v>
      </c>
      <c r="S24" s="578">
        <f>IFERROR(VLOOKUP(S$12,Referral_Source!$BC$33:$BM$56,10,FALSE),"")</f>
        <v>1.4310876265962131E-2</v>
      </c>
      <c r="T24" s="578">
        <f>IFERROR(VLOOKUP(T$12,Referral_Source!$BC$33:$BM$56,10,FALSE),"")</f>
        <v>3.9702233250620347E-2</v>
      </c>
      <c r="U24" s="578">
        <f>IFERROR(VLOOKUP(U$12,Referral_Source!$BC$33:$BM$56,10,FALSE),"")</f>
        <v>3.3795013850415515E-2</v>
      </c>
      <c r="V24" s="578">
        <f>IFERROR(VLOOKUP(V$12,Referral_Source!$BC$33:$BM$56,10,FALSE),"")</f>
        <v>1.6085790884718499E-2</v>
      </c>
      <c r="W24" s="578">
        <f>IFERROR(VLOOKUP(W$12,Referral_Source!$BC$33:$BM$56,10,FALSE),"")</f>
        <v>0</v>
      </c>
      <c r="X24" s="578">
        <f>IFERROR(VLOOKUP(X$12,Referral_Source!$BC$33:$BM$56,10,FALSE),"")</f>
        <v>2.1677662582469368E-2</v>
      </c>
      <c r="Y24" s="750">
        <f>IFERROR(VLOOKUP(Y$12,Referral_Source!$BC$33:$BM$56,10,FALSE),"")</f>
        <v>1.3264554163596167E-2</v>
      </c>
      <c r="Z24" s="579">
        <f>IFERROR(VLOOKUP(Z$12,Referral_Source!$BC$33:$BM$56,10,FALSE),"")</f>
        <v>1.8215278299406595E-2</v>
      </c>
      <c r="AA24" s="579">
        <f>IFERROR(VLOOKUP(AA$12,Referral_Source!$BC$33:$BM$56,10,FALSE),"")</f>
        <v>2.4242886566481044E-2</v>
      </c>
      <c r="AB24" s="574"/>
      <c r="AC24" s="867"/>
      <c r="AD24" s="575"/>
      <c r="AE24" s="576"/>
      <c r="AF24" s="576"/>
      <c r="AG24" s="576"/>
      <c r="AH24" s="576"/>
      <c r="AI24" s="576"/>
      <c r="AJ24" s="576"/>
      <c r="AK24" s="576"/>
      <c r="AL24" s="576"/>
      <c r="AM24" s="576"/>
      <c r="AN24" s="576"/>
      <c r="AO24" s="576"/>
      <c r="AP24" s="576"/>
      <c r="AQ24" s="576"/>
      <c r="AR24" s="576"/>
      <c r="AS24" s="576"/>
      <c r="AT24" s="576"/>
      <c r="AU24" s="576"/>
      <c r="AV24" s="576"/>
      <c r="AW24" s="576"/>
      <c r="AX24" s="576"/>
      <c r="AY24" s="576"/>
      <c r="AZ24" s="576"/>
      <c r="BA24" s="576"/>
    </row>
    <row r="25" spans="1:53" s="515" customFormat="1" ht="21" customHeight="1" thickBot="1" x14ac:dyDescent="0.25">
      <c r="A25" s="570"/>
      <c r="B25" s="969"/>
      <c r="C25" s="594" t="s">
        <v>235</v>
      </c>
      <c r="D25" s="816">
        <f>IFERROR(VLOOKUP(D$12,Referral_Source!$BC$33:$BM$56,11,FALSE),"")</f>
        <v>3.2985156679494229E-3</v>
      </c>
      <c r="E25" s="580">
        <f>IFERROR(VLOOKUP(E$12,Referral_Source!$BC$33:$BM$56,11,FALSE),"")</f>
        <v>0.14055023923444976</v>
      </c>
      <c r="F25" s="580">
        <f>IFERROR(VLOOKUP(F$12,Referral_Source!$BC$33:$BM$56,11,FALSE),"")</f>
        <v>1.9928412498790751E-2</v>
      </c>
      <c r="G25" s="580">
        <f>IFERROR(VLOOKUP(G$12,Referral_Source!$BC$33:$BM$56,11,FALSE),"")</f>
        <v>5.0377833753148613E-3</v>
      </c>
      <c r="H25" s="580">
        <f>IFERROR(VLOOKUP(H$12,Referral_Source!$BC$33:$BM$56,11,FALSE),"")</f>
        <v>2.811045609680422E-2</v>
      </c>
      <c r="I25" s="580">
        <f>IFERROR(VLOOKUP(I$12,Referral_Source!$BC$33:$BM$56,11,FALSE),"")</f>
        <v>2.8481012658227847E-2</v>
      </c>
      <c r="J25" s="580">
        <f>IFERROR(VLOOKUP(J$12,Referral_Source!$BC$33:$BM$56,11,FALSE),"")</f>
        <v>3.3035668198007537E-3</v>
      </c>
      <c r="K25" s="580">
        <f>IFERROR(VLOOKUP(K$12,Referral_Source!$BC$33:$BM$56,11,FALSE),"")</f>
        <v>9.5712098009188354E-3</v>
      </c>
      <c r="L25" s="580" t="str">
        <f>IFERROR(VLOOKUP(L$12,Referral_Source!$BC$33:$BM$56,11,FALSE),"")</f>
        <v/>
      </c>
      <c r="M25" s="580">
        <f>IFERROR(VLOOKUP(M$12,Referral_Source!$BC$33:$BM$56,11,FALSE),"")</f>
        <v>6.266510126210742E-2</v>
      </c>
      <c r="N25" s="580">
        <f>IFERROR(VLOOKUP(N$12,Referral_Source!$BC$33:$BM$56,11,FALSE),"")</f>
        <v>0</v>
      </c>
      <c r="O25" s="580" t="str">
        <f>IFERROR(VLOOKUP(O$12,Referral_Source!$BC$33:$BM$56,11,FALSE),"")</f>
        <v/>
      </c>
      <c r="P25" s="580" t="str">
        <f>IFERROR(VLOOKUP(P$12,Referral_Source!$BC$33:$BM$56,11,FALSE),"")</f>
        <v/>
      </c>
      <c r="Q25" s="580">
        <f>IFERROR(VLOOKUP(Q$12,Referral_Source!$BC$33:$BM$56,11,FALSE),"")</f>
        <v>2.323330106485963E-3</v>
      </c>
      <c r="R25" s="580">
        <f>IFERROR(VLOOKUP(R$12,Referral_Source!$BC$33:$BM$56,11,FALSE),"")</f>
        <v>0</v>
      </c>
      <c r="S25" s="580">
        <f>IFERROR(VLOOKUP(S$12,Referral_Source!$BC$33:$BM$56,11,FALSE),"")</f>
        <v>0</v>
      </c>
      <c r="T25" s="580">
        <f>IFERROR(VLOOKUP(T$12,Referral_Source!$BC$33:$BM$56,11,FALSE),"")</f>
        <v>2.8398125172318722E-2</v>
      </c>
      <c r="U25" s="580">
        <f>IFERROR(VLOOKUP(U$12,Referral_Source!$BC$33:$BM$56,11,FALSE),"")</f>
        <v>3.2686980609418284E-2</v>
      </c>
      <c r="V25" s="580" t="str">
        <f>IFERROR(VLOOKUP(V$12,Referral_Source!$BC$33:$BM$56,11,FALSE),"")</f>
        <v/>
      </c>
      <c r="W25" s="580">
        <f>IFERROR(VLOOKUP(W$12,Referral_Source!$BC$33:$BM$56,11,FALSE),"")</f>
        <v>1.4907453726863432E-2</v>
      </c>
      <c r="X25" s="580">
        <f>IFERROR(VLOOKUP(X$12,Referral_Source!$BC$33:$BM$56,11,FALSE),"")</f>
        <v>0.12535344015080113</v>
      </c>
      <c r="Y25" s="817" t="str">
        <f>IFERROR(VLOOKUP(Y$12,Referral_Source!$BC$33:$BM$56,11,FALSE),"")</f>
        <v/>
      </c>
      <c r="Z25" s="581">
        <f>IFERROR(VLOOKUP(Z$12,Referral_Source!$BC$33:$BM$56,11,FALSE),"")</f>
        <v>1.8947645158867273E-2</v>
      </c>
      <c r="AA25" s="581">
        <f>IFERROR(VLOOKUP(AA$12,Referral_Source!$BC$33:$BM$56,11,FALSE),"")</f>
        <v>1.6294149057899152E-2</v>
      </c>
      <c r="AB25" s="574"/>
      <c r="AC25" s="867"/>
      <c r="AD25" s="575"/>
      <c r="AE25" s="576"/>
      <c r="AF25" s="576"/>
      <c r="AG25" s="576"/>
      <c r="AH25" s="576"/>
      <c r="AI25" s="576"/>
      <c r="AJ25" s="576"/>
      <c r="AK25" s="576"/>
      <c r="AL25" s="576"/>
      <c r="AM25" s="576"/>
      <c r="AN25" s="576"/>
      <c r="AO25" s="576"/>
      <c r="AP25" s="576"/>
      <c r="AQ25" s="576"/>
      <c r="AR25" s="576"/>
      <c r="AS25" s="576"/>
      <c r="AT25" s="576"/>
      <c r="AU25" s="576"/>
      <c r="AV25" s="576"/>
      <c r="AW25" s="576"/>
      <c r="AX25" s="576"/>
      <c r="AY25" s="576"/>
      <c r="AZ25" s="576"/>
      <c r="BA25" s="576"/>
    </row>
    <row r="26" spans="1:53" s="515" customFormat="1" ht="22.5" customHeight="1" thickBot="1" x14ac:dyDescent="0.25">
      <c r="A26" s="570"/>
      <c r="B26" s="595" t="s">
        <v>236</v>
      </c>
      <c r="C26" s="596" t="s">
        <v>237</v>
      </c>
      <c r="D26" s="824">
        <f>IFERROR(VLOOKUP(D12,'Re-referrals'!$B$9:$O$32,14,FALSE),"")</f>
        <v>152.47052117844038</v>
      </c>
      <c r="E26" s="758">
        <f>IFERROR(VLOOKUP(E12,'Re-referrals'!$B$9:$O$32,14,FALSE),"")</f>
        <v>185.75547753084481</v>
      </c>
      <c r="F26" s="758">
        <f>IFERROR(VLOOKUP(F12,'Re-referrals'!$B$9:$O$32,14,FALSE),"")</f>
        <v>261.385334145846</v>
      </c>
      <c r="G26" s="758">
        <f>IFERROR(VLOOKUP(G12,'Re-referrals'!$B$9:$O$32,14,FALSE),"")</f>
        <v>72.79928332311755</v>
      </c>
      <c r="H26" s="758">
        <f>IFERROR(VLOOKUP(H12,'Re-referrals'!$B$9:$O$32,14,FALSE),"")</f>
        <v>168.43502262507326</v>
      </c>
      <c r="I26" s="758">
        <f>IFERROR(VLOOKUP(I12,'Re-referrals'!$B$9:$O$32,14,FALSE),"")</f>
        <v>271.00379165835164</v>
      </c>
      <c r="J26" s="758">
        <f>IFERROR(VLOOKUP(J12,'Re-referrals'!$B$9:$O$32,14,FALSE),"")</f>
        <v>133.05959713172066</v>
      </c>
      <c r="K26" s="758">
        <f>IFERROR(VLOOKUP(K12,'Re-referrals'!$B$9:$O$32,14,FALSE),"")</f>
        <v>69.436842187573305</v>
      </c>
      <c r="L26" s="758">
        <f>IFERROR(VLOOKUP(L12,'Re-referrals'!$B$9:$O$32,14,FALSE),"")</f>
        <v>71.695714518012622</v>
      </c>
      <c r="M26" s="758">
        <f>IFERROR(VLOOKUP(M12,'Re-referrals'!$B$9:$O$32,14,FALSE),"")</f>
        <v>88.396865675803795</v>
      </c>
      <c r="N26" s="758">
        <f>IFERROR(VLOOKUP(N12,'Re-referrals'!$B$9:$O$32,14,FALSE),"")</f>
        <v>146.40658942795076</v>
      </c>
      <c r="O26" s="758">
        <f>IFERROR(VLOOKUP(O12,'Re-referrals'!$B$9:$O$32,14,FALSE),"")</f>
        <v>158.52047556142668</v>
      </c>
      <c r="P26" s="758">
        <f>IFERROR(VLOOKUP(P12,'Re-referrals'!$B$9:$O$32,14,FALSE),"")</f>
        <v>92.460881934566146</v>
      </c>
      <c r="Q26" s="758">
        <f>IFERROR(VLOOKUP(Q12,'Re-referrals'!$B$9:$O$32,14,FALSE),"")</f>
        <v>100.28705352276442</v>
      </c>
      <c r="R26" s="758">
        <f>IFERROR(VLOOKUP(R12,'Re-referrals'!$B$9:$O$32,14,FALSE),"")</f>
        <v>105.35732034589007</v>
      </c>
      <c r="S26" s="758">
        <f>IFERROR(VLOOKUP(S12,'Re-referrals'!$B$9:$O$32,14,FALSE),"")</f>
        <v>143.06294539098366</v>
      </c>
      <c r="T26" s="758">
        <f>IFERROR(VLOOKUP(T12,'Re-referrals'!$B$9:$O$32,14,FALSE),"")</f>
        <v>175.66701386106882</v>
      </c>
      <c r="U26" s="758">
        <f>IFERROR(VLOOKUP(U12,'Re-referrals'!$B$9:$O$32,14,FALSE),"")</f>
        <v>174.68623362316561</v>
      </c>
      <c r="V26" s="758">
        <f>IFERROR(VLOOKUP(V12,'Re-referrals'!$B$9:$O$32,14,FALSE),"")</f>
        <v>113.71891589829561</v>
      </c>
      <c r="W26" s="758">
        <f>IFERROR(VLOOKUP(W12,'Re-referrals'!$B$9:$O$32,14,FALSE),"")</f>
        <v>154.60437093507076</v>
      </c>
      <c r="X26" s="758">
        <f>IFERROR(VLOOKUP(X12,'Re-referrals'!$B$9:$O$32,14,FALSE),"")</f>
        <v>48.32324173265021</v>
      </c>
      <c r="Y26" s="825">
        <f>IFERROR(VLOOKUP(Y12,'Re-referrals'!$B$9:$O$32,14,FALSE),"")</f>
        <v>58.653299571081597</v>
      </c>
      <c r="Z26" s="597">
        <f>IFERROR(VLOOKUP(Z12,'Re-referrals'!$B$9:$O$32,14,FALSE),"")</f>
        <v>138.07543219307925</v>
      </c>
      <c r="AA26" s="597">
        <f>IFERROR(VLOOKUP(AA12,'Re-referrals'!$B$9:$O$32,14,FALSE),"")</f>
        <v>121.18523729377296</v>
      </c>
      <c r="AB26" s="574"/>
      <c r="AC26" s="867"/>
      <c r="AD26" s="575"/>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76"/>
      <c r="BA26" s="576"/>
    </row>
    <row r="27" spans="1:53" s="515" customFormat="1" ht="23.25" thickBot="1" x14ac:dyDescent="0.25">
      <c r="A27" s="570"/>
      <c r="B27" s="970" t="s">
        <v>23</v>
      </c>
      <c r="C27" s="759" t="s">
        <v>238</v>
      </c>
      <c r="D27" s="822">
        <f>IFERROR(VLOOKUP(D12,Assessments!$B$9:$N$32,13,FALSE),"")</f>
        <v>494.42748633491874</v>
      </c>
      <c r="E27" s="760">
        <f>IFERROR(VLOOKUP(E12,Assessments!$B$9:$N$32,13,FALSE),"")</f>
        <v>588.91207269749032</v>
      </c>
      <c r="F27" s="760">
        <f>IFERROR(VLOOKUP(F12,Assessments!$B$9:$N$32,13,FALSE),"")</f>
        <v>546.62247862198763</v>
      </c>
      <c r="G27" s="760">
        <f>IFERROR(VLOOKUP(G12,Assessments!$B$9:$N$32,13,FALSE),"")</f>
        <v>296.72497946621604</v>
      </c>
      <c r="H27" s="760">
        <f>IFERROR(VLOOKUP(H12,Assessments!$B$9:$N$32,13,FALSE),"")</f>
        <v>701.61355913024113</v>
      </c>
      <c r="I27" s="760">
        <f>IFERROR(VLOOKUP(I12,Assessments!$B$9:$N$32,13,FALSE),"")</f>
        <v>1067.8571428571429</v>
      </c>
      <c r="J27" s="760">
        <f>IFERROR(VLOOKUP(J12,Assessments!$B$9:$N$32,13,FALSE),"")</f>
        <v>491.40506538155506</v>
      </c>
      <c r="K27" s="760">
        <f>IFERROR(VLOOKUP(K12,Assessments!$B$9:$N$32,13,FALSE),"")</f>
        <v>442.40702073881033</v>
      </c>
      <c r="L27" s="760">
        <f>IFERROR(VLOOKUP(L12,Assessments!$B$9:$N$32,13,FALSE),"")</f>
        <v>374.85479403091773</v>
      </c>
      <c r="M27" s="760">
        <f>IFERROR(VLOOKUP(M12,Assessments!$B$9:$N$32,13,FALSE),"")</f>
        <v>470.26879500619322</v>
      </c>
      <c r="N27" s="760">
        <f>IFERROR(VLOOKUP(N12,Assessments!$B$9:$N$32,13,FALSE),"")</f>
        <v>670.4545454545455</v>
      </c>
      <c r="O27" s="760">
        <f>IFERROR(VLOOKUP(O12,Assessments!$B$9:$N$32,13,FALSE),"")</f>
        <v>803.74443928932078</v>
      </c>
      <c r="P27" s="760">
        <f>IFERROR(VLOOKUP(P12,Assessments!$B$9:$N$32,13,FALSE),"")</f>
        <v>564.89397671835002</v>
      </c>
      <c r="Q27" s="760">
        <f>IFERROR(VLOOKUP(Q12,Assessments!$B$9:$N$32,13,FALSE),"")</f>
        <v>450.86041018813211</v>
      </c>
      <c r="R27" s="760">
        <f>IFERROR(VLOOKUP(R12,Assessments!$B$9:$N$32,13,FALSE),"")</f>
        <v>532.05346586240762</v>
      </c>
      <c r="S27" s="760">
        <f>IFERROR(VLOOKUP(S12,Assessments!$B$9:$N$32,13,FALSE),"")</f>
        <v>464.17167633851869</v>
      </c>
      <c r="T27" s="760">
        <f>IFERROR(VLOOKUP(T12,Assessments!$B$9:$N$32,13,FALSE),"")</f>
        <v>605.313169706037</v>
      </c>
      <c r="U27" s="760">
        <f>IFERROR(VLOOKUP(U12,Assessments!$B$9:$N$32,13,FALSE),"")</f>
        <v>398.84917037796083</v>
      </c>
      <c r="V27" s="760">
        <f>IFERROR(VLOOKUP(V12,Assessments!$B$9:$N$32,13,FALSE),"")</f>
        <v>418.30174501127158</v>
      </c>
      <c r="W27" s="760">
        <f>IFERROR(VLOOKUP(W12,Assessments!$B$9:$N$32,13,FALSE),"")</f>
        <v>444.39657430965116</v>
      </c>
      <c r="X27" s="760">
        <f>IFERROR(VLOOKUP(X12,Assessments!$B$9:$N$32,13,FALSE),"")</f>
        <v>195.45880149812734</v>
      </c>
      <c r="Y27" s="823">
        <f>IFERROR(VLOOKUP(Y12,Assessments!$B$9:$N$32,13,FALSE),"")</f>
        <v>230.14808385281043</v>
      </c>
      <c r="Z27" s="761">
        <f>IFERROR(VLOOKUP(Z12,Assessments!$B$9:$N$32,13,FALSE),"")</f>
        <v>510.96812372070457</v>
      </c>
      <c r="AA27" s="761">
        <f>IFERROR(VLOOKUP(AA12,Assessments!$B$9:$N$32,13,FALSE),"")</f>
        <v>514.98153161779737</v>
      </c>
      <c r="AB27" s="574"/>
      <c r="AC27" s="867"/>
      <c r="AD27" s="575"/>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row>
    <row r="28" spans="1:53" s="515" customFormat="1" ht="21" customHeight="1" x14ac:dyDescent="0.2">
      <c r="A28" s="570"/>
      <c r="B28" s="971"/>
      <c r="C28" s="571" t="s">
        <v>239</v>
      </c>
      <c r="D28" s="820">
        <f>IFERROR(VLOOKUP(D$12,Assessments!$B$145:$H$168,3,FALSE),"")</f>
        <v>0.17425149700598802</v>
      </c>
      <c r="E28" s="751">
        <f>IFERROR(VLOOKUP(E$12,Assessments!$B$145:$H$168,3,FALSE),"")</f>
        <v>0.18326545723805998</v>
      </c>
      <c r="F28" s="751">
        <f>IFERROR(VLOOKUP(F$12,Assessments!$B$145:$H$168,3,FALSE),"")</f>
        <v>0.17391824049725077</v>
      </c>
      <c r="G28" s="751">
        <f>IFERROR(VLOOKUP(G$12,Assessments!$B$145:$H$168,3,FALSE),"")</f>
        <v>8.5195530726256977E-2</v>
      </c>
      <c r="H28" s="751">
        <f>IFERROR(VLOOKUP(H$12,Assessments!$B$145:$H$168,3,FALSE),"")</f>
        <v>0.29909399773499434</v>
      </c>
      <c r="I28" s="751">
        <f>IFERROR(VLOOKUP(I$12,Assessments!$B$145:$H$168,3,FALSE),"")</f>
        <v>0.27659574468085107</v>
      </c>
      <c r="J28" s="751">
        <f>IFERROR(VLOOKUP(J$12,Assessments!$B$145:$H$168,3,FALSE),"")</f>
        <v>7.6592128326339826E-2</v>
      </c>
      <c r="K28" s="751">
        <f>IFERROR(VLOOKUP(K$12,Assessments!$B$145:$H$168,3,FALSE),"")</f>
        <v>5.8589079314467912E-2</v>
      </c>
      <c r="L28" s="751">
        <f>IFERROR(VLOOKUP(L$12,Assessments!$B$145:$H$168,3,FALSE),"")</f>
        <v>0.2797107998192499</v>
      </c>
      <c r="M28" s="751">
        <f>IFERROR(VLOOKUP(M$12,Assessments!$B$145:$H$168,3,FALSE),"")</f>
        <v>4.4214162348877373E-2</v>
      </c>
      <c r="N28" s="751">
        <f>IFERROR(VLOOKUP(N$12,Assessments!$B$145:$H$168,3,FALSE),"")</f>
        <v>0.30407523510971785</v>
      </c>
      <c r="O28" s="751">
        <f>IFERROR(VLOOKUP(O$12,Assessments!$B$145:$H$168,3,FALSE),"")</f>
        <v>0.18237190970978143</v>
      </c>
      <c r="P28" s="751">
        <f>IFERROR(VLOOKUP(P$12,Assessments!$B$145:$H$168,3,FALSE),"")</f>
        <v>0</v>
      </c>
      <c r="Q28" s="751">
        <f>IFERROR(VLOOKUP(Q$12,Assessments!$B$145:$H$168,3,FALSE),"")</f>
        <v>0.20286481647269472</v>
      </c>
      <c r="R28" s="751">
        <f>IFERROR(VLOOKUP(R$12,Assessments!$B$145:$H$168,3,FALSE),"")</f>
        <v>9.4909404659188956E-2</v>
      </c>
      <c r="S28" s="751">
        <f>IFERROR(VLOOKUP(S$12,Assessments!$B$145:$H$168,3,FALSE),"")</f>
        <v>5.92256936163447E-2</v>
      </c>
      <c r="T28" s="751">
        <f>IFERROR(VLOOKUP(T$12,Assessments!$B$145:$H$168,3,FALSE),"")</f>
        <v>9.3938432243732148E-2</v>
      </c>
      <c r="U28" s="751">
        <f>IFERROR(VLOOKUP(U$12,Assessments!$B$145:$H$168,3,FALSE),"")</f>
        <v>0.12254641909814323</v>
      </c>
      <c r="V28" s="751">
        <f>IFERROR(VLOOKUP(V$12,Assessments!$B$145:$H$168,3,FALSE),"")</f>
        <v>0.24157303370786518</v>
      </c>
      <c r="W28" s="751">
        <f>IFERROR(VLOOKUP(W$12,Assessments!$B$145:$H$168,3,FALSE),"")</f>
        <v>0.80557776889244304</v>
      </c>
      <c r="X28" s="751">
        <f>IFERROR(VLOOKUP(X$12,Assessments!$B$145:$H$168,3,FALSE),"")</f>
        <v>0</v>
      </c>
      <c r="Y28" s="821">
        <f>IFERROR(VLOOKUP(Y$12,Assessments!$B$145:$H$168,3,FALSE),"")</f>
        <v>0.11770072992700729</v>
      </c>
      <c r="Z28" s="752">
        <f>IFERROR(VLOOKUP(Z$12,Assessments!$B$145:$H$168,3,FALSE),"")</f>
        <v>0.21708080610448052</v>
      </c>
      <c r="AA28" s="752">
        <f>IFERROR(VLOOKUP(AA$12,Assessments!$B$145:$H$168,3,FALSE),"")</f>
        <v>0.16356865541557722</v>
      </c>
      <c r="AB28" s="574"/>
      <c r="AC28" s="867"/>
      <c r="AD28" s="575"/>
      <c r="AE28" s="576"/>
      <c r="AF28" s="576"/>
      <c r="AG28" s="576"/>
      <c r="AH28" s="576"/>
      <c r="AI28" s="576"/>
      <c r="AJ28" s="576"/>
      <c r="AK28" s="576"/>
      <c r="AL28" s="576"/>
      <c r="AM28" s="576"/>
      <c r="AN28" s="576"/>
      <c r="AO28" s="576"/>
      <c r="AP28" s="576"/>
      <c r="AQ28" s="576"/>
      <c r="AR28" s="576"/>
      <c r="AS28" s="576"/>
      <c r="AT28" s="576"/>
      <c r="AU28" s="576"/>
      <c r="AV28" s="576"/>
      <c r="AW28" s="576"/>
      <c r="AX28" s="576"/>
      <c r="AY28" s="576"/>
      <c r="AZ28" s="576"/>
      <c r="BA28" s="576"/>
    </row>
    <row r="29" spans="1:53" s="515" customFormat="1" ht="21" customHeight="1" x14ac:dyDescent="0.2">
      <c r="A29" s="570"/>
      <c r="B29" s="971"/>
      <c r="C29" s="577" t="s">
        <v>814</v>
      </c>
      <c r="D29" s="813">
        <f>IFERROR(VLOOKUP(D$12,Assessments!$B$145:$H$168,4,FALSE),"")</f>
        <v>0.2221556886227545</v>
      </c>
      <c r="E29" s="578">
        <f>IFERROR(VLOOKUP(E$12,Assessments!$B$145:$H$168,4,FALSE),"")</f>
        <v>0.1388374676045909</v>
      </c>
      <c r="F29" s="578">
        <f>IFERROR(VLOOKUP(F$12,Assessments!$B$145:$H$168,4,FALSE),"")</f>
        <v>0.13028926607697824</v>
      </c>
      <c r="G29" s="578">
        <f>IFERROR(VLOOKUP(G$12,Assessments!$B$145:$H$168,4,FALSE),"")</f>
        <v>0.1430167597765363</v>
      </c>
      <c r="H29" s="578">
        <f>IFERROR(VLOOKUP(H$12,Assessments!$B$145:$H$168,4,FALSE),"")</f>
        <v>0.41800679501698756</v>
      </c>
      <c r="I29" s="578">
        <f>IFERROR(VLOOKUP(I$12,Assessments!$B$145:$H$168,4,FALSE),"")</f>
        <v>0.28443449048152297</v>
      </c>
      <c r="J29" s="578">
        <f>IFERROR(VLOOKUP(J$12,Assessments!$B$145:$H$168,4,FALSE),"")</f>
        <v>0.11504753811016094</v>
      </c>
      <c r="K29" s="578">
        <f>IFERROR(VLOOKUP(K$12,Assessments!$B$145:$H$168,4,FALSE),"")</f>
        <v>9.8445595854922283E-2</v>
      </c>
      <c r="L29" s="578">
        <f>IFERROR(VLOOKUP(L$12,Assessments!$B$145:$H$168,4,FALSE),"")</f>
        <v>0.27519204699502936</v>
      </c>
      <c r="M29" s="578">
        <f>IFERROR(VLOOKUP(M$12,Assessments!$B$145:$H$168,4,FALSE),"")</f>
        <v>9.6545768566493953E-2</v>
      </c>
      <c r="N29" s="578">
        <f>IFERROR(VLOOKUP(N$12,Assessments!$B$145:$H$168,4,FALSE),"")</f>
        <v>0.25642633228840123</v>
      </c>
      <c r="O29" s="578">
        <f>IFERROR(VLOOKUP(O$12,Assessments!$B$145:$H$168,4,FALSE),"")</f>
        <v>0.12647796488713722</v>
      </c>
      <c r="P29" s="578">
        <f>IFERROR(VLOOKUP(P$12,Assessments!$B$145:$H$168,4,FALSE),"")</f>
        <v>7.6043068640646028E-2</v>
      </c>
      <c r="Q29" s="578">
        <f>IFERROR(VLOOKUP(Q$12,Assessments!$B$145:$H$168,4,FALSE),"")</f>
        <v>0.16383169203222919</v>
      </c>
      <c r="R29" s="578">
        <f>IFERROR(VLOOKUP(R$12,Assessments!$B$145:$H$168,4,FALSE),"")</f>
        <v>0.15573770491803279</v>
      </c>
      <c r="S29" s="578">
        <f>IFERROR(VLOOKUP(S$12,Assessments!$B$145:$H$168,4,FALSE),"")</f>
        <v>0.16821686938548375</v>
      </c>
      <c r="T29" s="578">
        <f>IFERROR(VLOOKUP(T$12,Assessments!$B$145:$H$168,4,FALSE),"")</f>
        <v>0.2050142811805776</v>
      </c>
      <c r="U29" s="578">
        <f>IFERROR(VLOOKUP(U$12,Assessments!$B$145:$H$168,4,FALSE),"")</f>
        <v>0.2153846153846154</v>
      </c>
      <c r="V29" s="578">
        <f>IFERROR(VLOOKUP(V$12,Assessments!$B$145:$H$168,4,FALSE),"")</f>
        <v>0.1348314606741573</v>
      </c>
      <c r="W29" s="578">
        <f>IFERROR(VLOOKUP(W$12,Assessments!$B$145:$H$168,4,FALSE),"")</f>
        <v>8.3266693322670934E-2</v>
      </c>
      <c r="X29" s="578">
        <f>IFERROR(VLOOKUP(X$12,Assessments!$B$145:$H$168,4,FALSE),"")</f>
        <v>0.1074660633484163</v>
      </c>
      <c r="Y29" s="750">
        <f>IFERROR(VLOOKUP(Y$12,Assessments!$B$145:$H$168,4,FALSE),"")</f>
        <v>0.1478102189781022</v>
      </c>
      <c r="Z29" s="579">
        <f>IFERROR(VLOOKUP(Z$12,Assessments!$B$145:$H$168,4,FALSE),"")</f>
        <v>0.18743885736646448</v>
      </c>
      <c r="AA29" s="579">
        <f>IFERROR(VLOOKUP(AA$12,Assessments!$B$145:$H$168,4,FALSE),"")</f>
        <v>0.17033515569289279</v>
      </c>
      <c r="AB29" s="574"/>
      <c r="AC29" s="867"/>
      <c r="AD29" s="575"/>
      <c r="AE29" s="576"/>
      <c r="AF29" s="576"/>
      <c r="AG29" s="576"/>
      <c r="AH29" s="576"/>
      <c r="AI29" s="576"/>
      <c r="AJ29" s="576"/>
      <c r="AK29" s="576"/>
      <c r="AL29" s="576"/>
      <c r="AM29" s="576"/>
      <c r="AN29" s="576"/>
      <c r="AO29" s="576"/>
      <c r="AP29" s="576"/>
      <c r="AQ29" s="576"/>
      <c r="AR29" s="576"/>
      <c r="AS29" s="576"/>
      <c r="AT29" s="576"/>
      <c r="AU29" s="576"/>
      <c r="AV29" s="576"/>
      <c r="AW29" s="576"/>
      <c r="AX29" s="576"/>
      <c r="AY29" s="576"/>
      <c r="AZ29" s="576"/>
      <c r="BA29" s="576"/>
    </row>
    <row r="30" spans="1:53" s="515" customFormat="1" ht="21" customHeight="1" x14ac:dyDescent="0.2">
      <c r="A30" s="570"/>
      <c r="B30" s="971"/>
      <c r="C30" s="577" t="s">
        <v>815</v>
      </c>
      <c r="D30" s="813">
        <f>IFERROR(VLOOKUP(D$12,Assessments!$B$145:$H$168,5,FALSE),"")</f>
        <v>0.18982035928143712</v>
      </c>
      <c r="E30" s="578">
        <f>IFERROR(VLOOKUP(E$12,Assessments!$B$145:$H$168,5,FALSE),"")</f>
        <v>0.26952980377637914</v>
      </c>
      <c r="F30" s="578">
        <f>IFERROR(VLOOKUP(F$12,Assessments!$B$145:$H$168,5,FALSE),"")</f>
        <v>0.21742768348075545</v>
      </c>
      <c r="G30" s="578">
        <f>IFERROR(VLOOKUP(G$12,Assessments!$B$145:$H$168,5,FALSE),"")</f>
        <v>0.15502793296089384</v>
      </c>
      <c r="H30" s="578">
        <f>IFERROR(VLOOKUP(H$12,Assessments!$B$145:$H$168,5,FALSE),"")</f>
        <v>0.10203850509626274</v>
      </c>
      <c r="I30" s="578">
        <f>IFERROR(VLOOKUP(I$12,Assessments!$B$145:$H$168,5,FALSE),"")</f>
        <v>0.15677491601343785</v>
      </c>
      <c r="J30" s="578">
        <f>IFERROR(VLOOKUP(J$12,Assessments!$B$145:$H$168,5,FALSE),"")</f>
        <v>0.23662824666702076</v>
      </c>
      <c r="K30" s="578">
        <f>IFERROR(VLOOKUP(K$12,Assessments!$B$145:$H$168,5,FALSE),"")</f>
        <v>0.15464328417696294</v>
      </c>
      <c r="L30" s="578">
        <f>IFERROR(VLOOKUP(L$12,Assessments!$B$145:$H$168,5,FALSE),"")</f>
        <v>0.20921825576140984</v>
      </c>
      <c r="M30" s="578">
        <f>IFERROR(VLOOKUP(M$12,Assessments!$B$145:$H$168,5,FALSE),"")</f>
        <v>0.12521588946459414</v>
      </c>
      <c r="N30" s="578">
        <f>IFERROR(VLOOKUP(N$12,Assessments!$B$145:$H$168,5,FALSE),"")</f>
        <v>0.18777429467084639</v>
      </c>
      <c r="O30" s="578">
        <f>IFERROR(VLOOKUP(O$12,Assessments!$B$145:$H$168,5,FALSE),"")</f>
        <v>0.15657470440702256</v>
      </c>
      <c r="P30" s="578">
        <f>IFERROR(VLOOKUP(P$12,Assessments!$B$145:$H$168,5,FALSE),"")</f>
        <v>0.2079407806191117</v>
      </c>
      <c r="Q30" s="578">
        <f>IFERROR(VLOOKUP(Q$12,Assessments!$B$145:$H$168,5,FALSE),"")</f>
        <v>0.18316920322291852</v>
      </c>
      <c r="R30" s="578">
        <f>IFERROR(VLOOKUP(R$12,Assessments!$B$145:$H$168,5,FALSE),"")</f>
        <v>0.13416738567730802</v>
      </c>
      <c r="S30" s="578">
        <f>IFERROR(VLOOKUP(S$12,Assessments!$B$145:$H$168,5,FALSE),"")</f>
        <v>0.17640511964385086</v>
      </c>
      <c r="T30" s="578">
        <f>IFERROR(VLOOKUP(T$12,Assessments!$B$145:$H$168,5,FALSE),"")</f>
        <v>0.19105046017137417</v>
      </c>
      <c r="U30" s="578">
        <f>IFERROR(VLOOKUP(U$12,Assessments!$B$145:$H$168,5,FALSE),"")</f>
        <v>0.14164456233421752</v>
      </c>
      <c r="V30" s="578">
        <f>IFERROR(VLOOKUP(V$12,Assessments!$B$145:$H$168,5,FALSE),"")</f>
        <v>0.11292134831460675</v>
      </c>
      <c r="W30" s="578">
        <f>IFERROR(VLOOKUP(W$12,Assessments!$B$145:$H$168,5,FALSE),"")</f>
        <v>4.7780887644942024E-2</v>
      </c>
      <c r="X30" s="578">
        <f>IFERROR(VLOOKUP(X$12,Assessments!$B$145:$H$168,5,FALSE),"")</f>
        <v>9.7285067873303169E-2</v>
      </c>
      <c r="Y30" s="750">
        <f>IFERROR(VLOOKUP(Y$12,Assessments!$B$145:$H$168,5,FALSE),"")</f>
        <v>0.19525547445255476</v>
      </c>
      <c r="Z30" s="579">
        <f>IFERROR(VLOOKUP(Z$12,Assessments!$B$145:$H$168,5,FALSE),"")</f>
        <v>0.16171003717472118</v>
      </c>
      <c r="AA30" s="579">
        <f>IFERROR(VLOOKUP(AA$12,Assessments!$B$145:$H$168,5,FALSE),"")</f>
        <v>0.1635528088107123</v>
      </c>
      <c r="AB30" s="574"/>
      <c r="AC30" s="867"/>
      <c r="AD30" s="575"/>
      <c r="AE30" s="576"/>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row>
    <row r="31" spans="1:53" s="515" customFormat="1" ht="21" customHeight="1" x14ac:dyDescent="0.2">
      <c r="A31" s="570"/>
      <c r="B31" s="971"/>
      <c r="C31" s="577" t="s">
        <v>816</v>
      </c>
      <c r="D31" s="813">
        <f>IFERROR(VLOOKUP(D$12,Assessments!$B$145:$H$168,6,FALSE),"")</f>
        <v>0.31856287425149699</v>
      </c>
      <c r="E31" s="578">
        <f>IFERROR(VLOOKUP(E$12,Assessments!$B$145:$H$168,6,FALSE),"")</f>
        <v>0.29692706405035174</v>
      </c>
      <c r="F31" s="578">
        <f>IFERROR(VLOOKUP(F$12,Assessments!$B$145:$H$168,6,FALSE),"")</f>
        <v>0.32153956490557017</v>
      </c>
      <c r="G31" s="578">
        <f>IFERROR(VLOOKUP(G$12,Assessments!$B$145:$H$168,6,FALSE),"")</f>
        <v>0.22318435754189944</v>
      </c>
      <c r="H31" s="578">
        <f>IFERROR(VLOOKUP(H$12,Assessments!$B$145:$H$168,6,FALSE),"")</f>
        <v>9.2865232163080402E-2</v>
      </c>
      <c r="I31" s="578">
        <f>IFERROR(VLOOKUP(I$12,Assessments!$B$145:$H$168,6,FALSE),"")</f>
        <v>0.14333706606942889</v>
      </c>
      <c r="J31" s="578">
        <f>IFERROR(VLOOKUP(J$12,Assessments!$B$145:$H$168,6,FALSE),"")</f>
        <v>0.44032506506612845</v>
      </c>
      <c r="K31" s="578">
        <f>IFERROR(VLOOKUP(K$12,Assessments!$B$145:$H$168,6,FALSE),"")</f>
        <v>0.54762853726584293</v>
      </c>
      <c r="L31" s="578">
        <f>IFERROR(VLOOKUP(L$12,Assessments!$B$145:$H$168,6,FALSE),"")</f>
        <v>0.11342069588793494</v>
      </c>
      <c r="M31" s="578">
        <f>IFERROR(VLOOKUP(M$12,Assessments!$B$145:$H$168,6,FALSE),"")</f>
        <v>0.25094991364421415</v>
      </c>
      <c r="N31" s="578">
        <f>IFERROR(VLOOKUP(N$12,Assessments!$B$145:$H$168,6,FALSE),"")</f>
        <v>0.18746081504702194</v>
      </c>
      <c r="O31" s="578">
        <f>IFERROR(VLOOKUP(O$12,Assessments!$B$145:$H$168,6,FALSE),"")</f>
        <v>0.39663203152991761</v>
      </c>
      <c r="P31" s="578">
        <f>IFERROR(VLOOKUP(P$12,Assessments!$B$145:$H$168,6,FALSE),"")</f>
        <v>0.28196500672947511</v>
      </c>
      <c r="Q31" s="578">
        <f>IFERROR(VLOOKUP(Q$12,Assessments!$B$145:$H$168,6,FALSE),"")</f>
        <v>0.25675917636526407</v>
      </c>
      <c r="R31" s="578">
        <f>IFERROR(VLOOKUP(R$12,Assessments!$B$145:$H$168,6,FALSE),"")</f>
        <v>0.4443485763589301</v>
      </c>
      <c r="S31" s="578">
        <f>IFERROR(VLOOKUP(S$12,Assessments!$B$145:$H$168,6,FALSE),"")</f>
        <v>0.35471818109547659</v>
      </c>
      <c r="T31" s="578">
        <f>IFERROR(VLOOKUP(T$12,Assessments!$B$145:$H$168,6,FALSE),"")</f>
        <v>0.2269120913995557</v>
      </c>
      <c r="U31" s="578">
        <f>IFERROR(VLOOKUP(U$12,Assessments!$B$145:$H$168,6,FALSE),"")</f>
        <v>0.24084880636604775</v>
      </c>
      <c r="V31" s="578">
        <f>IFERROR(VLOOKUP(V$12,Assessments!$B$145:$H$168,6,FALSE),"")</f>
        <v>0.49325842696629213</v>
      </c>
      <c r="W31" s="578">
        <f>IFERROR(VLOOKUP(W$12,Assessments!$B$145:$H$168,6,FALSE),"")</f>
        <v>4.1183526589364257E-2</v>
      </c>
      <c r="X31" s="578">
        <f>IFERROR(VLOOKUP(X$12,Assessments!$B$145:$H$168,6,FALSE),"")</f>
        <v>0.36651583710407237</v>
      </c>
      <c r="Y31" s="750">
        <f>IFERROR(VLOOKUP(Y$12,Assessments!$B$145:$H$168,6,FALSE),"")</f>
        <v>0.27007299270072993</v>
      </c>
      <c r="Z31" s="579">
        <f>IFERROR(VLOOKUP(Z$12,Assessments!$B$145:$H$168,6,FALSE),"")</f>
        <v>0.27147329289767169</v>
      </c>
      <c r="AA31" s="579">
        <f>IFERROR(VLOOKUP(AA$12,Assessments!$B$145:$H$168,6,FALSE),"")</f>
        <v>0.32953014816575549</v>
      </c>
      <c r="AB31" s="574"/>
      <c r="AC31" s="867"/>
      <c r="AD31" s="575"/>
      <c r="AE31" s="576"/>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row>
    <row r="32" spans="1:53" s="515" customFormat="1" ht="21" customHeight="1" thickBot="1" x14ac:dyDescent="0.25">
      <c r="A32" s="570"/>
      <c r="B32" s="971"/>
      <c r="C32" s="603" t="s">
        <v>240</v>
      </c>
      <c r="D32" s="818">
        <f>IFERROR(VLOOKUP(D$12,Assessments!$B$145:$H$168,7,FALSE),"")</f>
        <v>9.5209580838323357E-2</v>
      </c>
      <c r="E32" s="604">
        <f>IFERROR(VLOOKUP(E$12,Assessments!$B$145:$H$168,7,FALSE),"")</f>
        <v>0.1114402073306183</v>
      </c>
      <c r="F32" s="604">
        <f>IFERROR(VLOOKUP(F$12,Assessments!$B$145:$H$168,7,FALSE),"")</f>
        <v>0.15682524503944537</v>
      </c>
      <c r="G32" s="604">
        <f>IFERROR(VLOOKUP(G$12,Assessments!$B$145:$H$168,7,FALSE),"")</f>
        <v>0.3935754189944134</v>
      </c>
      <c r="H32" s="604">
        <f>IFERROR(VLOOKUP(H$12,Assessments!$B$145:$H$168,7,FALSE),"")</f>
        <v>8.7995469988674968E-2</v>
      </c>
      <c r="I32" s="604">
        <f>IFERROR(VLOOKUP(I$12,Assessments!$B$145:$H$168,7,FALSE),"")</f>
        <v>0.13885778275475924</v>
      </c>
      <c r="J32" s="604">
        <f>IFERROR(VLOOKUP(J$12,Assessments!$B$145:$H$168,7,FALSE),"")</f>
        <v>0.13140702183035002</v>
      </c>
      <c r="K32" s="604">
        <f>IFERROR(VLOOKUP(K$12,Assessments!$B$145:$H$168,7,FALSE),"")</f>
        <v>0.1406935033878039</v>
      </c>
      <c r="L32" s="604">
        <f>IFERROR(VLOOKUP(L$12,Assessments!$B$145:$H$168,7,FALSE),"")</f>
        <v>0.12245820153637596</v>
      </c>
      <c r="M32" s="604">
        <f>IFERROR(VLOOKUP(M$12,Assessments!$B$145:$H$168,7,FALSE),"")</f>
        <v>0.48307426597582037</v>
      </c>
      <c r="N32" s="604">
        <f>IFERROR(VLOOKUP(N$12,Assessments!$B$145:$H$168,7,FALSE),"")</f>
        <v>6.4263322884012541E-2</v>
      </c>
      <c r="O32" s="604">
        <f>IFERROR(VLOOKUP(O$12,Assessments!$B$145:$H$168,7,FALSE),"")</f>
        <v>0.13794338946614118</v>
      </c>
      <c r="P32" s="604">
        <f>IFERROR(VLOOKUP(P$12,Assessments!$B$145:$H$168,7,FALSE),"")</f>
        <v>0.43405114401076716</v>
      </c>
      <c r="Q32" s="604">
        <f>IFERROR(VLOOKUP(Q$12,Assessments!$B$145:$H$168,7,FALSE),"")</f>
        <v>0.19337511190689347</v>
      </c>
      <c r="R32" s="604">
        <f>IFERROR(VLOOKUP(R$12,Assessments!$B$145:$H$168,7,FALSE),"")</f>
        <v>0.17083692838654013</v>
      </c>
      <c r="S32" s="604">
        <f>IFERROR(VLOOKUP(S$12,Assessments!$B$145:$H$168,7,FALSE),"")</f>
        <v>0.24143413625884411</v>
      </c>
      <c r="T32" s="604">
        <f>IFERROR(VLOOKUP(T$12,Assessments!$B$145:$H$168,7,FALSE),"")</f>
        <v>0.28308473500476039</v>
      </c>
      <c r="U32" s="604">
        <f>IFERROR(VLOOKUP(U$12,Assessments!$B$145:$H$168,7,FALSE),"")</f>
        <v>0.27957559681697614</v>
      </c>
      <c r="V32" s="604">
        <f>IFERROR(VLOOKUP(V$12,Assessments!$B$145:$H$168,7,FALSE),"")</f>
        <v>1.7415730337078651E-2</v>
      </c>
      <c r="W32" s="604">
        <f>IFERROR(VLOOKUP(W$12,Assessments!$B$145:$H$168,7,FALSE),"")</f>
        <v>2.2191123550579769E-2</v>
      </c>
      <c r="X32" s="604">
        <f>IFERROR(VLOOKUP(X$12,Assessments!$B$145:$H$168,7,FALSE),"")</f>
        <v>0.42873303167420812</v>
      </c>
      <c r="Y32" s="819">
        <f>IFERROR(VLOOKUP(Y$12,Assessments!$B$145:$H$168,7,FALSE),"")</f>
        <v>0.26916058394160586</v>
      </c>
      <c r="Z32" s="605">
        <f>IFERROR(VLOOKUP(Z$12,Assessments!$B$145:$H$168,7,FALSE),"")</f>
        <v>0.16229700645666209</v>
      </c>
      <c r="AA32" s="605">
        <f>IFERROR(VLOOKUP(AA$12,Assessments!$B$145:$H$168,7,FALSE),"")</f>
        <v>0.17301323191506221</v>
      </c>
      <c r="AB32" s="574"/>
      <c r="AC32" s="867"/>
      <c r="AD32" s="575"/>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row>
    <row r="33" spans="1:57" s="515" customFormat="1" ht="21" customHeight="1" thickBot="1" x14ac:dyDescent="0.25">
      <c r="A33" s="570"/>
      <c r="B33" s="595" t="s">
        <v>241</v>
      </c>
      <c r="C33" s="596" t="s">
        <v>251</v>
      </c>
      <c r="D33" s="809">
        <f>IFERROR(VLOOKUP(D12,'Children in Need'!$B$9:$O$32,14,FALSE),"")</f>
        <v>353.74585871540023</v>
      </c>
      <c r="E33" s="590">
        <f>IFERROR(VLOOKUP(E12,'Children in Need'!$B$9:$O$32,14,FALSE),"")</f>
        <v>426.62952864792771</v>
      </c>
      <c r="F33" s="590">
        <f>IFERROR(VLOOKUP(F12,'Children in Need'!$B$9:$O$32,14,FALSE),"")</f>
        <v>301.76721511273615</v>
      </c>
      <c r="G33" s="590">
        <f>IFERROR(VLOOKUP(G12,'Children in Need'!$B$9:$O$32,14,FALSE),"")</f>
        <v>295.53491442312225</v>
      </c>
      <c r="H33" s="590">
        <f>IFERROR(VLOOKUP(H12,'Children in Need'!$B$9:$O$32,14,FALSE),"")</f>
        <v>292.43171887022879</v>
      </c>
      <c r="I33" s="590">
        <f>IFERROR(VLOOKUP(I12,'Children in Need'!$B$9:$O$32,14,FALSE),"")</f>
        <v>490.91997605268409</v>
      </c>
      <c r="J33" s="590">
        <f>IFERROR(VLOOKUP(J12,'Children in Need'!$B$9:$O$32,14,FALSE),"")</f>
        <v>298.1046743431819</v>
      </c>
      <c r="K33" s="590">
        <f>IFERROR(VLOOKUP(K12,'Children in Need'!$B$9:$O$32,14,FALSE),"")</f>
        <v>304.17715778114882</v>
      </c>
      <c r="L33" s="590">
        <f>IFERROR(VLOOKUP(L12,'Children in Need'!$B$9:$O$32,14,FALSE),"")</f>
        <v>277.02632784898077</v>
      </c>
      <c r="M33" s="590">
        <f>IFERROR(VLOOKUP(M12,'Children in Need'!$B$9:$O$32,14,FALSE),"")</f>
        <v>299.28055547809601</v>
      </c>
      <c r="N33" s="590">
        <f>IFERROR(VLOOKUP(N12,'Children in Need'!$B$9:$O$32,14,FALSE),"")</f>
        <v>395.54670528602463</v>
      </c>
      <c r="O33" s="590">
        <f>IFERROR(VLOOKUP(O12,'Children in Need'!$B$9:$O$32,14,FALSE),"")</f>
        <v>453.724422397757</v>
      </c>
      <c r="P33" s="590">
        <f>IFERROR(VLOOKUP(P12,'Children in Need'!$B$9:$O$32,14,FALSE),"")</f>
        <v>289.94784257942155</v>
      </c>
      <c r="Q33" s="590">
        <f>IFERROR(VLOOKUP(Q12,'Children in Need'!$B$9:$O$32,14,FALSE),"")</f>
        <v>290.05123360343009</v>
      </c>
      <c r="R33" s="590">
        <f>IFERROR(VLOOKUP(R12,'Children in Need'!$B$9:$O$32,14,FALSE),"")</f>
        <v>475.89702812841665</v>
      </c>
      <c r="S33" s="590">
        <f>IFERROR(VLOOKUP(S12,'Children in Need'!$B$9:$O$32,14,FALSE),"")</f>
        <v>269.64522387199634</v>
      </c>
      <c r="T33" s="590">
        <f>IFERROR(VLOOKUP(T12,'Children in Need'!$B$9:$O$32,14,FALSE),"")</f>
        <v>543.42600753144779</v>
      </c>
      <c r="U33" s="590">
        <f>IFERROR(VLOOKUP(U12,'Children in Need'!$B$9:$O$32,14,FALSE),"")</f>
        <v>455.9940197505606</v>
      </c>
      <c r="V33" s="590">
        <f>IFERROR(VLOOKUP(V12,'Children in Need'!$B$9:$O$32,14,FALSE),"")</f>
        <v>285.27521654093323</v>
      </c>
      <c r="W33" s="590">
        <f>IFERROR(VLOOKUP(W12,'Children in Need'!$B$9:$O$32,14,FALSE),"")</f>
        <v>417.41448860521348</v>
      </c>
      <c r="X33" s="590">
        <f>IFERROR(VLOOKUP(X12,'Children in Need'!$B$9:$O$32,14,FALSE),"")</f>
        <v>223.27666511411272</v>
      </c>
      <c r="Y33" s="810">
        <f>IFERROR(VLOOKUP(Y12,'Children in Need'!$B$9:$O$32,14,FALSE),"")</f>
        <v>250.37465764043202</v>
      </c>
      <c r="Z33" s="597">
        <f>IFERROR(VLOOKUP(Z12,'Children in Need'!$B$9:$O$32,14,FALSE),"")</f>
        <v>317.51176136202872</v>
      </c>
      <c r="AA33" s="597">
        <f>IFERROR(VLOOKUP(AA12,'Children in Need'!$B$9:$O$32,14,FALSE),"")</f>
        <v>341.03940883918267</v>
      </c>
      <c r="AB33" s="574"/>
      <c r="AC33" s="867"/>
      <c r="AD33" s="575"/>
      <c r="AE33" s="576"/>
      <c r="AF33" s="576"/>
      <c r="AG33" s="576"/>
      <c r="AH33" s="576"/>
      <c r="AI33" s="576"/>
      <c r="AJ33" s="576"/>
      <c r="AK33" s="576"/>
      <c r="AL33" s="576"/>
      <c r="AM33" s="576"/>
      <c r="AN33" s="576"/>
      <c r="AO33" s="576"/>
      <c r="AP33" s="576"/>
      <c r="AQ33" s="576"/>
      <c r="AR33" s="576"/>
      <c r="AS33" s="576"/>
      <c r="AT33" s="576"/>
      <c r="AU33" s="576"/>
      <c r="AV33" s="576"/>
      <c r="AW33" s="576"/>
      <c r="AX33" s="576"/>
      <c r="AY33" s="576"/>
      <c r="AZ33" s="576"/>
      <c r="BA33" s="576"/>
    </row>
    <row r="34" spans="1:57" s="515" customFormat="1" ht="23.25" customHeight="1" thickBot="1" x14ac:dyDescent="0.25">
      <c r="A34" s="570"/>
      <c r="B34" s="588" t="s">
        <v>19</v>
      </c>
      <c r="C34" s="589" t="s">
        <v>242</v>
      </c>
      <c r="D34" s="809">
        <f>IFERROR(VLOOKUP(D12,'Section 47 Enquiries'!$B$9:$O$32,14,FALSE),"")</f>
        <v>225.14338641302413</v>
      </c>
      <c r="E34" s="590">
        <f>IFERROR(VLOOKUP(E12,'Section 47 Enquiries'!$B$9:$O$32,14,FALSE),"")</f>
        <v>172.41717502599008</v>
      </c>
      <c r="F34" s="590">
        <f>IFERROR(VLOOKUP(F12,'Section 47 Enquiries'!$B$9:$O$32,14,FALSE),"")</f>
        <v>200.85313833028638</v>
      </c>
      <c r="G34" s="590">
        <f>IFERROR(VLOOKUP(G12,'Section 47 Enquiries'!$B$9:$O$32,14,FALSE),"")</f>
        <v>125.79565278891036</v>
      </c>
      <c r="H34" s="590">
        <f>IFERROR(VLOOKUP(H12,'Section 47 Enquiries'!$B$9:$O$32,14,FALSE),"")</f>
        <v>135.67984638951833</v>
      </c>
      <c r="I34" s="590">
        <f>IFERROR(VLOOKUP(I12,'Section 47 Enquiries'!$B$9:$O$32,14,FALSE),"")</f>
        <v>222.31091598483337</v>
      </c>
      <c r="J34" s="590">
        <f>IFERROR(VLOOKUP(J12,'Section 47 Enquiries'!$B$9:$O$32,14,FALSE),"")</f>
        <v>186.22987890148474</v>
      </c>
      <c r="K34" s="590">
        <f>IFERROR(VLOOKUP(K12,'Section 47 Enquiries'!$B$9:$O$32,14,FALSE),"")</f>
        <v>184.69574464757676</v>
      </c>
      <c r="L34" s="590">
        <f>IFERROR(VLOOKUP(L12,'Section 47 Enquiries'!$B$9:$O$32,14,FALSE),"")</f>
        <v>82.487028249589784</v>
      </c>
      <c r="M34" s="590">
        <f>IFERROR(VLOOKUP(M12,'Section 47 Enquiries'!$B$9:$O$32,14,FALSE),"")</f>
        <v>125.83307771673962</v>
      </c>
      <c r="N34" s="590">
        <f>IFERROR(VLOOKUP(N12,'Section 47 Enquiries'!$B$9:$O$32,14,FALSE),"")</f>
        <v>231.94243301955106</v>
      </c>
      <c r="O34" s="590">
        <f>IFERROR(VLOOKUP(O12,'Section 47 Enquiries'!$B$9:$O$32,14,FALSE),"")</f>
        <v>226.45782223060954</v>
      </c>
      <c r="P34" s="590">
        <f>IFERROR(VLOOKUP(P12,'Section 47 Enquiries'!$B$9:$O$32,14,FALSE),"")</f>
        <v>167.85206258890469</v>
      </c>
      <c r="Q34" s="590">
        <f>IFERROR(VLOOKUP(Q12,'Section 47 Enquiries'!$B$9:$O$32,14,FALSE),"")</f>
        <v>138.89393554013299</v>
      </c>
      <c r="R34" s="590">
        <f>IFERROR(VLOOKUP(R12,'Section 47 Enquiries'!$B$9:$O$32,14,FALSE),"")</f>
        <v>336.34827551933205</v>
      </c>
      <c r="S34" s="590">
        <f>IFERROR(VLOOKUP(S12,'Section 47 Enquiries'!$B$9:$O$32,14,FALSE),"")</f>
        <v>160.00460997675805</v>
      </c>
      <c r="T34" s="590">
        <f>IFERROR(VLOOKUP(T12,'Section 47 Enquiries'!$B$9:$O$32,14,FALSE),"")</f>
        <v>203.10872526239885</v>
      </c>
      <c r="U34" s="590">
        <f>IFERROR(VLOOKUP(U12,'Section 47 Enquiries'!$B$9:$O$32,14,FALSE),"")</f>
        <v>272.2587244757446</v>
      </c>
      <c r="V34" s="590">
        <f>IFERROR(VLOOKUP(V12,'Section 47 Enquiries'!$B$9:$O$32,14,FALSE),"")</f>
        <v>173.51215423302597</v>
      </c>
      <c r="W34" s="590">
        <f>IFERROR(VLOOKUP(W12,'Section 47 Enquiries'!$B$9:$O$32,14,FALSE),"")</f>
        <v>173.30232397089119</v>
      </c>
      <c r="X34" s="590">
        <f>IFERROR(VLOOKUP(X12,'Section 47 Enquiries'!$B$9:$O$32,14,FALSE),"")</f>
        <v>101.88635305076851</v>
      </c>
      <c r="Y34" s="810">
        <f>IFERROR(VLOOKUP(Y12,'Section 47 Enquiries'!$B$9:$O$32,14,FALSE),"")</f>
        <v>121.69913699550412</v>
      </c>
      <c r="Z34" s="591">
        <f>IFERROR(VLOOKUP(Z12,'Section 47 Enquiries'!$B$9:$O$32,14,FALSE),"")</f>
        <v>166.67824154455172</v>
      </c>
      <c r="AA34" s="591">
        <f>IFERROR(VLOOKUP(AA12,'Section 47 Enquiries'!$B$9:$O$32,14,FALSE),"")</f>
        <v>166.92569122817247</v>
      </c>
      <c r="AB34" s="574"/>
      <c r="AC34" s="867"/>
      <c r="AD34" s="575"/>
      <c r="AE34" s="576"/>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row>
    <row r="35" spans="1:57" s="515" customFormat="1" ht="34.5" customHeight="1" x14ac:dyDescent="0.2">
      <c r="A35" s="962" t="s">
        <v>250</v>
      </c>
      <c r="B35" s="963"/>
      <c r="C35" s="963"/>
      <c r="D35" s="963"/>
      <c r="E35" s="963"/>
      <c r="F35" s="963"/>
      <c r="G35" s="963"/>
      <c r="H35" s="963"/>
      <c r="I35" s="963"/>
      <c r="J35" s="963"/>
      <c r="K35" s="963"/>
      <c r="L35" s="963"/>
      <c r="M35" s="963"/>
      <c r="N35" s="963"/>
      <c r="O35" s="963"/>
      <c r="P35" s="963"/>
      <c r="Q35" s="963"/>
      <c r="R35" s="963"/>
      <c r="S35" s="963"/>
      <c r="T35" s="963"/>
      <c r="U35" s="963"/>
      <c r="V35" s="963"/>
      <c r="W35" s="963"/>
      <c r="X35" s="963"/>
      <c r="Y35" s="963"/>
      <c r="Z35" s="963"/>
      <c r="AA35" s="963"/>
      <c r="AB35" s="964"/>
      <c r="AC35" s="868"/>
      <c r="AD35" s="575"/>
      <c r="AE35" s="576"/>
      <c r="AF35" s="576"/>
      <c r="AG35" s="576"/>
      <c r="AH35" s="576"/>
      <c r="AI35" s="576"/>
      <c r="AJ35" s="576"/>
      <c r="AK35" s="576"/>
      <c r="AL35" s="576"/>
      <c r="AM35" s="576"/>
      <c r="AN35" s="576"/>
      <c r="AO35" s="576"/>
      <c r="AP35" s="576"/>
      <c r="AQ35" s="576"/>
      <c r="AR35" s="576"/>
      <c r="AS35" s="576"/>
      <c r="AT35" s="576"/>
      <c r="AU35" s="576"/>
      <c r="AV35" s="576"/>
      <c r="AW35" s="576"/>
      <c r="AX35" s="576"/>
      <c r="AY35" s="576"/>
      <c r="AZ35" s="576"/>
      <c r="BA35" s="576"/>
    </row>
    <row r="36" spans="1:57" s="515" customFormat="1" ht="11.25" customHeight="1" thickBot="1" x14ac:dyDescent="0.25">
      <c r="A36" s="762"/>
      <c r="B36" s="763"/>
      <c r="C36" s="764"/>
      <c r="D36" s="765"/>
      <c r="E36" s="765"/>
      <c r="F36" s="765"/>
      <c r="G36" s="765"/>
      <c r="H36" s="765"/>
      <c r="I36" s="765"/>
      <c r="J36" s="765"/>
      <c r="K36" s="765"/>
      <c r="L36" s="765"/>
      <c r="M36" s="765"/>
      <c r="N36" s="765"/>
      <c r="O36" s="765"/>
      <c r="P36" s="765"/>
      <c r="Q36" s="765"/>
      <c r="R36" s="765"/>
      <c r="S36" s="765"/>
      <c r="T36" s="765"/>
      <c r="U36" s="765"/>
      <c r="V36" s="765"/>
      <c r="W36" s="765"/>
      <c r="X36" s="765"/>
      <c r="Y36" s="765"/>
      <c r="Z36" s="766"/>
      <c r="AA36" s="766"/>
      <c r="AB36" s="767"/>
      <c r="AC36" s="867"/>
      <c r="AD36" s="575"/>
      <c r="AE36" s="576"/>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row>
    <row r="37" spans="1:57" s="569" customFormat="1" ht="57.75" customHeight="1" x14ac:dyDescent="0.2">
      <c r="A37" s="564"/>
      <c r="B37" s="957" t="s">
        <v>871</v>
      </c>
      <c r="C37" s="957"/>
      <c r="D37" s="955" t="s">
        <v>0</v>
      </c>
      <c r="E37" s="951" t="s">
        <v>32</v>
      </c>
      <c r="F37" s="951" t="s">
        <v>9</v>
      </c>
      <c r="G37" s="951" t="s">
        <v>4</v>
      </c>
      <c r="H37" s="951" t="s">
        <v>6</v>
      </c>
      <c r="I37" s="951" t="s">
        <v>1</v>
      </c>
      <c r="J37" s="951" t="s">
        <v>10</v>
      </c>
      <c r="K37" s="951" t="s">
        <v>2</v>
      </c>
      <c r="L37" s="951" t="s">
        <v>11</v>
      </c>
      <c r="M37" s="951" t="s">
        <v>12</v>
      </c>
      <c r="N37" s="951" t="s">
        <v>13</v>
      </c>
      <c r="O37" s="951" t="s">
        <v>3</v>
      </c>
      <c r="P37" s="951" t="s">
        <v>14</v>
      </c>
      <c r="Q37" s="951" t="s">
        <v>93</v>
      </c>
      <c r="R37" s="951" t="s">
        <v>15</v>
      </c>
      <c r="S37" s="951" t="s">
        <v>7</v>
      </c>
      <c r="T37" s="951" t="s">
        <v>116</v>
      </c>
      <c r="U37" s="951" t="s">
        <v>117</v>
      </c>
      <c r="V37" s="951" t="s">
        <v>16</v>
      </c>
      <c r="W37" s="951" t="s">
        <v>5</v>
      </c>
      <c r="X37" s="951" t="s">
        <v>31</v>
      </c>
      <c r="Y37" s="953" t="s">
        <v>17</v>
      </c>
      <c r="Z37" s="947" t="s">
        <v>74</v>
      </c>
      <c r="AA37" s="949" t="s">
        <v>130</v>
      </c>
      <c r="AB37" s="565"/>
      <c r="AC37" s="866"/>
      <c r="AD37" s="566"/>
      <c r="AE37" s="567" t="s">
        <v>221</v>
      </c>
      <c r="AF37" s="567" t="s">
        <v>0</v>
      </c>
      <c r="AG37" s="567" t="s">
        <v>32</v>
      </c>
      <c r="AH37" s="567" t="s">
        <v>9</v>
      </c>
      <c r="AI37" s="567" t="s">
        <v>4</v>
      </c>
      <c r="AJ37" s="567" t="s">
        <v>6</v>
      </c>
      <c r="AK37" s="567" t="s">
        <v>1</v>
      </c>
      <c r="AL37" s="567" t="s">
        <v>10</v>
      </c>
      <c r="AM37" s="567" t="s">
        <v>2</v>
      </c>
      <c r="AN37" s="567" t="s">
        <v>11</v>
      </c>
      <c r="AO37" s="567" t="s">
        <v>12</v>
      </c>
      <c r="AP37" s="567" t="s">
        <v>13</v>
      </c>
      <c r="AQ37" s="567" t="s">
        <v>3</v>
      </c>
      <c r="AR37" s="567" t="s">
        <v>14</v>
      </c>
      <c r="AS37" s="567" t="s">
        <v>93</v>
      </c>
      <c r="AT37" s="567" t="s">
        <v>15</v>
      </c>
      <c r="AU37" s="567" t="s">
        <v>7</v>
      </c>
      <c r="AV37" s="567" t="s">
        <v>116</v>
      </c>
      <c r="AW37" s="567" t="s">
        <v>117</v>
      </c>
      <c r="AX37" s="567" t="s">
        <v>16</v>
      </c>
      <c r="AY37" s="567" t="s">
        <v>5</v>
      </c>
      <c r="AZ37" s="567" t="s">
        <v>31</v>
      </c>
      <c r="BA37" s="567" t="s">
        <v>17</v>
      </c>
      <c r="BB37" s="568"/>
      <c r="BC37" s="568"/>
      <c r="BD37" s="568"/>
      <c r="BE37" s="568"/>
    </row>
    <row r="38" spans="1:57" s="569" customFormat="1" ht="11.25" customHeight="1" thickBot="1" x14ac:dyDescent="0.25">
      <c r="A38" s="564"/>
      <c r="B38" s="808" t="s">
        <v>222</v>
      </c>
      <c r="C38" s="808" t="s">
        <v>223</v>
      </c>
      <c r="D38" s="956"/>
      <c r="E38" s="952"/>
      <c r="F38" s="952"/>
      <c r="G38" s="952"/>
      <c r="H38" s="952"/>
      <c r="I38" s="952"/>
      <c r="J38" s="952"/>
      <c r="K38" s="952"/>
      <c r="L38" s="952"/>
      <c r="M38" s="952"/>
      <c r="N38" s="952"/>
      <c r="O38" s="952"/>
      <c r="P38" s="952"/>
      <c r="Q38" s="952"/>
      <c r="R38" s="952"/>
      <c r="S38" s="952"/>
      <c r="T38" s="952"/>
      <c r="U38" s="952"/>
      <c r="V38" s="952"/>
      <c r="W38" s="952"/>
      <c r="X38" s="952"/>
      <c r="Y38" s="954"/>
      <c r="Z38" s="948"/>
      <c r="AA38" s="950"/>
      <c r="AB38" s="565"/>
      <c r="AC38" s="866"/>
      <c r="AD38" s="566"/>
      <c r="AE38" s="567"/>
      <c r="AF38" s="567"/>
      <c r="AG38" s="567"/>
      <c r="AH38" s="567"/>
      <c r="AI38" s="567"/>
      <c r="AJ38" s="567"/>
      <c r="AK38" s="567"/>
      <c r="AL38" s="567"/>
      <c r="AM38" s="567"/>
      <c r="AN38" s="567"/>
      <c r="AO38" s="567"/>
      <c r="AP38" s="567"/>
      <c r="AQ38" s="567"/>
      <c r="AR38" s="567"/>
      <c r="AS38" s="567"/>
      <c r="AT38" s="567"/>
      <c r="AU38" s="567"/>
      <c r="AV38" s="567"/>
      <c r="AW38" s="567"/>
      <c r="AX38" s="567"/>
      <c r="AY38" s="567"/>
      <c r="AZ38" s="567"/>
      <c r="BA38" s="567"/>
      <c r="BB38" s="568"/>
      <c r="BC38" s="568"/>
      <c r="BD38" s="568"/>
      <c r="BE38" s="568"/>
    </row>
    <row r="39" spans="1:57" s="515" customFormat="1" ht="23.25" customHeight="1" x14ac:dyDescent="0.2">
      <c r="A39" s="570"/>
      <c r="B39" s="944" t="s">
        <v>243</v>
      </c>
      <c r="C39" s="582" t="s">
        <v>244</v>
      </c>
      <c r="D39" s="811">
        <f>IFERROR(VLOOKUP(D12,'Initial CP Conferences'!$B$9:$O$32,14,FALSE),"")</f>
        <v>83.716290833956762</v>
      </c>
      <c r="E39" s="572">
        <f>IFERROR(VLOOKUP(E12,'Initial CP Conferences'!$B$9:$O$32,14,FALSE),"")</f>
        <v>94.348875071104914</v>
      </c>
      <c r="F39" s="572">
        <f>IFERROR(VLOOKUP(F12,'Initial CP Conferences'!$B$9:$O$32,14,FALSE),"")</f>
        <v>70.038594353036757</v>
      </c>
      <c r="G39" s="572">
        <f>IFERROR(VLOOKUP(G12,'Initial CP Conferences'!$B$9:$O$32,14,FALSE),"")</f>
        <v>67.047008345513703</v>
      </c>
      <c r="H39" s="572">
        <f>IFERROR(VLOOKUP(H12,'Initial CP Conferences'!$B$9:$O$32,14,FALSE),"")</f>
        <v>62.969002590765015</v>
      </c>
      <c r="I39" s="572">
        <f>IFERROR(VLOOKUP(I12,'Initial CP Conferences'!$B$9:$O$32,14,FALSE),"")</f>
        <v>108.16204350429057</v>
      </c>
      <c r="J39" s="572">
        <f>IFERROR(VLOOKUP(J12,'Initial CP Conferences'!$B$9:$O$32,14,FALSE),"")</f>
        <v>52.426433395816595</v>
      </c>
      <c r="K39" s="572">
        <f>IFERROR(VLOOKUP(K12,'Initial CP Conferences'!$B$9:$O$32,14,FALSE),"")</f>
        <v>63.024881535117217</v>
      </c>
      <c r="L39" s="572">
        <f>IFERROR(VLOOKUP(L12,'Initial CP Conferences'!$B$9:$O$32,14,FALSE),"")</f>
        <v>25.869587712684968</v>
      </c>
      <c r="M39" s="572">
        <f>IFERROR(VLOOKUP(M12,'Initial CP Conferences'!$B$9:$O$32,14,FALSE),"")</f>
        <v>61.208555255012413</v>
      </c>
      <c r="N39" s="572">
        <f>IFERROR(VLOOKUP(N12,'Initial CP Conferences'!$B$9:$O$32,14,FALSE),"")</f>
        <v>69.922157856625631</v>
      </c>
      <c r="O39" s="572">
        <f>IFERROR(VLOOKUP(O12,'Initial CP Conferences'!$B$9:$O$32,14,FALSE),"")</f>
        <v>111.88094788774161</v>
      </c>
      <c r="P39" s="572">
        <f>IFERROR(VLOOKUP(P12,'Initial CP Conferences'!$B$9:$O$32,14,FALSE),"")</f>
        <v>64.959696538643911</v>
      </c>
      <c r="Q39" s="572">
        <f>IFERROR(VLOOKUP(Q12,'Initial CP Conferences'!$B$9:$O$32,14,FALSE),"")</f>
        <v>53.232077322771701</v>
      </c>
      <c r="R39" s="572">
        <f>IFERROR(VLOOKUP(R12,'Initial CP Conferences'!$B$9:$O$32,14,FALSE),"")</f>
        <v>102.17672199582547</v>
      </c>
      <c r="S39" s="572">
        <f>IFERROR(VLOOKUP(S12,'Initial CP Conferences'!$B$9:$O$32,14,FALSE),"")</f>
        <v>57.048462380668838</v>
      </c>
      <c r="T39" s="572">
        <f>IFERROR(VLOOKUP(T12,'Initial CP Conferences'!$B$9:$O$32,14,FALSE),"")</f>
        <v>114.97476163768928</v>
      </c>
      <c r="U39" s="572">
        <f>IFERROR(VLOOKUP(U12,'Initial CP Conferences'!$B$9:$O$32,14,FALSE),"")</f>
        <v>142.4243616477161</v>
      </c>
      <c r="V39" s="572">
        <f>IFERROR(VLOOKUP(V12,'Initial CP Conferences'!$B$9:$O$32,14,FALSE),"")</f>
        <v>76.837105336686221</v>
      </c>
      <c r="W39" s="572">
        <f>IFERROR(VLOOKUP(W12,'Initial CP Conferences'!$B$9:$O$32,14,FALSE),"")</f>
        <v>62.268800387809399</v>
      </c>
      <c r="X39" s="572">
        <f>IFERROR(VLOOKUP(X12,'Initial CP Conferences'!$B$9:$O$32,14,FALSE),"")</f>
        <v>39.881229622729386</v>
      </c>
      <c r="Y39" s="812">
        <f>IFERROR(VLOOKUP(Y12,'Initial CP Conferences'!$B$9:$O$32,14,FALSE),"")</f>
        <v>46.767608909100304</v>
      </c>
      <c r="Z39" s="583">
        <f>IFERROR(VLOOKUP(Z12,'Initial CP Conferences'!$B$9:$O$32,14,FALSE),"")</f>
        <v>62.915891792897142</v>
      </c>
      <c r="AA39" s="583">
        <f>IFERROR(VLOOKUP(AA12,'Initial CP Conferences'!$B$9:$O$32,14,FALSE),"")</f>
        <v>66.967462678090087</v>
      </c>
      <c r="AB39" s="574"/>
      <c r="AC39" s="867"/>
      <c r="AD39" s="575"/>
      <c r="AE39" s="576"/>
      <c r="AF39" s="576"/>
      <c r="AG39" s="576"/>
      <c r="AH39" s="576"/>
      <c r="AI39" s="576"/>
      <c r="AJ39" s="576"/>
      <c r="AK39" s="576"/>
      <c r="AL39" s="576"/>
      <c r="AM39" s="576"/>
      <c r="AN39" s="576"/>
      <c r="AO39" s="576"/>
      <c r="AP39" s="576"/>
      <c r="AQ39" s="576"/>
      <c r="AR39" s="576"/>
      <c r="AS39" s="576"/>
      <c r="AT39" s="576"/>
      <c r="AU39" s="576"/>
      <c r="AV39" s="576"/>
      <c r="AW39" s="576"/>
      <c r="AX39" s="576"/>
      <c r="AY39" s="576"/>
      <c r="AZ39" s="576"/>
      <c r="BA39" s="576"/>
    </row>
    <row r="40" spans="1:57" s="515" customFormat="1" ht="23.25" customHeight="1" x14ac:dyDescent="0.2">
      <c r="A40" s="570"/>
      <c r="B40" s="972"/>
      <c r="C40" s="747" t="s">
        <v>151</v>
      </c>
      <c r="D40" s="813">
        <f>IFERROR(VLOOKUP(D12,'Initial CP Conferences'!$B$110:$H$133,7,FALSE),"")</f>
        <v>0.37183544303797467</v>
      </c>
      <c r="E40" s="578">
        <f>IFERROR(VLOOKUP(E12,'Initial CP Conferences'!$B$110:$H$133,7,FALSE),"")</f>
        <v>0.54721274175199086</v>
      </c>
      <c r="F40" s="578">
        <f>IFERROR(VLOOKUP(F12,'Initial CP Conferences'!$B$110:$H$133,7,FALSE),"")</f>
        <v>0.34870550161812297</v>
      </c>
      <c r="G40" s="578">
        <f>IFERROR(VLOOKUP(G12,'Initial CP Conferences'!$B$110:$H$133,7,FALSE),"")</f>
        <v>0.53298350824587704</v>
      </c>
      <c r="H40" s="578">
        <f>IFERROR(VLOOKUP(H12,'Initial CP Conferences'!$B$110:$H$133,7,FALSE),"")</f>
        <v>0.46409989594172735</v>
      </c>
      <c r="I40" s="578">
        <f>IFERROR(VLOOKUP(I12,'Initial CP Conferences'!$B$110:$H$133,7,FALSE),"")</f>
        <v>0.48653500897666069</v>
      </c>
      <c r="J40" s="578">
        <f>IFERROR(VLOOKUP(J12,'Initial CP Conferences'!$B$110:$H$133,7,FALSE),"")</f>
        <v>0.28151461894871388</v>
      </c>
      <c r="K40" s="578">
        <f>IFERROR(VLOOKUP(K12,'Initial CP Conferences'!$B$110:$H$133,7,FALSE),"")</f>
        <v>0.34123624047417445</v>
      </c>
      <c r="L40" s="578">
        <f>IFERROR(VLOOKUP(L12,'Initial CP Conferences'!$B$110:$H$133,7,FALSE),"")</f>
        <v>0.31362007168458783</v>
      </c>
      <c r="M40" s="578">
        <f>IFERROR(VLOOKUP(M12,'Initial CP Conferences'!$B$110:$H$133,7,FALSE),"")</f>
        <v>0.48642659279778394</v>
      </c>
      <c r="N40" s="578">
        <f>IFERROR(VLOOKUP(N12,'Initial CP Conferences'!$B$110:$H$133,7,FALSE),"")</f>
        <v>0.30146341463414633</v>
      </c>
      <c r="O40" s="578">
        <f>IFERROR(VLOOKUP(O12,'Initial CP Conferences'!$B$110:$H$133,7,FALSE),"")</f>
        <v>0.49404761904761907</v>
      </c>
      <c r="P40" s="578">
        <f>IFERROR(VLOOKUP(P12,'Initial CP Conferences'!$B$110:$H$133,7,FALSE),"")</f>
        <v>0.38700564971751411</v>
      </c>
      <c r="Q40" s="578">
        <f>IFERROR(VLOOKUP(Q12,'Initial CP Conferences'!$B$110:$H$133,7,FALSE),"")</f>
        <v>0.3832570307390451</v>
      </c>
      <c r="R40" s="578">
        <f>IFERROR(VLOOKUP(R12,'Initial CP Conferences'!$B$110:$H$133,7,FALSE),"")</f>
        <v>0.30378250591016548</v>
      </c>
      <c r="S40" s="578">
        <f>IFERROR(VLOOKUP(S12,'Initial CP Conferences'!$B$110:$H$133,7,FALSE),"")</f>
        <v>0.35654261704681872</v>
      </c>
      <c r="T40" s="578">
        <f>IFERROR(VLOOKUP(T12,'Initial CP Conferences'!$B$110:$H$133,7,FALSE),"")</f>
        <v>0.56607495069033531</v>
      </c>
      <c r="U40" s="578">
        <f>IFERROR(VLOOKUP(U12,'Initial CP Conferences'!$B$110:$H$133,7,FALSE),"")</f>
        <v>0.52312138728323698</v>
      </c>
      <c r="V40" s="578">
        <f>IFERROR(VLOOKUP(V12,'Initial CP Conferences'!$B$110:$H$133,7,FALSE),"")</f>
        <v>0.44283413848631242</v>
      </c>
      <c r="W40" s="578">
        <f>IFERROR(VLOOKUP(W12,'Initial CP Conferences'!$B$110:$H$133,7,FALSE),"")</f>
        <v>0.3593073593073593</v>
      </c>
      <c r="X40" s="578">
        <f>IFERROR(VLOOKUP(X12,'Initial CP Conferences'!$B$110:$H$133,7,FALSE),"")</f>
        <v>0.3914285714285714</v>
      </c>
      <c r="Y40" s="750">
        <f>IFERROR(VLOOKUP(Y12,'Initial CP Conferences'!$B$110:$H$133,7,FALSE),"")</f>
        <v>0.38428874734607221</v>
      </c>
      <c r="Z40" s="748">
        <f>IFERROR(VLOOKUP(Z12,'Initial CP Conferences'!$B$110:$H$133,7,FALSE),"")</f>
        <v>0.37746913580246916</v>
      </c>
      <c r="AA40" s="748">
        <f>IFERROR(VLOOKUP(AA12,'Initial CP Conferences'!$B$110:$H$133,7,FALSE),"")</f>
        <v>0.40118128123580193</v>
      </c>
      <c r="AB40" s="574"/>
      <c r="AC40" s="867"/>
      <c r="AD40" s="575"/>
      <c r="AE40" s="576"/>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row>
    <row r="41" spans="1:57" s="515" customFormat="1" ht="23.25" customHeight="1" thickBot="1" x14ac:dyDescent="0.25">
      <c r="A41" s="570"/>
      <c r="B41" s="946"/>
      <c r="C41" s="586" t="s">
        <v>245</v>
      </c>
      <c r="D41" s="814">
        <f>IFERROR(VLOOKUP(D12,'Initial CP Conferences'!$B$145:$H$168,7,FALSE),"")</f>
        <v>0.82553191489361699</v>
      </c>
      <c r="E41" s="749">
        <f>IFERROR(VLOOKUP(E12,'Initial CP Conferences'!$B$145:$H$168,7,FALSE),"")</f>
        <v>0.87318087318087323</v>
      </c>
      <c r="F41" s="749">
        <f>IFERROR(VLOOKUP(F12,'Initial CP Conferences'!$B$145:$H$168,7,FALSE),"")</f>
        <v>0.73201856148491884</v>
      </c>
      <c r="G41" s="749">
        <f>IFERROR(VLOOKUP(G12,'Initial CP Conferences'!$B$145:$H$168,7,FALSE),"")</f>
        <v>0.57665260196905765</v>
      </c>
      <c r="H41" s="749">
        <f>IFERROR(VLOOKUP(H12,'Initial CP Conferences'!$B$145:$H$168,7,FALSE),"")</f>
        <v>0.77073991031390132</v>
      </c>
      <c r="I41" s="749">
        <f>IFERROR(VLOOKUP(I12,'Initial CP Conferences'!$B$145:$H$168,7,FALSE),"")</f>
        <v>0.8487084870848709</v>
      </c>
      <c r="J41" s="749">
        <f>IFERROR(VLOOKUP(J12,'Initial CP Conferences'!$B$145:$H$168,7,FALSE),"")</f>
        <v>0.74914869466515321</v>
      </c>
      <c r="K41" s="749">
        <f>IFERROR(VLOOKUP(K12,'Initial CP Conferences'!$B$145:$H$168,7,FALSE),"")</f>
        <v>0.87593052109181146</v>
      </c>
      <c r="L41" s="749">
        <f>IFERROR(VLOOKUP(L12,'Initial CP Conferences'!$B$145:$H$168,7,FALSE),"")</f>
        <v>0.94857142857142862</v>
      </c>
      <c r="M41" s="749">
        <f>IFERROR(VLOOKUP(M12,'Initial CP Conferences'!$B$145:$H$168,7,FALSE),"")</f>
        <v>0.88952164009111623</v>
      </c>
      <c r="N41" s="749">
        <f>IFERROR(VLOOKUP(N12,'Initial CP Conferences'!$B$145:$H$168,7,FALSE),"")</f>
        <v>0.71844660194174759</v>
      </c>
      <c r="O41" s="749">
        <f>IFERROR(VLOOKUP(O12,'Initial CP Conferences'!$B$145:$H$168,7,FALSE),"")</f>
        <v>0.75421686746987948</v>
      </c>
      <c r="P41" s="749">
        <f>IFERROR(VLOOKUP(P12,'Initial CP Conferences'!$B$145:$H$168,7,FALSE),"")</f>
        <v>0.75547445255474455</v>
      </c>
      <c r="Q41" s="749">
        <f>IFERROR(VLOOKUP(Q12,'Initial CP Conferences'!$B$145:$H$168,7,FALSE),"")</f>
        <v>0.93344709897610922</v>
      </c>
      <c r="R41" s="749">
        <f>IFERROR(VLOOKUP(R12,'Initial CP Conferences'!$B$145:$H$168,7,FALSE),"")</f>
        <v>0.73929961089494167</v>
      </c>
      <c r="S41" s="749">
        <f>IFERROR(VLOOKUP(S12,'Initial CP Conferences'!$B$145:$H$168,7,FALSE),"")</f>
        <v>0.51447811447811442</v>
      </c>
      <c r="T41" s="749">
        <f>IFERROR(VLOOKUP(T12,'Initial CP Conferences'!$B$145:$H$168,7,FALSE),"")</f>
        <v>0.84668989547038331</v>
      </c>
      <c r="U41" s="749">
        <f>IFERROR(VLOOKUP(U12,'Initial CP Conferences'!$B$145:$H$168,7,FALSE),"")</f>
        <v>0.66850828729281764</v>
      </c>
      <c r="V41" s="749">
        <f>IFERROR(VLOOKUP(V12,'Initial CP Conferences'!$B$145:$H$168,7,FALSE),"")</f>
        <v>0.96363636363636362</v>
      </c>
      <c r="W41" s="749">
        <f>IFERROR(VLOOKUP(W12,'Initial CP Conferences'!$B$145:$H$168,7,FALSE),"")</f>
        <v>0.85078776645041709</v>
      </c>
      <c r="X41" s="749">
        <f>IFERROR(VLOOKUP(X12,'Initial CP Conferences'!$B$145:$H$168,7,FALSE),"")</f>
        <v>0.53284671532846717</v>
      </c>
      <c r="Y41" s="815">
        <f>IFERROR(VLOOKUP(Y12,'Initial CP Conferences'!$B$145:$H$168,7,FALSE),"")</f>
        <v>0.82320441988950277</v>
      </c>
      <c r="Z41" s="587">
        <f>IFERROR(VLOOKUP(Z12,'Initial CP Conferences'!$B$145:$H$168,7,FALSE),"")</f>
        <v>0.74979558462796403</v>
      </c>
      <c r="AA41" s="587">
        <f>IFERROR(VLOOKUP(AA12,'Initial CP Conferences'!$B$145:$H$168,7,FALSE),"")</f>
        <v>0.76947275701522588</v>
      </c>
      <c r="AB41" s="574"/>
      <c r="AC41" s="867"/>
      <c r="AD41" s="575"/>
      <c r="AE41" s="576"/>
      <c r="AF41" s="576"/>
      <c r="AG41" s="576"/>
      <c r="AH41" s="576"/>
      <c r="AI41" s="576"/>
      <c r="AJ41" s="576"/>
      <c r="AK41" s="576"/>
      <c r="AL41" s="576"/>
      <c r="AM41" s="576"/>
      <c r="AN41" s="576"/>
      <c r="AO41" s="576"/>
      <c r="AP41" s="576"/>
      <c r="AQ41" s="576"/>
      <c r="AR41" s="576"/>
      <c r="AS41" s="576"/>
      <c r="AT41" s="576"/>
      <c r="AU41" s="576"/>
      <c r="AV41" s="576"/>
      <c r="AW41" s="576"/>
      <c r="AX41" s="576"/>
      <c r="AY41" s="576"/>
      <c r="AZ41" s="576"/>
      <c r="BA41" s="576"/>
    </row>
    <row r="42" spans="1:57" s="515" customFormat="1" ht="23.25" customHeight="1" x14ac:dyDescent="0.2">
      <c r="A42" s="570"/>
      <c r="B42" s="967" t="s">
        <v>21</v>
      </c>
      <c r="C42" s="571" t="s">
        <v>252</v>
      </c>
      <c r="D42" s="811">
        <f>IFERROR(VLOOKUP(D12,'Child Protection Plans'!$B$9:$O$32,14,FALSE),"")</f>
        <v>37.4051512236828</v>
      </c>
      <c r="E42" s="572">
        <f>IFERROR(VLOOKUP(E12,'Child Protection Plans'!$B$9:$O$32,14,FALSE),"")</f>
        <v>77.479845432612152</v>
      </c>
      <c r="F42" s="572">
        <f>IFERROR(VLOOKUP(F12,'Child Protection Plans'!$B$9:$O$32,14,FALSE),"")</f>
        <v>51.838309973593333</v>
      </c>
      <c r="G42" s="572">
        <f>IFERROR(VLOOKUP(G12,'Child Protection Plans'!$B$9:$O$32,14,FALSE),"")</f>
        <v>52.807770286199251</v>
      </c>
      <c r="H42" s="572">
        <f>IFERROR(VLOOKUP(H12,'Child Protection Plans'!$B$9:$O$32,14,FALSE),"")</f>
        <v>45.673704793974181</v>
      </c>
      <c r="I42" s="572">
        <f>IFERROR(VLOOKUP(I12,'Child Protection Plans'!$B$9:$O$32,14,FALSE),"")</f>
        <v>77.030532827778885</v>
      </c>
      <c r="J42" s="572">
        <f>IFERROR(VLOOKUP(J12,'Child Protection Plans'!$B$9:$O$32,14,FALSE),"")</f>
        <v>43.500252908447145</v>
      </c>
      <c r="K42" s="572">
        <f>IFERROR(VLOOKUP(K12,'Child Protection Plans'!$B$9:$O$32,14,FALSE),"")</f>
        <v>53.797913766948689</v>
      </c>
      <c r="L42" s="572">
        <f>IFERROR(VLOOKUP(L12,'Child Protection Plans'!$B$9:$O$32,14,FALSE),"")</f>
        <v>15.373926412109924</v>
      </c>
      <c r="M42" s="572">
        <f>IFERROR(VLOOKUP(M12,'Child Protection Plans'!$B$9:$O$32,14,FALSE),"")</f>
        <v>47.893254510470989</v>
      </c>
      <c r="N42" s="572">
        <f>IFERROR(VLOOKUP(N12,'Child Protection Plans'!$B$9:$O$32,14,FALSE),"")</f>
        <v>64.717595944967414</v>
      </c>
      <c r="O42" s="572">
        <f>IFERROR(VLOOKUP(O12,'Child Protection Plans'!$B$9:$O$32,14,FALSE),"")</f>
        <v>78.181867198662829</v>
      </c>
      <c r="P42" s="572">
        <f>IFERROR(VLOOKUP(P12,'Child Protection Plans'!$B$9:$O$32,14,FALSE),"")</f>
        <v>38.169748696064481</v>
      </c>
      <c r="Q42" s="572">
        <f>IFERROR(VLOOKUP(Q12,'Child Protection Plans'!$B$9:$O$32,14,FALSE),"")</f>
        <v>38.879401184549977</v>
      </c>
      <c r="R42" s="572">
        <f>IFERROR(VLOOKUP(R12,'Child Protection Plans'!$B$9:$O$32,14,FALSE),"")</f>
        <v>64.407116588808265</v>
      </c>
      <c r="S42" s="572">
        <f>IFERROR(VLOOKUP(S12,'Child Protection Plans'!$B$9:$O$32,14,FALSE),"")</f>
        <v>38.262807091680912</v>
      </c>
      <c r="T42" s="572">
        <f>IFERROR(VLOOKUP(T12,'Child Protection Plans'!$B$9:$O$32,14,FALSE),"")</f>
        <v>72.510215527601957</v>
      </c>
      <c r="U42" s="572">
        <f>IFERROR(VLOOKUP(U12,'Child Protection Plans'!$B$9:$O$32,14,FALSE),"")</f>
        <v>55.474682299248535</v>
      </c>
      <c r="V42" s="572">
        <f>IFERROR(VLOOKUP(V12,'Child Protection Plans'!$B$9:$O$32,14,FALSE),"")</f>
        <v>46.940486169321034</v>
      </c>
      <c r="W42" s="572">
        <f>IFERROR(VLOOKUP(W12,'Child Protection Plans'!$B$9:$O$32,14,FALSE),"")</f>
        <v>44.725041983829733</v>
      </c>
      <c r="X42" s="572">
        <f>IFERROR(VLOOKUP(X12,'Child Protection Plans'!$B$9:$O$32,14,FALSE),"")</f>
        <v>21.541686073591059</v>
      </c>
      <c r="Y42" s="812">
        <f>IFERROR(VLOOKUP(Y12,'Child Protection Plans'!$B$9:$O$32,14,FALSE),"")</f>
        <v>32.55645703064441</v>
      </c>
      <c r="Z42" s="573">
        <f>IFERROR(VLOOKUP(Z12,'Child Protection Plans'!$B$9:$O$32,14,FALSE),"")</f>
        <v>46.196623736730693</v>
      </c>
      <c r="AA42" s="573">
        <f>IFERROR(VLOOKUP(AA12,'Child Protection Plans'!$B$9:$O$32,14,FALSE),"")</f>
        <v>45.327542688492088</v>
      </c>
      <c r="AB42" s="574"/>
      <c r="AC42" s="867"/>
      <c r="AD42" s="575"/>
      <c r="AE42" s="576"/>
      <c r="AF42" s="576"/>
      <c r="AG42" s="576"/>
      <c r="AH42" s="576"/>
      <c r="AI42" s="576"/>
      <c r="AJ42" s="576"/>
      <c r="AK42" s="576"/>
      <c r="AL42" s="576"/>
      <c r="AM42" s="576"/>
      <c r="AN42" s="576"/>
      <c r="AO42" s="576"/>
      <c r="AP42" s="576"/>
      <c r="AQ42" s="576"/>
      <c r="AR42" s="576"/>
      <c r="AS42" s="576"/>
      <c r="AT42" s="576"/>
      <c r="AU42" s="576"/>
      <c r="AV42" s="576"/>
      <c r="AW42" s="576"/>
      <c r="AX42" s="576"/>
      <c r="AY42" s="576"/>
      <c r="AZ42" s="576"/>
      <c r="BA42" s="576"/>
    </row>
    <row r="43" spans="1:57" s="515" customFormat="1" ht="23.25" customHeight="1" x14ac:dyDescent="0.2">
      <c r="A43" s="570"/>
      <c r="B43" s="968"/>
      <c r="C43" s="577" t="s">
        <v>246</v>
      </c>
      <c r="D43" s="813">
        <f>IFERROR(VLOOKUP(D12,'Child Protection Plans'!$B$180:$H$203,7,FALSE),"")</f>
        <v>0.98461538461538467</v>
      </c>
      <c r="E43" s="578">
        <f>IFERROR(VLOOKUP(E12,'Child Protection Plans'!$B$180:$H$203,7,FALSE),"")</f>
        <v>0.99293286219081267</v>
      </c>
      <c r="F43" s="578">
        <f>IFERROR(VLOOKUP(F12,'Child Protection Plans'!$B$180:$H$203,7,FALSE),"")</f>
        <v>0.87885010266940455</v>
      </c>
      <c r="G43" s="578">
        <f>IFERROR(VLOOKUP(G12,'Child Protection Plans'!$B$180:$H$203,7,FALSE),"")</f>
        <v>0.90600522193211486</v>
      </c>
      <c r="H43" s="578">
        <f>IFERROR(VLOOKUP(H12,'Child Protection Plans'!$B$180:$H$203,7,FALSE),"")</f>
        <v>0.80021030494216616</v>
      </c>
      <c r="I43" s="578">
        <f>IFERROR(VLOOKUP(I12,'Child Protection Plans'!$B$180:$H$203,7,FALSE),"")</f>
        <v>0.95394736842105265</v>
      </c>
      <c r="J43" s="578">
        <f>IFERROR(VLOOKUP(J12,'Child Protection Plans'!$B$180:$H$203,7,FALSE),"")</f>
        <v>0.99653078924544669</v>
      </c>
      <c r="K43" s="578">
        <f>IFERROR(VLOOKUP(K12,'Child Protection Plans'!$B$180:$H$203,7,FALSE),"")</f>
        <v>0.9507575757575758</v>
      </c>
      <c r="L43" s="578">
        <f>IFERROR(VLOOKUP(L12,'Child Protection Plans'!$B$180:$H$203,7,FALSE),"")</f>
        <v>0.98529411764705888</v>
      </c>
      <c r="M43" s="578">
        <f>IFERROR(VLOOKUP(M12,'Child Protection Plans'!$B$180:$H$203,7,FALSE),"")</f>
        <v>0.93724696356275305</v>
      </c>
      <c r="N43" s="578">
        <f>IFERROR(VLOOKUP(N12,'Child Protection Plans'!$B$180:$H$203,7,FALSE),"")</f>
        <v>1</v>
      </c>
      <c r="O43" s="578">
        <f>IFERROR(VLOOKUP(O12,'Child Protection Plans'!$B$180:$H$203,7,FALSE),"")</f>
        <v>0.7142857142857143</v>
      </c>
      <c r="P43" s="578">
        <f>IFERROR(VLOOKUP(P12,'Child Protection Plans'!$B$180:$H$203,7,FALSE),"")</f>
        <v>0.39175257731958762</v>
      </c>
      <c r="Q43" s="578">
        <f>IFERROR(VLOOKUP(Q12,'Child Protection Plans'!$B$180:$H$203,7,FALSE),"")</f>
        <v>0.96065573770491808</v>
      </c>
      <c r="R43" s="578">
        <f>IFERROR(VLOOKUP(R12,'Child Protection Plans'!$B$180:$H$203,7,FALSE),"")</f>
        <v>0.72033898305084743</v>
      </c>
      <c r="S43" s="578">
        <f>IFERROR(VLOOKUP(S12,'Child Protection Plans'!$B$180:$H$203,7,FALSE),"")</f>
        <v>0.95</v>
      </c>
      <c r="T43" s="578">
        <f>IFERROR(VLOOKUP(T12,'Child Protection Plans'!$B$180:$H$203,7,FALSE),"")</f>
        <v>0.98473282442748089</v>
      </c>
      <c r="U43" s="578">
        <f>IFERROR(VLOOKUP(U12,'Child Protection Plans'!$B$180:$H$203,7,FALSE),"")</f>
        <v>0.74117647058823533</v>
      </c>
      <c r="V43" s="578">
        <f>IFERROR(VLOOKUP(V12,'Child Protection Plans'!$B$180:$H$203,7,FALSE),"")</f>
        <v>1</v>
      </c>
      <c r="W43" s="578">
        <f>IFERROR(VLOOKUP(W12,'Child Protection Plans'!$B$180:$H$203,7,FALSE),"")</f>
        <v>0.88682432432432434</v>
      </c>
      <c r="X43" s="578">
        <f>IFERROR(VLOOKUP(X12,'Child Protection Plans'!$B$180:$H$203,7,FALSE),"")</f>
        <v>0.8</v>
      </c>
      <c r="Y43" s="750">
        <f>IFERROR(VLOOKUP(Y12,'Child Protection Plans'!$B$180:$H$203,7,FALSE),"")</f>
        <v>1</v>
      </c>
      <c r="Z43" s="579">
        <f>IFERROR(VLOOKUP(Z12,'Child Protection Plans'!$B$180:$H$203,7,FALSE),"")</f>
        <v>0.9007633587786259</v>
      </c>
      <c r="AA43" s="579">
        <f>IFERROR(VLOOKUP(AA12,'Child Protection Plans'!$B$180:$H$203,7,FALSE),"")</f>
        <v>0.90516782099094295</v>
      </c>
      <c r="AB43" s="574"/>
      <c r="AC43" s="867"/>
      <c r="AD43" s="575"/>
      <c r="AE43" s="576"/>
      <c r="AF43" s="576"/>
      <c r="AG43" s="576"/>
      <c r="AH43" s="576"/>
      <c r="AI43" s="576"/>
      <c r="AJ43" s="576"/>
      <c r="AK43" s="576"/>
      <c r="AL43" s="576"/>
      <c r="AM43" s="576"/>
      <c r="AN43" s="576"/>
      <c r="AO43" s="576"/>
      <c r="AP43" s="576"/>
      <c r="AQ43" s="576"/>
      <c r="AR43" s="576"/>
      <c r="AS43" s="576"/>
      <c r="AT43" s="576"/>
      <c r="AU43" s="576"/>
      <c r="AV43" s="576"/>
      <c r="AW43" s="576"/>
      <c r="AX43" s="576"/>
      <c r="AY43" s="576"/>
      <c r="AZ43" s="576"/>
      <c r="BA43" s="576"/>
    </row>
    <row r="44" spans="1:57" s="515" customFormat="1" ht="23.25" customHeight="1" x14ac:dyDescent="0.2">
      <c r="A44" s="570"/>
      <c r="B44" s="968"/>
      <c r="C44" s="577" t="s">
        <v>247</v>
      </c>
      <c r="D44" s="813">
        <f>IFERROR(VLOOKUP(D12,'Child Protection Plans'!$B$110:$H$133,7,FALSE),"")</f>
        <v>0</v>
      </c>
      <c r="E44" s="578">
        <f>IFERROR(VLOOKUP(E12,'Child Protection Plans'!$B$110:$H$133,7,FALSE),"")</f>
        <v>7.575757575757576E-2</v>
      </c>
      <c r="F44" s="578">
        <f>IFERROR(VLOOKUP(F12,'Child Protection Plans'!$B$110:$H$133,7,FALSE),"")</f>
        <v>3.1645569620253167E-2</v>
      </c>
      <c r="G44" s="578">
        <f>IFERROR(VLOOKUP(G12,'Child Protection Plans'!$B$110:$H$133,7,FALSE),"")</f>
        <v>9.0740740740740747E-2</v>
      </c>
      <c r="H44" s="578">
        <f>IFERROR(VLOOKUP(H12,'Child Protection Plans'!$B$110:$H$133,7,FALSE),"")</f>
        <v>7.1952031978680886E-2</v>
      </c>
      <c r="I44" s="578">
        <f>IFERROR(VLOOKUP(I12,'Child Protection Plans'!$B$110:$H$133,7,FALSE),"")</f>
        <v>5.7777777777777775E-2</v>
      </c>
      <c r="J44" s="578">
        <f>IFERROR(VLOOKUP(J12,'Child Protection Plans'!$B$110:$H$133,7,FALSE),"")</f>
        <v>4.1309431021044424E-2</v>
      </c>
      <c r="K44" s="578">
        <f>IFERROR(VLOOKUP(K12,'Child Protection Plans'!$B$110:$H$133,7,FALSE),"")</f>
        <v>5.089820359281437E-2</v>
      </c>
      <c r="L44" s="578">
        <f>IFERROR(VLOOKUP(L12,'Child Protection Plans'!$B$110:$H$133,7,FALSE),"")</f>
        <v>0</v>
      </c>
      <c r="M44" s="578">
        <f>IFERROR(VLOOKUP(M12,'Child Protection Plans'!$B$110:$H$133,7,FALSE),"")</f>
        <v>4.0935672514619881E-2</v>
      </c>
      <c r="N44" s="578">
        <f>IFERROR(VLOOKUP(N12,'Child Protection Plans'!$B$110:$H$133,7,FALSE),"")</f>
        <v>5.8091286307053944E-2</v>
      </c>
      <c r="O44" s="578">
        <f>IFERROR(VLOOKUP(O12,'Child Protection Plans'!$B$110:$H$133,7,FALSE),"")</f>
        <v>3.6764705882352942E-2</v>
      </c>
      <c r="P44" s="578" t="str">
        <f>IFERROR(VLOOKUP(P12,'Child Protection Plans'!$B$110:$H$133,7,FALSE),"")</f>
        <v/>
      </c>
      <c r="Q44" s="578">
        <f>IFERROR(VLOOKUP(Q12,'Child Protection Plans'!$B$110:$H$133,7,FALSE),"")</f>
        <v>1.1857707509881422E-2</v>
      </c>
      <c r="R44" s="578">
        <f>IFERROR(VLOOKUP(R12,'Child Protection Plans'!$B$110:$H$133,7,FALSE),"")</f>
        <v>3.0612244897959183E-2</v>
      </c>
      <c r="S44" s="578">
        <f>IFERROR(VLOOKUP(S12,'Child Protection Plans'!$B$110:$H$133,7,FALSE),"")</f>
        <v>6.0544904137235116E-2</v>
      </c>
      <c r="T44" s="578">
        <f>IFERROR(VLOOKUP(T12,'Child Protection Plans'!$B$110:$H$133,7,FALSE),"")</f>
        <v>1.5706806282722512E-2</v>
      </c>
      <c r="U44" s="578">
        <f>IFERROR(VLOOKUP(U12,'Child Protection Plans'!$B$110:$H$133,7,FALSE),"")</f>
        <v>3.2967032967032968E-2</v>
      </c>
      <c r="V44" s="578">
        <f>IFERROR(VLOOKUP(V12,'Child Protection Plans'!$B$110:$H$133,7,FALSE),"")</f>
        <v>2.2222222222222223E-2</v>
      </c>
      <c r="W44" s="578">
        <f>IFERROR(VLOOKUP(W12,'Child Protection Plans'!$B$110:$H$133,7,FALSE),"")</f>
        <v>3.5135135135135137E-2</v>
      </c>
      <c r="X44" s="578" t="str">
        <f>IFERROR(VLOOKUP(X12,'Child Protection Plans'!$B$110:$H$133,7,FALSE),"")</f>
        <v/>
      </c>
      <c r="Y44" s="750">
        <f>IFERROR(VLOOKUP(Y12,'Child Protection Plans'!$B$110:$H$133,7,FALSE),"")</f>
        <v>0</v>
      </c>
      <c r="Z44" s="579">
        <f>IFERROR(VLOOKUP(Z12,'Child Protection Plans'!$B$110:$H$133,7,FALSE),"")</f>
        <v>4.8574445617740235E-2</v>
      </c>
      <c r="AA44" s="579">
        <f>IFERROR(VLOOKUP(AA12,'Child Protection Plans'!$B$110:$H$133,7,FALSE),"")</f>
        <v>3.4132281553398057E-2</v>
      </c>
      <c r="AB44" s="574"/>
      <c r="AC44" s="867"/>
      <c r="AD44" s="575"/>
      <c r="AE44" s="576"/>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row>
    <row r="45" spans="1:57" s="515" customFormat="1" ht="23.25" customHeight="1" thickBot="1" x14ac:dyDescent="0.25">
      <c r="A45" s="570"/>
      <c r="B45" s="968"/>
      <c r="C45" s="577" t="s">
        <v>253</v>
      </c>
      <c r="D45" s="813">
        <f>IFERROR(VLOOKUP(D12,'Child Protection Plans'!$B$145:$H$168,7,FALSE),"")</f>
        <v>0.17751479289940827</v>
      </c>
      <c r="E45" s="578">
        <f>IFERROR(VLOOKUP(E12,'Child Protection Plans'!$B$145:$H$168,7,FALSE),"")</f>
        <v>0.23820754716981132</v>
      </c>
      <c r="F45" s="578">
        <f>IFERROR(VLOOKUP(F12,'Child Protection Plans'!$B$145:$H$168,7,FALSE),"")</f>
        <v>0.18784530386740331</v>
      </c>
      <c r="G45" s="578">
        <f>IFERROR(VLOOKUP(G12,'Child Protection Plans'!$B$145:$H$168,7,FALSE),"")</f>
        <v>0.25</v>
      </c>
      <c r="H45" s="578">
        <f>IFERROR(VLOOKUP(H12,'Child Protection Plans'!$B$145:$H$168,7,FALSE),"")</f>
        <v>0.23046875</v>
      </c>
      <c r="I45" s="578">
        <f>IFERROR(VLOOKUP(I12,'Child Protection Plans'!$B$145:$H$168,7,FALSE),"")</f>
        <v>0.23287671232876711</v>
      </c>
      <c r="J45" s="578">
        <f>IFERROR(VLOOKUP(J12,'Child Protection Plans'!$B$145:$H$168,7,FALSE),"")</f>
        <v>0.20397690827453496</v>
      </c>
      <c r="K45" s="578">
        <f>IFERROR(VLOOKUP(K12,'Child Protection Plans'!$B$145:$H$168,7,FALSE),"")</f>
        <v>0.22465753424657534</v>
      </c>
      <c r="L45" s="578">
        <f>IFERROR(VLOOKUP(L12,'Child Protection Plans'!$B$145:$H$168,7,FALSE),"")</f>
        <v>8.0246913580246909E-2</v>
      </c>
      <c r="M45" s="578">
        <f>IFERROR(VLOOKUP(M12,'Child Protection Plans'!$B$145:$H$168,7,FALSE),"")</f>
        <v>0.23415265200517466</v>
      </c>
      <c r="N45" s="578">
        <f>IFERROR(VLOOKUP(N12,'Child Protection Plans'!$B$145:$H$168,7,FALSE),"")</f>
        <v>0.25964912280701752</v>
      </c>
      <c r="O45" s="578">
        <f>IFERROR(VLOOKUP(O12,'Child Protection Plans'!$B$145:$H$168,7,FALSE),"")</f>
        <v>0.17714285714285713</v>
      </c>
      <c r="P45" s="578">
        <f>IFERROR(VLOOKUP(P12,'Child Protection Plans'!$B$145:$H$168,7,FALSE),"")</f>
        <v>0.23333333333333334</v>
      </c>
      <c r="Q45" s="578">
        <f>IFERROR(VLOOKUP(Q12,'Child Protection Plans'!$B$145:$H$168,7,FALSE),"")</f>
        <v>0.21132075471698114</v>
      </c>
      <c r="R45" s="578">
        <f>IFERROR(VLOOKUP(R12,'Child Protection Plans'!$B$145:$H$168,7,FALSE),"")</f>
        <v>0.30626450116009279</v>
      </c>
      <c r="S45" s="578">
        <f>IFERROR(VLOOKUP(S12,'Child Protection Plans'!$B$145:$H$168,7,FALSE),"")</f>
        <v>0.24413553431798435</v>
      </c>
      <c r="T45" s="578">
        <f>IFERROR(VLOOKUP(T12,'Child Protection Plans'!$B$145:$H$168,7,FALSE),"")</f>
        <v>0.19755600814663951</v>
      </c>
      <c r="U45" s="578">
        <f>IFERROR(VLOOKUP(U12,'Child Protection Plans'!$B$145:$H$168,7,FALSE),"")</f>
        <v>0.26896551724137929</v>
      </c>
      <c r="V45" s="578">
        <f>IFERROR(VLOOKUP(V12,'Child Protection Plans'!$B$145:$H$168,7,FALSE),"")</f>
        <v>0.18181818181818182</v>
      </c>
      <c r="W45" s="578">
        <f>IFERROR(VLOOKUP(W12,'Child Protection Plans'!$B$145:$H$168,7,FALSE),"")</f>
        <v>0.2437759336099585</v>
      </c>
      <c r="X45" s="578">
        <f>IFERROR(VLOOKUP(X12,'Child Protection Plans'!$B$145:$H$168,7,FALSE),"")</f>
        <v>0.20634920634920634</v>
      </c>
      <c r="Y45" s="750">
        <f>IFERROR(VLOOKUP(Y12,'Child Protection Plans'!$B$145:$H$168,7,FALSE),"")</f>
        <v>0.24</v>
      </c>
      <c r="Z45" s="579">
        <f>IFERROR(VLOOKUP(Z12,'Child Protection Plans'!$B$145:$H$168,7,FALSE),"")</f>
        <v>0.22592945662535749</v>
      </c>
      <c r="AA45" s="579">
        <f>IFERROR(VLOOKUP(AA12,'Child Protection Plans'!$B$145:$H$168,7,FALSE),"")</f>
        <v>0.20212301875817945</v>
      </c>
      <c r="AB45" s="574"/>
      <c r="AC45" s="867"/>
      <c r="AD45" s="575"/>
      <c r="AE45" s="576"/>
      <c r="AF45" s="576"/>
      <c r="AG45" s="576"/>
      <c r="AH45" s="576"/>
      <c r="AI45" s="576"/>
      <c r="AJ45" s="576"/>
      <c r="AK45" s="576"/>
      <c r="AL45" s="576"/>
      <c r="AM45" s="576"/>
      <c r="AN45" s="576"/>
      <c r="AO45" s="576"/>
      <c r="AP45" s="576"/>
      <c r="AQ45" s="576"/>
      <c r="AR45" s="576"/>
      <c r="AS45" s="576"/>
      <c r="AT45" s="576"/>
      <c r="AU45" s="576"/>
      <c r="AV45" s="576"/>
      <c r="AW45" s="576"/>
      <c r="AX45" s="576"/>
      <c r="AY45" s="576"/>
      <c r="AZ45" s="576"/>
      <c r="BA45" s="576"/>
    </row>
    <row r="46" spans="1:57" s="515" customFormat="1" ht="23.25" customHeight="1" thickBot="1" x14ac:dyDescent="0.25">
      <c r="A46" s="570"/>
      <c r="B46" s="595" t="s">
        <v>27</v>
      </c>
      <c r="C46" s="596" t="s">
        <v>254</v>
      </c>
      <c r="D46" s="809">
        <f>IFERROR(VLOOKUP(D12,'Court Applications'!$B$9:$O$32,14,FALSE),"")</f>
        <v>19.59317445050052</v>
      </c>
      <c r="E46" s="590">
        <f>IFERROR(VLOOKUP(E12,'Court Applications'!$B$9:$O$32,14,FALSE),"")</f>
        <v>15.103666071673761</v>
      </c>
      <c r="F46" s="590">
        <f>IFERROR(VLOOKUP(F12,'Court Applications'!$B$9:$O$32,14,FALSE),"")</f>
        <v>7.0688604509445465</v>
      </c>
      <c r="G46" s="590">
        <f>IFERROR(VLOOKUP(G12,'Court Applications'!$B$9:$O$32,14,FALSE),"")</f>
        <v>8.486963081710595</v>
      </c>
      <c r="H46" s="590">
        <f>IFERROR(VLOOKUP(H12,'Court Applications'!$B$9:$O$32,14,FALSE),"")</f>
        <v>9.1418002640180163</v>
      </c>
      <c r="I46" s="590">
        <f>IFERROR(VLOOKUP(I12,'Court Applications'!$B$9:$O$32,14,FALSE),"")</f>
        <v>16.363999201756137</v>
      </c>
      <c r="J46" s="590">
        <f>IFERROR(VLOOKUP(J12,'Court Applications'!$B$9:$O$32,14,FALSE),"")</f>
        <v>8.8071647475378629</v>
      </c>
      <c r="K46" s="590">
        <f>IFERROR(VLOOKUP(K12,'Court Applications'!$B$9:$O$32,14,FALSE),"")</f>
        <v>13.136699873324678</v>
      </c>
      <c r="L46" s="590">
        <f>IFERROR(VLOOKUP(L12,'Court Applications'!$B$9:$O$32,14,FALSE),"")</f>
        <v>8.7217467145623608</v>
      </c>
      <c r="M46" s="590">
        <f>IFERROR(VLOOKUP(M12,'Court Applications'!$B$9:$O$32,14,FALSE),"")</f>
        <v>9.4113382225816355</v>
      </c>
      <c r="N46" s="590">
        <f>IFERROR(VLOOKUP(N12,'Court Applications'!$B$9:$O$32,14,FALSE),"")</f>
        <v>16.518826937002171</v>
      </c>
      <c r="O46" s="590">
        <f>IFERROR(VLOOKUP(O12,'Court Applications'!$B$9:$O$32,14,FALSE),"")</f>
        <v>16.984336667295715</v>
      </c>
      <c r="P46" s="590">
        <f>IFERROR(VLOOKUP(P12,'Court Applications'!$B$9:$O$32,14,FALSE),"")</f>
        <v>13.513513513513514</v>
      </c>
      <c r="Q46" s="590">
        <f>IFERROR(VLOOKUP(Q12,'Court Applications'!$B$9:$O$32,14,FALSE),"")</f>
        <v>11.990843355982703</v>
      </c>
      <c r="R46" s="590">
        <f>IFERROR(VLOOKUP(R12,'Court Applications'!$B$9:$O$32,14,FALSE),"")</f>
        <v>17.890865719113407</v>
      </c>
      <c r="S46" s="590">
        <f>IFERROR(VLOOKUP(S12,'Court Applications'!$B$9:$O$32,14,FALSE),"")</f>
        <v>7.8753769616411526</v>
      </c>
      <c r="T46" s="590">
        <f>IFERROR(VLOOKUP(T12,'Court Applications'!$B$9:$O$32,14,FALSE),"")</f>
        <v>17.025879336591618</v>
      </c>
      <c r="U46" s="590">
        <f>IFERROR(VLOOKUP(U12,'Court Applications'!$B$9:$O$32,14,FALSE),"")</f>
        <v>23.606247786914267</v>
      </c>
      <c r="V46" s="590">
        <f>IFERROR(VLOOKUP(V12,'Court Applications'!$B$9:$O$32,14,FALSE),"")</f>
        <v>10.058675607711651</v>
      </c>
      <c r="W46" s="590">
        <f>IFERROR(VLOOKUP(W12,'Court Applications'!$B$9:$O$32,14,FALSE),"")</f>
        <v>9.4643959810942917</v>
      </c>
      <c r="X46" s="590">
        <f>IFERROR(VLOOKUP(X12,'Court Applications'!$B$9:$O$32,14,FALSE),"")</f>
        <v>5.5309734513274336</v>
      </c>
      <c r="Y46" s="810">
        <f>IFERROR(VLOOKUP(Y12,'Court Applications'!$B$9:$O$32,14,FALSE),"")</f>
        <v>5.426076171774068</v>
      </c>
      <c r="Z46" s="597">
        <f>IFERROR(VLOOKUP(Z12,'Court Applications'!$B$9:$O$32,14,FALSE),"")</f>
        <v>9.8309296170258751</v>
      </c>
      <c r="AA46" s="597">
        <f>IFERROR(VLOOKUP(AA12,'Court Applications'!$B$9:$O$32,14,FALSE),"")</f>
        <v>11.981167539412167</v>
      </c>
      <c r="AB46" s="574"/>
      <c r="AC46" s="867"/>
      <c r="AD46" s="575"/>
      <c r="AE46" s="576"/>
      <c r="AF46" s="576"/>
      <c r="AG46" s="576"/>
      <c r="AH46" s="576"/>
      <c r="AI46" s="576"/>
      <c r="AJ46" s="576"/>
      <c r="AK46" s="576"/>
      <c r="AL46" s="576"/>
      <c r="AM46" s="576"/>
      <c r="AN46" s="576"/>
      <c r="AO46" s="576"/>
      <c r="AP46" s="576"/>
      <c r="AQ46" s="576"/>
      <c r="AR46" s="576"/>
      <c r="AS46" s="576"/>
      <c r="AT46" s="576"/>
      <c r="AU46" s="576"/>
      <c r="AV46" s="576"/>
      <c r="AW46" s="576"/>
      <c r="AX46" s="576"/>
      <c r="AY46" s="576"/>
      <c r="AZ46" s="576"/>
      <c r="BA46" s="576"/>
    </row>
    <row r="47" spans="1:57" s="515" customFormat="1" ht="23.25" customHeight="1" x14ac:dyDescent="0.2">
      <c r="A47" s="570"/>
      <c r="B47" s="965" t="s">
        <v>248</v>
      </c>
      <c r="C47" s="571" t="s">
        <v>255</v>
      </c>
      <c r="D47" s="811">
        <f>IFERROR(VLOOKUP(D12,'Looked After Children'!$B$9:$O$32,14,FALSE),"")</f>
        <v>49.161055893983111</v>
      </c>
      <c r="E47" s="572">
        <f>IFERROR(VLOOKUP(E12,'Looked After Children'!$B$9:$O$32,14,FALSE),"")</f>
        <v>81.991330103371851</v>
      </c>
      <c r="F47" s="572">
        <f>IFERROR(VLOOKUP(F12,'Looked After Children'!$B$9:$O$32,14,FALSE),"")</f>
        <v>38.594353036766201</v>
      </c>
      <c r="G47" s="572">
        <f>IFERROR(VLOOKUP(G12,'Looked After Children'!$B$9:$O$32,14,FALSE),"")</f>
        <v>56.862652647460983</v>
      </c>
      <c r="H47" s="572">
        <f>IFERROR(VLOOKUP(H12,'Looked After Children'!$B$9:$O$32,14,FALSE),"")</f>
        <v>56.262662628744074</v>
      </c>
      <c r="I47" s="572">
        <f>IFERROR(VLOOKUP(I12,'Looked After Children'!$B$9:$O$32,14,FALSE),"")</f>
        <v>90.201556575533814</v>
      </c>
      <c r="J47" s="572">
        <f>IFERROR(VLOOKUP(J12,'Looked After Children'!$B$9:$O$32,14,FALSE),"")</f>
        <v>48.945223005742513</v>
      </c>
      <c r="K47" s="572">
        <f>IFERROR(VLOOKUP(K12,'Looked After Children'!$B$9:$O$32,14,FALSE),"")</f>
        <v>64.745163661385916</v>
      </c>
      <c r="L47" s="572">
        <f>IFERROR(VLOOKUP(L12,'Looked After Children'!$B$9:$O$32,14,FALSE),"")</f>
        <v>57.800050260913274</v>
      </c>
      <c r="M47" s="572">
        <f>IFERROR(VLOOKUP(M12,'Looked After Children'!$B$9:$O$32,14,FALSE),"")</f>
        <v>47.753827277543856</v>
      </c>
      <c r="N47" s="572">
        <f>IFERROR(VLOOKUP(N12,'Looked After Children'!$B$9:$O$32,14,FALSE),"")</f>
        <v>93.908399710354814</v>
      </c>
      <c r="O47" s="572">
        <f>IFERROR(VLOOKUP(O12,'Looked After Children'!$B$9:$O$32,14,FALSE),"")</f>
        <v>74.946755452511255</v>
      </c>
      <c r="P47" s="572">
        <f>IFERROR(VLOOKUP(P12,'Looked After Children'!$B$9:$O$32,14,FALSE),"")</f>
        <v>48.838311996206734</v>
      </c>
      <c r="Q47" s="572">
        <f>IFERROR(VLOOKUP(Q12,'Looked After Children'!$B$9:$O$32,14,FALSE),"")</f>
        <v>47.418335089567968</v>
      </c>
      <c r="R47" s="572">
        <f>IFERROR(VLOOKUP(R12,'Looked After Children'!$B$9:$O$32,14,FALSE),"")</f>
        <v>103.76702117085776</v>
      </c>
      <c r="S47" s="572">
        <f>IFERROR(VLOOKUP(S12,'Looked After Children'!$B$9:$O$32,14,FALSE),"")</f>
        <v>35.650486928795068</v>
      </c>
      <c r="T47" s="572">
        <f>IFERROR(VLOOKUP(T12,'Looked After Children'!$B$9:$O$32,14,FALSE),"")</f>
        <v>72.1096066020351</v>
      </c>
      <c r="U47" s="572">
        <f>IFERROR(VLOOKUP(U12,'Looked After Children'!$B$9:$O$32,14,FALSE),"")</f>
        <v>128.65405043868276</v>
      </c>
      <c r="V47" s="572">
        <f>IFERROR(VLOOKUP(V12,'Looked After Children'!$B$9:$O$32,14,FALSE),"")</f>
        <v>40.51411008661637</v>
      </c>
      <c r="W47" s="572">
        <f>IFERROR(VLOOKUP(W12,'Looked After Children'!$B$9:$O$32,14,FALSE),"")</f>
        <v>40.627651040795008</v>
      </c>
      <c r="X47" s="572">
        <f>IFERROR(VLOOKUP(X12,'Looked After Children'!$B$9:$O$32,14,FALSE),"")</f>
        <v>31.148113646949231</v>
      </c>
      <c r="Y47" s="812">
        <f>IFERROR(VLOOKUP(Y12,'Looked After Children'!$B$9:$O$32,14,FALSE),"")</f>
        <v>27.388765438478632</v>
      </c>
      <c r="Z47" s="573">
        <f>IFERROR(VLOOKUP(Z12,'Looked After Children'!$B$9:$O$32,14,FALSE),"")</f>
        <v>51.443901711281391</v>
      </c>
      <c r="AA47" s="573">
        <f>IFERROR(VLOOKUP(AA12,'Looked After Children'!$B$9:$O$32,14,FALSE),"")</f>
        <v>63.554624829263311</v>
      </c>
      <c r="AB47" s="574"/>
      <c r="AC47" s="867"/>
      <c r="AD47" s="575"/>
      <c r="AE47" s="576"/>
      <c r="AF47" s="576"/>
      <c r="AG47" s="576"/>
      <c r="AH47" s="576"/>
      <c r="AI47" s="576"/>
      <c r="AJ47" s="576"/>
      <c r="AK47" s="576"/>
      <c r="AL47" s="576"/>
      <c r="AM47" s="576"/>
      <c r="AN47" s="576"/>
      <c r="AO47" s="576"/>
      <c r="AP47" s="576"/>
      <c r="AQ47" s="576"/>
      <c r="AR47" s="576"/>
      <c r="AS47" s="576"/>
      <c r="AT47" s="576"/>
      <c r="AU47" s="576"/>
      <c r="AV47" s="576"/>
      <c r="AW47" s="576"/>
      <c r="AX47" s="576"/>
      <c r="AY47" s="576"/>
      <c r="AZ47" s="576"/>
      <c r="BA47" s="576"/>
    </row>
    <row r="48" spans="1:57" s="515" customFormat="1" ht="23.25" customHeight="1" x14ac:dyDescent="0.2">
      <c r="A48" s="570"/>
      <c r="B48" s="966"/>
      <c r="C48" s="577" t="s">
        <v>256</v>
      </c>
      <c r="D48" s="813">
        <f>IFERROR(VLOOKUP(D12,'Looked After Children'!$B$110:$H$133,7,FALSE),"")</f>
        <v>0.24271844660194175</v>
      </c>
      <c r="E48" s="578">
        <f>IFERROR(VLOOKUP(E12,'Looked After Children'!$B$110:$H$133,7,FALSE),"")</f>
        <v>0.40531561461794019</v>
      </c>
      <c r="F48" s="578">
        <f>IFERROR(VLOOKUP(F12,'Looked After Children'!$B$110:$H$133,7,FALSE),"")</f>
        <v>0.39943342776203966</v>
      </c>
      <c r="G48" s="578">
        <f>IFERROR(VLOOKUP(G12,'Looked After Children'!$B$110:$H$133,7,FALSE),"")</f>
        <v>0.44420600858369097</v>
      </c>
      <c r="H48" s="578">
        <f>IFERROR(VLOOKUP(H12,'Looked After Children'!$B$110:$H$133,7,FALSE),"")</f>
        <v>0.4095315024232633</v>
      </c>
      <c r="I48" s="578">
        <f>IFERROR(VLOOKUP(I12,'Looked After Children'!$B$110:$H$133,7,FALSE),"")</f>
        <v>0.34946236559139787</v>
      </c>
      <c r="J48" s="578">
        <f>IFERROR(VLOOKUP(J12,'Looked After Children'!$B$110:$H$133,7,FALSE),"")</f>
        <v>0.5122171945701357</v>
      </c>
      <c r="K48" s="578">
        <f>IFERROR(VLOOKUP(K12,'Looked After Children'!$B$110:$H$133,7,FALSE),"")</f>
        <v>0.48973607038123168</v>
      </c>
      <c r="L48" s="578">
        <f>IFERROR(VLOOKUP(L12,'Looked After Children'!$B$110:$H$133,7,FALSE),"")</f>
        <v>0.40251572327044027</v>
      </c>
      <c r="M48" s="578">
        <f>IFERROR(VLOOKUP(M12,'Looked After Children'!$B$110:$H$133,7,FALSE),"")</f>
        <v>0.31517509727626458</v>
      </c>
      <c r="N48" s="578">
        <f>IFERROR(VLOOKUP(N12,'Looked After Children'!$B$110:$H$133,7,FALSE),"")</f>
        <v>0.40476190476190477</v>
      </c>
      <c r="O48" s="578">
        <f>IFERROR(VLOOKUP(O12,'Looked After Children'!$B$110:$H$133,7,FALSE),"")</f>
        <v>0.37168141592920356</v>
      </c>
      <c r="P48" s="578">
        <f>IFERROR(VLOOKUP(P12,'Looked After Children'!$B$110:$H$133,7,FALSE),"")</f>
        <v>0.30463576158940397</v>
      </c>
      <c r="Q48" s="578">
        <f>IFERROR(VLOOKUP(Q12,'Looked After Children'!$B$110:$H$133,7,FALSE),"")</f>
        <v>0.41687979539641945</v>
      </c>
      <c r="R48" s="578">
        <f>IFERROR(VLOOKUP(R12,'Looked After Children'!$B$110:$H$133,7,FALSE),"")</f>
        <v>0.53061224489795922</v>
      </c>
      <c r="S48" s="578">
        <f>IFERROR(VLOOKUP(S12,'Looked After Children'!$B$110:$H$133,7,FALSE),"")</f>
        <v>0.37308868501529052</v>
      </c>
      <c r="T48" s="578">
        <f>IFERROR(VLOOKUP(T12,'Looked After Children'!$B$110:$H$133,7,FALSE),"")</f>
        <v>0.24014336917562723</v>
      </c>
      <c r="U48" s="578">
        <f>IFERROR(VLOOKUP(U12,'Looked After Children'!$B$110:$H$133,7,FALSE),"")</f>
        <v>0.49070631970260226</v>
      </c>
      <c r="V48" s="578">
        <f>IFERROR(VLOOKUP(V12,'Looked After Children'!$B$110:$H$133,7,FALSE),"")</f>
        <v>0.61111111111111116</v>
      </c>
      <c r="W48" s="578">
        <f>IFERROR(VLOOKUP(W12,'Looked After Children'!$B$110:$H$133,7,FALSE),"")</f>
        <v>0.312</v>
      </c>
      <c r="X48" s="578">
        <f>IFERROR(VLOOKUP(X12,'Looked After Children'!$B$110:$H$133,7,FALSE),"")</f>
        <v>0.50819672131147542</v>
      </c>
      <c r="Y48" s="750">
        <f>IFERROR(VLOOKUP(Y12,'Looked After Children'!$B$110:$H$133,7,FALSE),"")</f>
        <v>0.2857142857142857</v>
      </c>
      <c r="Z48" s="579">
        <f>IFERROR(VLOOKUP(Z12,'Looked After Children'!$B$110:$H$133,7,FALSE),"")</f>
        <v>0.41342281879194631</v>
      </c>
      <c r="AA48" s="579">
        <f>IFERROR(VLOOKUP(AA12,'Looked After Children'!$B$110:$H$133,7,FALSE),"")</f>
        <v>0.44364551500988675</v>
      </c>
      <c r="AB48" s="574"/>
      <c r="AC48" s="867"/>
      <c r="AD48" s="575"/>
      <c r="AE48" s="576"/>
      <c r="AF48" s="576"/>
      <c r="AG48" s="576"/>
      <c r="AH48" s="576"/>
      <c r="AI48" s="576"/>
      <c r="AJ48" s="576"/>
      <c r="AK48" s="576"/>
      <c r="AL48" s="576"/>
      <c r="AM48" s="576"/>
      <c r="AN48" s="576"/>
      <c r="AO48" s="576"/>
      <c r="AP48" s="576"/>
      <c r="AQ48" s="576"/>
      <c r="AR48" s="576"/>
      <c r="AS48" s="576"/>
      <c r="AT48" s="576"/>
      <c r="AU48" s="576"/>
      <c r="AV48" s="576"/>
      <c r="AW48" s="576"/>
      <c r="AX48" s="576"/>
      <c r="AY48" s="576"/>
      <c r="AZ48" s="576"/>
      <c r="BA48" s="576"/>
    </row>
    <row r="49" spans="1:53" s="515" customFormat="1" ht="23.25" customHeight="1" x14ac:dyDescent="0.2">
      <c r="A49" s="570"/>
      <c r="B49" s="966"/>
      <c r="C49" s="577" t="s">
        <v>249</v>
      </c>
      <c r="D49" s="813">
        <f>IFERROR(VLOOKUP(D12,'Looked After Children'!$B$145:$H$168,7,FALSE),"")</f>
        <v>0.56000000000000005</v>
      </c>
      <c r="E49" s="578">
        <f>IFERROR(VLOOKUP(E12,'Looked After Children'!$B$145:$H$168,7,FALSE),"")</f>
        <v>0.68852459016393441</v>
      </c>
      <c r="F49" s="578">
        <f>IFERROR(VLOOKUP(F12,'Looked After Children'!$B$145:$H$168,7,FALSE),"")</f>
        <v>0.7021276595744681</v>
      </c>
      <c r="G49" s="578">
        <f>IFERROR(VLOOKUP(G12,'Looked After Children'!$B$145:$H$168,7,FALSE),"")</f>
        <v>0.70531400966183577</v>
      </c>
      <c r="H49" s="578">
        <f>IFERROR(VLOOKUP(H12,'Looked After Children'!$B$145:$H$168,7,FALSE),"")</f>
        <v>0.72386587771203159</v>
      </c>
      <c r="I49" s="578">
        <f>IFERROR(VLOOKUP(I12,'Looked After Children'!$B$145:$H$168,7,FALSE),"")</f>
        <v>0.7384615384615385</v>
      </c>
      <c r="J49" s="578">
        <f>IFERROR(VLOOKUP(J12,'Looked After Children'!$B$145:$H$168,7,FALSE),"")</f>
        <v>0.67844522968197885</v>
      </c>
      <c r="K49" s="578">
        <f>IFERROR(VLOOKUP(K12,'Looked After Children'!$B$145:$H$168,7,FALSE),"")</f>
        <v>0.6706586826347305</v>
      </c>
      <c r="L49" s="578">
        <f>IFERROR(VLOOKUP(L12,'Looked After Children'!$B$145:$H$168,7,FALSE),"")</f>
        <v>0.5703125</v>
      </c>
      <c r="M49" s="578">
        <f>IFERROR(VLOOKUP(M12,'Looked After Children'!$B$145:$H$168,7,FALSE),"")</f>
        <v>0.65432098765432101</v>
      </c>
      <c r="N49" s="578">
        <f>IFERROR(VLOOKUP(N12,'Looked After Children'!$B$145:$H$168,7,FALSE),"")</f>
        <v>0.62184873949579833</v>
      </c>
      <c r="O49" s="578">
        <f>IFERROR(VLOOKUP(O12,'Looked After Children'!$B$145:$H$168,7,FALSE),"")</f>
        <v>0.63095238095238093</v>
      </c>
      <c r="P49" s="578">
        <f>IFERROR(VLOOKUP(P12,'Looked After Children'!$B$145:$H$168,7,FALSE),"")</f>
        <v>0.71739130434782605</v>
      </c>
      <c r="Q49" s="578">
        <f>IFERROR(VLOOKUP(Q12,'Looked After Children'!$B$145:$H$168,7,FALSE),"")</f>
        <v>0.61963190184049077</v>
      </c>
      <c r="R49" s="578">
        <f>IFERROR(VLOOKUP(R12,'Looked After Children'!$B$145:$H$168,7,FALSE),"")</f>
        <v>0.70940170940170943</v>
      </c>
      <c r="S49" s="578">
        <f>IFERROR(VLOOKUP(S12,'Looked After Children'!$B$145:$H$168,7,FALSE),"")</f>
        <v>0.67213114754098358</v>
      </c>
      <c r="T49" s="578">
        <f>IFERROR(VLOOKUP(T12,'Looked After Children'!$B$145:$H$168,7,FALSE),"")</f>
        <v>0.61194029850746268</v>
      </c>
      <c r="U49" s="578">
        <f>IFERROR(VLOOKUP(U12,'Looked After Children'!$B$145:$H$168,7,FALSE),"")</f>
        <v>0.56818181818181823</v>
      </c>
      <c r="V49" s="578">
        <f>IFERROR(VLOOKUP(V12,'Looked After Children'!$B$145:$H$168,7,FALSE),"")</f>
        <v>0.63636363636363635</v>
      </c>
      <c r="W49" s="578">
        <f>IFERROR(VLOOKUP(W12,'Looked After Children'!$B$145:$H$168,7,FALSE),"")</f>
        <v>0.69871794871794868</v>
      </c>
      <c r="X49" s="578">
        <f>IFERROR(VLOOKUP(X12,'Looked After Children'!$B$145:$H$168,7,FALSE),"")</f>
        <v>0.70967741935483875</v>
      </c>
      <c r="Y49" s="750">
        <f>IFERROR(VLOOKUP(Y12,'Looked After Children'!$B$145:$H$168,7,FALSE),"")</f>
        <v>0.75</v>
      </c>
      <c r="Z49" s="579">
        <f>IFERROR(VLOOKUP(Z12,'Looked After Children'!$B$145:$H$168,7,FALSE),"")</f>
        <v>0.68181818181818177</v>
      </c>
      <c r="AA49" s="579">
        <f>IFERROR(VLOOKUP(AA12,'Looked After Children'!$B$145:$H$168,7,FALSE),"")</f>
        <v>0.69813614262560775</v>
      </c>
      <c r="AB49" s="574"/>
      <c r="AC49" s="867"/>
      <c r="AD49" s="575"/>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row>
    <row r="50" spans="1:53" s="515" customFormat="1" ht="23.25" customHeight="1" x14ac:dyDescent="0.2">
      <c r="A50" s="570"/>
      <c r="B50" s="966"/>
      <c r="C50" s="603" t="s">
        <v>170</v>
      </c>
      <c r="D50" s="818">
        <f>IFERROR(VLOOKUP(D12,'Looked After Children'!$B$180:$H$203,7,FALSE),"")</f>
        <v>0.13768115942028986</v>
      </c>
      <c r="E50" s="604">
        <f>IFERROR(VLOOKUP(E12,'Looked After Children'!$B$180:$H$203,7,FALSE),"")</f>
        <v>9.569377990430622E-2</v>
      </c>
      <c r="F50" s="604">
        <f>IFERROR(VLOOKUP(F12,'Looked After Children'!$B$180:$H$203,7,FALSE),"")</f>
        <v>5.894736842105263E-2</v>
      </c>
      <c r="G50" s="604">
        <f>IFERROR(VLOOKUP(G12,'Looked After Children'!$B$180:$H$203,7,FALSE),"")</f>
        <v>0.1111111111111111</v>
      </c>
      <c r="H50" s="604">
        <f>IFERROR(VLOOKUP(H12,'Looked After Children'!$B$180:$H$203,7,FALSE),"")</f>
        <v>0.16436637390213299</v>
      </c>
      <c r="I50" s="604">
        <f>IFERROR(VLOOKUP(I12,'Looked After Children'!$B$180:$H$203,7,FALSE),"")</f>
        <v>0.18141592920353983</v>
      </c>
      <c r="J50" s="604">
        <f>IFERROR(VLOOKUP(J12,'Looked After Children'!$B$180:$H$203,7,FALSE),"")</f>
        <v>0.11732522796352583</v>
      </c>
      <c r="K50" s="604">
        <f>IFERROR(VLOOKUP(K12,'Looked After Children'!$B$180:$H$203,7,FALSE),"")</f>
        <v>9.9033816425120769E-2</v>
      </c>
      <c r="L50" s="604">
        <f>IFERROR(VLOOKUP(L12,'Looked After Children'!$B$180:$H$203,7,FALSE),"")</f>
        <v>0.11253196930946291</v>
      </c>
      <c r="M50" s="604">
        <f>IFERROR(VLOOKUP(M12,'Looked After Children'!$B$180:$H$203,7,FALSE),"")</f>
        <v>0.11240875912408758</v>
      </c>
      <c r="N50" s="604">
        <f>IFERROR(VLOOKUP(N12,'Looked After Children'!$B$180:$H$203,7,FALSE),"")</f>
        <v>0.14457831325301204</v>
      </c>
      <c r="O50" s="604">
        <f>IFERROR(VLOOKUP(O12,'Looked After Children'!$B$180:$H$203,7,FALSE),"")</f>
        <v>0.11510791366906475</v>
      </c>
      <c r="P50" s="604">
        <f>IFERROR(VLOOKUP(P12,'Looked After Children'!$B$180:$H$203,7,FALSE),"")</f>
        <v>0.16019417475728157</v>
      </c>
      <c r="Q50" s="604">
        <f>IFERROR(VLOOKUP(Q12,'Looked After Children'!$B$180:$H$203,7,FALSE),"")</f>
        <v>0.1532567049808429</v>
      </c>
      <c r="R50" s="604">
        <f>IFERROR(VLOOKUP(R12,'Looked After Children'!$B$180:$H$203,7,FALSE),"")</f>
        <v>9.5785440613026823E-2</v>
      </c>
      <c r="S50" s="604">
        <f>IFERROR(VLOOKUP(S12,'Looked After Children'!$B$180:$H$203,7,FALSE),"")</f>
        <v>7.6508620689655166E-2</v>
      </c>
      <c r="T50" s="604">
        <f>IFERROR(VLOOKUP(T12,'Looked After Children'!$B$180:$H$203,7,FALSE),"")</f>
        <v>0.12222222222222222</v>
      </c>
      <c r="U50" s="604">
        <f>IFERROR(VLOOKUP(U12,'Looked After Children'!$B$180:$H$203,7,FALSE),"")</f>
        <v>0.25382262996941896</v>
      </c>
      <c r="V50" s="604">
        <f>IFERROR(VLOOKUP(V12,'Looked After Children'!$B$180:$H$203,7,FALSE),"")</f>
        <v>5.5172413793103448E-2</v>
      </c>
      <c r="W50" s="604">
        <f>IFERROR(VLOOKUP(W12,'Looked After Children'!$B$180:$H$203,7,FALSE),"")</f>
        <v>0.140625</v>
      </c>
      <c r="X50" s="604">
        <f>IFERROR(VLOOKUP(X12,'Looked After Children'!$B$180:$H$203,7,FALSE),"")</f>
        <v>0.13084112149532709</v>
      </c>
      <c r="Y50" s="819">
        <f>IFERROR(VLOOKUP(Y12,'Looked After Children'!$B$180:$H$203,7,FALSE),"")</f>
        <v>0.13207547169811321</v>
      </c>
      <c r="Z50" s="605">
        <f>IFERROR(VLOOKUP(Z12,'Looked After Children'!$B$180:$H$203,7,FALSE),"")</f>
        <v>0.11899999999999999</v>
      </c>
      <c r="AA50" s="605">
        <f>IFERROR(VLOOKUP(AA12,'Looked After Children'!$B$180:$H$203,7,FALSE),"")</f>
        <v>0.10461416070007955</v>
      </c>
      <c r="AB50" s="574"/>
      <c r="AC50" s="867"/>
      <c r="AD50" s="575"/>
      <c r="AE50" s="576"/>
      <c r="AF50" s="576"/>
      <c r="AG50" s="576"/>
      <c r="AH50" s="576"/>
      <c r="AI50" s="576"/>
      <c r="AJ50" s="576"/>
      <c r="AK50" s="576"/>
      <c r="AL50" s="576"/>
      <c r="AM50" s="576"/>
      <c r="AN50" s="576"/>
      <c r="AO50" s="576"/>
      <c r="AP50" s="576"/>
      <c r="AQ50" s="576"/>
      <c r="AR50" s="576"/>
      <c r="AS50" s="576"/>
      <c r="AT50" s="576"/>
      <c r="AU50" s="576"/>
      <c r="AV50" s="576"/>
      <c r="AW50" s="576"/>
      <c r="AX50" s="576"/>
      <c r="AY50" s="576"/>
      <c r="AZ50" s="576"/>
      <c r="BA50" s="576"/>
    </row>
    <row r="51" spans="1:53" s="515" customFormat="1" ht="23.25" customHeight="1" thickBot="1" x14ac:dyDescent="0.25">
      <c r="A51" s="570"/>
      <c r="B51" s="966"/>
      <c r="C51" s="603" t="s">
        <v>257</v>
      </c>
      <c r="D51" s="818" t="str">
        <f>IFERROR(VLOOKUP(D12,'Looked After Children'!$B$215:$H$238,7,FALSE),"")</f>
        <v/>
      </c>
      <c r="E51" s="604">
        <f>IFERROR(VLOOKUP(E12,'Looked After Children'!$B$215:$H$238,7,FALSE),"")</f>
        <v>6.9377990430622011E-2</v>
      </c>
      <c r="F51" s="604">
        <f>IFERROR(VLOOKUP(F12,'Looked After Children'!$B$215:$H$238,7,FALSE),"")</f>
        <v>7.3684210526315783E-2</v>
      </c>
      <c r="G51" s="604">
        <f>IFERROR(VLOOKUP(G12,'Looked After Children'!$B$215:$H$238,7,FALSE),"")</f>
        <v>3.316749585406302E-2</v>
      </c>
      <c r="H51" s="604">
        <f>IFERROR(VLOOKUP(H12,'Looked After Children'!$B$215:$H$238,7,FALSE),"")</f>
        <v>7.0263488080301126E-2</v>
      </c>
      <c r="I51" s="604">
        <f>IFERROR(VLOOKUP(I12,'Looked After Children'!$B$215:$H$238,7,FALSE),"")</f>
        <v>3.0973451327433628E-2</v>
      </c>
      <c r="J51" s="604">
        <f>IFERROR(VLOOKUP(J12,'Looked After Children'!$B$215:$H$238,7,FALSE),"")</f>
        <v>0.14285714285714285</v>
      </c>
      <c r="K51" s="604" t="str">
        <f>IFERROR(VLOOKUP(K12,'Looked After Children'!$B$215:$H$238,7,FALSE),"")</f>
        <v/>
      </c>
      <c r="L51" s="604">
        <f>IFERROR(VLOOKUP(L12,'Looked After Children'!$B$215:$H$238,7,FALSE),"")</f>
        <v>6.6496163682864456E-2</v>
      </c>
      <c r="M51" s="604">
        <f>IFERROR(VLOOKUP(M12,'Looked After Children'!$B$215:$H$238,7,FALSE),"")</f>
        <v>8.3211678832116789E-2</v>
      </c>
      <c r="N51" s="604">
        <f>IFERROR(VLOOKUP(N12,'Looked After Children'!$B$215:$H$238,7,FALSE),"")</f>
        <v>0.17349397590361446</v>
      </c>
      <c r="O51" s="604">
        <f>IFERROR(VLOOKUP(O12,'Looked After Children'!$B$215:$H$238,7,FALSE),"")</f>
        <v>3.237410071942446E-2</v>
      </c>
      <c r="P51" s="604">
        <f>IFERROR(VLOOKUP(P12,'Looked After Children'!$B$215:$H$238,7,FALSE),"")</f>
        <v>3.8834951456310676E-2</v>
      </c>
      <c r="Q51" s="604">
        <f>IFERROR(VLOOKUP(Q12,'Looked After Children'!$B$215:$H$238,7,FALSE),"")</f>
        <v>3.4482758620689655E-2</v>
      </c>
      <c r="R51" s="604">
        <f>IFERROR(VLOOKUP(R12,'Looked After Children'!$B$215:$H$238,7,FALSE),"")</f>
        <v>2.681992337164751E-2</v>
      </c>
      <c r="S51" s="604">
        <f>IFERROR(VLOOKUP(S12,'Looked After Children'!$B$215:$H$238,7,FALSE),"")</f>
        <v>0.11961206896551724</v>
      </c>
      <c r="T51" s="604">
        <f>IFERROR(VLOOKUP(T12,'Looked After Children'!$B$215:$H$238,7,FALSE),"")</f>
        <v>7.2222222222222215E-2</v>
      </c>
      <c r="U51" s="604" t="str">
        <f>IFERROR(VLOOKUP(U12,'Looked After Children'!$B$215:$H$238,7,FALSE),"")</f>
        <v/>
      </c>
      <c r="V51" s="604">
        <f>IFERROR(VLOOKUP(V12,'Looked After Children'!$B$215:$H$238,7,FALSE),"")</f>
        <v>0.10344827586206896</v>
      </c>
      <c r="W51" s="604">
        <f>IFERROR(VLOOKUP(W12,'Looked After Children'!$B$215:$H$238,7,FALSE),"")</f>
        <v>9.8011363636363633E-2</v>
      </c>
      <c r="X51" s="604">
        <f>IFERROR(VLOOKUP(X12,'Looked After Children'!$B$215:$H$238,7,FALSE),"")</f>
        <v>6.5420560747663545E-2</v>
      </c>
      <c r="Y51" s="819">
        <f>IFERROR(VLOOKUP(Y12,'Looked After Children'!$B$215:$H$238,7,FALSE),"")</f>
        <v>0.13207547169811321</v>
      </c>
      <c r="Z51" s="605">
        <f>IFERROR(VLOOKUP(Z12,'Looked After Children'!$B$215:$H$238,7,FALSE),"")</f>
        <v>8.5000000000000006E-2</v>
      </c>
      <c r="AA51" s="605">
        <f>IFERROR(VLOOKUP(AA12,'Looked After Children'!$B$215:$H$238,7,FALSE),"")</f>
        <v>5.940068947228852E-2</v>
      </c>
      <c r="AB51" s="574"/>
      <c r="AC51" s="867"/>
      <c r="AD51" s="575"/>
      <c r="AE51" s="576"/>
      <c r="AF51" s="576"/>
      <c r="AG51" s="576"/>
      <c r="AH51" s="576"/>
      <c r="AI51" s="576"/>
      <c r="AJ51" s="576"/>
      <c r="AK51" s="576"/>
      <c r="AL51" s="576"/>
      <c r="AM51" s="576"/>
      <c r="AN51" s="576"/>
      <c r="AO51" s="576"/>
      <c r="AP51" s="576"/>
      <c r="AQ51" s="576"/>
      <c r="AR51" s="576"/>
      <c r="AS51" s="576"/>
      <c r="AT51" s="576"/>
      <c r="AU51" s="576"/>
      <c r="AV51" s="576"/>
      <c r="AW51" s="576"/>
      <c r="AX51" s="576"/>
      <c r="AY51" s="576"/>
      <c r="AZ51" s="576"/>
      <c r="BA51" s="576"/>
    </row>
    <row r="52" spans="1:53" s="515" customFormat="1" ht="23.25" customHeight="1" x14ac:dyDescent="0.2">
      <c r="A52" s="570"/>
      <c r="B52" s="944" t="s">
        <v>874</v>
      </c>
      <c r="C52" s="582" t="s">
        <v>258</v>
      </c>
      <c r="D52" s="811" t="str">
        <f>IFERROR(VLOOKUP(D12,Adoption!$B$9:$O$32,14,FALSE),"")</f>
        <v/>
      </c>
      <c r="E52" s="572">
        <f>IFERROR(VLOOKUP(E12,Adoption!$B$9:$O$32,14,FALSE),"")</f>
        <v>3.7268786410623562</v>
      </c>
      <c r="F52" s="572">
        <f>IFERROR(VLOOKUP(F12,Adoption!$B$9:$O$32,14,FALSE),"")</f>
        <v>0.73126142595978061</v>
      </c>
      <c r="G52" s="572">
        <f>IFERROR(VLOOKUP(G12,Adoption!$B$9:$O$32,14,FALSE),"")</f>
        <v>2.4517893347163939</v>
      </c>
      <c r="H52" s="572">
        <f>IFERROR(VLOOKUP(H12,Adoption!$B$9:$O$32,14,FALSE),"")</f>
        <v>1.941308936374482</v>
      </c>
      <c r="I52" s="572" t="str">
        <f>IFERROR(VLOOKUP(I12,Adoption!$B$9:$O$32,14,FALSE),"")</f>
        <v/>
      </c>
      <c r="J52" s="572">
        <f>IFERROR(VLOOKUP(J12,Adoption!$B$9:$O$32,14,FALSE),"")</f>
        <v>1.6662203576422983</v>
      </c>
      <c r="K52" s="572">
        <f>IFERROR(VLOOKUP(K12,Adoption!$B$9:$O$32,14,FALSE),"")</f>
        <v>3.596953536743662</v>
      </c>
      <c r="L52" s="572" t="str">
        <f>IFERROR(VLOOKUP(L12,Adoption!$B$9:$O$32,14,FALSE),"")</f>
        <v/>
      </c>
      <c r="M52" s="572">
        <f>IFERROR(VLOOKUP(M12,Adoption!$B$9:$O$32,14,FALSE),"")</f>
        <v>1.3245587128077856</v>
      </c>
      <c r="N52" s="572" t="str">
        <f>IFERROR(VLOOKUP(N12,Adoption!$B$9:$O$32,14,FALSE),"")</f>
        <v/>
      </c>
      <c r="O52" s="572">
        <f>IFERROR(VLOOKUP(O12,Adoption!$B$9:$O$32,14,FALSE),"")</f>
        <v>3.2351117461515648</v>
      </c>
      <c r="P52" s="572">
        <f>IFERROR(VLOOKUP(P12,Adoption!$B$9:$O$32,14,FALSE),"")</f>
        <v>1.8966334755808441</v>
      </c>
      <c r="Q52" s="572" t="str">
        <f>IFERROR(VLOOKUP(Q12,Adoption!$B$9:$O$32,14,FALSE),"")</f>
        <v/>
      </c>
      <c r="R52" s="572">
        <f>IFERROR(VLOOKUP(R12,Adoption!$B$9:$O$32,14,FALSE),"")</f>
        <v>5.5660471126130604</v>
      </c>
      <c r="S52" s="572">
        <f>IFERROR(VLOOKUP(S12,Adoption!$B$9:$O$32,14,FALSE),"")</f>
        <v>0.53783062177061525</v>
      </c>
      <c r="T52" s="572" t="str">
        <f>IFERROR(VLOOKUP(T12,Adoption!$B$9:$O$32,14,FALSE),"")</f>
        <v/>
      </c>
      <c r="U52" s="572">
        <f>IFERROR(VLOOKUP(U12,Adoption!$B$9:$O$32,14,FALSE),"")</f>
        <v>2.7540622418066651</v>
      </c>
      <c r="V52" s="572" t="str">
        <f>IFERROR(VLOOKUP(V12,Adoption!$B$9:$O$32,14,FALSE),"")</f>
        <v/>
      </c>
      <c r="W52" s="572">
        <f>IFERROR(VLOOKUP(W12,Adoption!$B$9:$O$32,14,FALSE),"")</f>
        <v>2.3660989952735729</v>
      </c>
      <c r="X52" s="572" t="str">
        <f>IFERROR(VLOOKUP(X12,Adoption!$B$9:$O$32,14,FALSE),"")</f>
        <v/>
      </c>
      <c r="Y52" s="812" t="str">
        <f>IFERROR(VLOOKUP(Y12,Adoption!$B$9:$O$32,14,FALSE),"")</f>
        <v/>
      </c>
      <c r="Z52" s="583">
        <f>IFERROR(VLOOKUP(Z12,Adoption!$B$9:$O$32,14,FALSE),"")</f>
        <v>1.7490926581835673</v>
      </c>
      <c r="AA52" s="583">
        <f>IFERROR(VLOOKUP(AA12,Adoption!$B$9:$O$32,14,FALSE),"")</f>
        <v>1.8791675068848737</v>
      </c>
      <c r="AB52" s="574"/>
      <c r="AC52" s="867"/>
      <c r="AD52" s="575"/>
      <c r="AE52" s="576"/>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row>
    <row r="53" spans="1:53" s="515" customFormat="1" ht="22.5" customHeight="1" x14ac:dyDescent="0.2">
      <c r="A53" s="570"/>
      <c r="B53" s="945"/>
      <c r="C53" s="584" t="s">
        <v>259</v>
      </c>
      <c r="D53" s="813" t="str">
        <f>IFERROR(VLOOKUP(D12,Adoption!$B$76:$H$99,7,FALSE),"")</f>
        <v/>
      </c>
      <c r="E53" s="578">
        <f>IFERROR(VLOOKUP(E12,Adoption!$B$76:$H$99,7,FALSE),"")</f>
        <v>0.18181818181818182</v>
      </c>
      <c r="F53" s="578">
        <f>IFERROR(VLOOKUP(F12,Adoption!$B$76:$H$99,7,FALSE),"")</f>
        <v>0.13259668508287292</v>
      </c>
      <c r="G53" s="578">
        <f>IFERROR(VLOOKUP(G12,Adoption!$B$76:$H$99,7,FALSE),"")</f>
        <v>0.19875776397515527</v>
      </c>
      <c r="H53" s="578">
        <f>IFERROR(VLOOKUP(H12,Adoption!$B$76:$H$99,7,FALSE),"")</f>
        <v>0.1134020618556701</v>
      </c>
      <c r="I53" s="578">
        <f>IFERROR(VLOOKUP(I12,Adoption!$B$76:$H$99,7,FALSE),"")</f>
        <v>0.16049382716049382</v>
      </c>
      <c r="J53" s="578">
        <f>IFERROR(VLOOKUP(J12,Adoption!$B$76:$H$99,7,FALSE),"")</f>
        <v>9.9426386233269604E-2</v>
      </c>
      <c r="K53" s="578">
        <f>IFERROR(VLOOKUP(K12,Adoption!$B$76:$H$99,7,FALSE),"")</f>
        <v>0.22012578616352202</v>
      </c>
      <c r="L53" s="578">
        <f>IFERROR(VLOOKUP(L12,Adoption!$B$76:$H$99,7,FALSE),"")</f>
        <v>6.25E-2</v>
      </c>
      <c r="M53" s="578">
        <f>IFERROR(VLOOKUP(M12,Adoption!$B$76:$H$99,7,FALSE),"")</f>
        <v>0.12121212121212122</v>
      </c>
      <c r="N53" s="578">
        <f>IFERROR(VLOOKUP(N12,Adoption!$B$76:$H$99,7,FALSE),"")</f>
        <v>0.16042780748663102</v>
      </c>
      <c r="O53" s="578">
        <f>IFERROR(VLOOKUP(O12,Adoption!$B$76:$H$99,7,FALSE),"")</f>
        <v>0.13978494623655913</v>
      </c>
      <c r="P53" s="578">
        <f>IFERROR(VLOOKUP(P12,Adoption!$B$76:$H$99,7,FALSE),"")</f>
        <v>0.11607142857142858</v>
      </c>
      <c r="Q53" s="578">
        <f>IFERROR(VLOOKUP(Q12,Adoption!$B$76:$H$99,7,FALSE),"")</f>
        <v>0.14220183486238533</v>
      </c>
      <c r="R53" s="578">
        <f>IFERROR(VLOOKUP(R12,Adoption!$B$76:$H$99,7,FALSE),"")</f>
        <v>0.27411167512690354</v>
      </c>
      <c r="S53" s="578">
        <f>IFERROR(VLOOKUP(S12,Adoption!$B$76:$H$99,7,FALSE),"")</f>
        <v>8.0882352941176475E-2</v>
      </c>
      <c r="T53" s="578">
        <f>IFERROR(VLOOKUP(T12,Adoption!$B$76:$H$99,7,FALSE),"")</f>
        <v>0.1032258064516129</v>
      </c>
      <c r="U53" s="578">
        <f>IFERROR(VLOOKUP(U12,Adoption!$B$76:$H$99,7,FALSE),"")</f>
        <v>0.19607843137254902</v>
      </c>
      <c r="V53" s="578" t="str">
        <f>IFERROR(VLOOKUP(V12,Adoption!$B$76:$H$99,7,FALSE),"")</f>
        <v/>
      </c>
      <c r="W53" s="578">
        <f>IFERROR(VLOOKUP(W12,Adoption!$B$76:$H$99,7,FALSE),"")</f>
        <v>0.10355029585798817</v>
      </c>
      <c r="X53" s="578" t="str">
        <f>IFERROR(VLOOKUP(X12,Adoption!$B$76:$H$99,7,FALSE),"")</f>
        <v/>
      </c>
      <c r="Y53" s="750" t="str">
        <f>IFERROR(VLOOKUP(Y12,Adoption!$B$76:$H$99,7,FALSE),"")</f>
        <v/>
      </c>
      <c r="Z53" s="585">
        <f>IFERROR(VLOOKUP(Z12,Adoption!$B$76:$H$99,7,FALSE),"")</f>
        <v>0.12325581395348838</v>
      </c>
      <c r="AA53" s="585">
        <f>IFERROR(VLOOKUP(AA12,Adoption!$B$76:$H$99,7,FALSE),"")</f>
        <v>0.12793034159410582</v>
      </c>
      <c r="AB53" s="574"/>
      <c r="AC53" s="867"/>
      <c r="AD53" s="575"/>
      <c r="AE53" s="576"/>
      <c r="AF53" s="576"/>
      <c r="AG53" s="576"/>
      <c r="AH53" s="576"/>
      <c r="AI53" s="576"/>
      <c r="AJ53" s="576"/>
      <c r="AK53" s="576"/>
      <c r="AL53" s="576"/>
      <c r="AM53" s="576"/>
      <c r="AN53" s="576"/>
      <c r="AO53" s="576"/>
      <c r="AP53" s="576"/>
      <c r="AQ53" s="576"/>
      <c r="AR53" s="576"/>
      <c r="AS53" s="576"/>
      <c r="AT53" s="576"/>
      <c r="AU53" s="576"/>
      <c r="AV53" s="576"/>
      <c r="AW53" s="576"/>
      <c r="AX53" s="576"/>
      <c r="AY53" s="576"/>
      <c r="AZ53" s="576"/>
      <c r="BA53" s="576"/>
    </row>
    <row r="54" spans="1:53" s="515" customFormat="1" ht="23.25" customHeight="1" x14ac:dyDescent="0.2">
      <c r="A54" s="570"/>
      <c r="B54" s="945"/>
      <c r="C54" s="913" t="s">
        <v>260</v>
      </c>
      <c r="D54" s="813" t="str">
        <f>IFERROR(VLOOKUP(D$12,Adoption!$B$111:$H$134,7,FALSE),"")</f>
        <v/>
      </c>
      <c r="E54" s="578">
        <f>IFERROR(VLOOKUP(E$12,Adoption!$B$111:$H$134,7,FALSE),"")</f>
        <v>3.9772727272727272E-2</v>
      </c>
      <c r="F54" s="578" t="str">
        <f>IFERROR(VLOOKUP(F$12,Adoption!$B$111:$H$134,7,FALSE),"")</f>
        <v/>
      </c>
      <c r="G54" s="578" t="str">
        <f>IFERROR(VLOOKUP(G$12,Adoption!$B$111:$H$134,7,FALSE),"")</f>
        <v/>
      </c>
      <c r="H54" s="578">
        <f>IFERROR(VLOOKUP(H$12,Adoption!$B$111:$H$134,7,FALSE),"")</f>
        <v>4.1237113402061855E-2</v>
      </c>
      <c r="I54" s="578" t="str">
        <f>IFERROR(VLOOKUP(I$12,Adoption!$B$111:$H$134,7,FALSE),"")</f>
        <v/>
      </c>
      <c r="J54" s="578">
        <f>IFERROR(VLOOKUP(J$12,Adoption!$B$111:$H$134,7,FALSE),"")</f>
        <v>1.5296367112810707E-2</v>
      </c>
      <c r="K54" s="578" t="str">
        <f>IFERROR(VLOOKUP(K$12,Adoption!$B$111:$H$134,7,FALSE),"")</f>
        <v/>
      </c>
      <c r="L54" s="578" t="str">
        <f>IFERROR(VLOOKUP(L$12,Adoption!$B$111:$H$134,7,FALSE),"")</f>
        <v/>
      </c>
      <c r="M54" s="578">
        <f>IFERROR(VLOOKUP(M$12,Adoption!$B$111:$H$134,7,FALSE),"")</f>
        <v>2.6936026936026935E-2</v>
      </c>
      <c r="N54" s="578">
        <f>IFERROR(VLOOKUP(N$12,Adoption!$B$111:$H$134,7,FALSE),"")</f>
        <v>4.2780748663101602E-2</v>
      </c>
      <c r="O54" s="578" t="str">
        <f>IFERROR(VLOOKUP(O$12,Adoption!$B$111:$H$134,7,FALSE),"")</f>
        <v/>
      </c>
      <c r="P54" s="578" t="str">
        <f>IFERROR(VLOOKUP(P$12,Adoption!$B$111:$H$134,7,FALSE),"")</f>
        <v/>
      </c>
      <c r="Q54" s="578">
        <f>IFERROR(VLOOKUP(Q$12,Adoption!$B$111:$H$134,7,FALSE),"")</f>
        <v>2.7522935779816515E-2</v>
      </c>
      <c r="R54" s="578">
        <f>IFERROR(VLOOKUP(R$12,Adoption!$B$111:$H$134,7,FALSE),"")</f>
        <v>6.5989847715736044E-2</v>
      </c>
      <c r="S54" s="578">
        <f>IFERROR(VLOOKUP(S$12,Adoption!$B$111:$H$134,7,FALSE),"")</f>
        <v>3.1862745098039214E-2</v>
      </c>
      <c r="T54" s="578">
        <f>IFERROR(VLOOKUP(T$12,Adoption!$B$111:$H$134,7,FALSE),"")</f>
        <v>5.1612903225806452E-2</v>
      </c>
      <c r="U54" s="578">
        <f>IFERROR(VLOOKUP(U$12,Adoption!$B$111:$H$134,7,FALSE),"")</f>
        <v>5.8823529411764705E-2</v>
      </c>
      <c r="V54" s="578">
        <f>IFERROR(VLOOKUP(V$12,Adoption!$B$111:$H$134,7,FALSE),"")</f>
        <v>0.10465116279069768</v>
      </c>
      <c r="W54" s="578">
        <f>IFERROR(VLOOKUP(W$12,Adoption!$B$111:$H$134,7,FALSE),"")</f>
        <v>0</v>
      </c>
      <c r="X54" s="578" t="str">
        <f>IFERROR(VLOOKUP(X$12,Adoption!$B$111:$H$134,7,FALSE),"")</f>
        <v/>
      </c>
      <c r="Y54" s="750">
        <f>IFERROR(VLOOKUP(Y$12,Adoption!$B$111:$H$134,7,FALSE),"")</f>
        <v>0</v>
      </c>
      <c r="Z54" s="579">
        <f>IFERROR(VLOOKUP(Z$12,Adoption!$B$111:$H$134,7,FALSE),"")</f>
        <v>2.7906976744186046E-2</v>
      </c>
      <c r="AA54" s="579">
        <f>IFERROR(VLOOKUP(AA$12,Adoption!$B$111:$H$134,7,FALSE),"")</f>
        <v>3.9182853315472201E-2</v>
      </c>
      <c r="AB54" s="574"/>
      <c r="AC54" s="867"/>
      <c r="AD54" s="575"/>
      <c r="AE54" s="576"/>
      <c r="AF54" s="576"/>
      <c r="AG54" s="576"/>
      <c r="AH54" s="576"/>
      <c r="AI54" s="576"/>
      <c r="AJ54" s="576"/>
      <c r="AK54" s="576"/>
      <c r="AL54" s="576"/>
      <c r="AM54" s="576"/>
      <c r="AN54" s="576"/>
      <c r="AO54" s="576"/>
      <c r="AP54" s="576"/>
      <c r="AQ54" s="576"/>
      <c r="AR54" s="576"/>
      <c r="AS54" s="576"/>
      <c r="AT54" s="576"/>
      <c r="AU54" s="576"/>
      <c r="AV54" s="576"/>
      <c r="AW54" s="576"/>
      <c r="AX54" s="576"/>
      <c r="AY54" s="576"/>
      <c r="AZ54" s="576"/>
      <c r="BA54" s="576"/>
    </row>
    <row r="55" spans="1:53" s="515" customFormat="1" ht="23.25" customHeight="1" thickBot="1" x14ac:dyDescent="0.25">
      <c r="A55" s="570"/>
      <c r="B55" s="946"/>
      <c r="C55" s="914" t="s">
        <v>261</v>
      </c>
      <c r="D55" s="816" t="str">
        <f>IFERROR(VLOOKUP(D$12,Adoption!$B$146:$H$169,7,FALSE),"")</f>
        <v/>
      </c>
      <c r="E55" s="580">
        <f>IFERROR(VLOOKUP(E$12,Adoption!$B$146:$H$169,7,FALSE),"")</f>
        <v>0.14204545454545456</v>
      </c>
      <c r="F55" s="580">
        <f>IFERROR(VLOOKUP(F$12,Adoption!$B$146:$H$169,7,FALSE),"")</f>
        <v>0.17127071823204421</v>
      </c>
      <c r="G55" s="580">
        <f>IFERROR(VLOOKUP(G$12,Adoption!$B$146:$H$169,7,FALSE),"")</f>
        <v>0.11180124223602485</v>
      </c>
      <c r="H55" s="580">
        <f>IFERROR(VLOOKUP(H$12,Adoption!$B$146:$H$169,7,FALSE),"")</f>
        <v>0.1154639175257732</v>
      </c>
      <c r="I55" s="580" t="str">
        <f>IFERROR(VLOOKUP(I$12,Adoption!$B$146:$H$169,7,FALSE),"")</f>
        <v/>
      </c>
      <c r="J55" s="580">
        <f>IFERROR(VLOOKUP(J$12,Adoption!$B$146:$H$169,7,FALSE),"")</f>
        <v>4.1108986615678779E-2</v>
      </c>
      <c r="K55" s="580">
        <f>IFERROR(VLOOKUP(K$12,Adoption!$B$146:$H$169,7,FALSE),"")</f>
        <v>0.11949685534591195</v>
      </c>
      <c r="L55" s="580">
        <f>IFERROR(VLOOKUP(L$12,Adoption!$B$146:$H$169,7,FALSE),"")</f>
        <v>0.25</v>
      </c>
      <c r="M55" s="580">
        <f>IFERROR(VLOOKUP(M$12,Adoption!$B$146:$H$169,7,FALSE),"")</f>
        <v>0.14814814814814814</v>
      </c>
      <c r="N55" s="580">
        <f>IFERROR(VLOOKUP(N$12,Adoption!$B$146:$H$169,7,FALSE),"")</f>
        <v>0.11764705882352941</v>
      </c>
      <c r="O55" s="580">
        <f>IFERROR(VLOOKUP(O$12,Adoption!$B$146:$H$169,7,FALSE),"")</f>
        <v>0.15053763440860216</v>
      </c>
      <c r="P55" s="580">
        <f>IFERROR(VLOOKUP(P$12,Adoption!$B$146:$H$169,7,FALSE),"")</f>
        <v>0.125</v>
      </c>
      <c r="Q55" s="580">
        <f>IFERROR(VLOOKUP(Q$12,Adoption!$B$146:$H$169,7,FALSE),"")</f>
        <v>0.12844036697247707</v>
      </c>
      <c r="R55" s="580">
        <f>IFERROR(VLOOKUP(R$12,Adoption!$B$146:$H$169,7,FALSE),"")</f>
        <v>0.19796954314720813</v>
      </c>
      <c r="S55" s="580">
        <f>IFERROR(VLOOKUP(S$12,Adoption!$B$146:$H$169,7,FALSE),"")</f>
        <v>0.125</v>
      </c>
      <c r="T55" s="580">
        <f>IFERROR(VLOOKUP(T$12,Adoption!$B$146:$H$169,7,FALSE),"")</f>
        <v>0.18064516129032257</v>
      </c>
      <c r="U55" s="580">
        <f>IFERROR(VLOOKUP(U$12,Adoption!$B$146:$H$169,7,FALSE),"")</f>
        <v>9.8039215686274508E-2</v>
      </c>
      <c r="V55" s="580">
        <f>IFERROR(VLOOKUP(V$12,Adoption!$B$146:$H$169,7,FALSE),"")</f>
        <v>0.23255813953488372</v>
      </c>
      <c r="W55" s="580">
        <f>IFERROR(VLOOKUP(W$12,Adoption!$B$146:$H$169,7,FALSE),"")</f>
        <v>0.10946745562130178</v>
      </c>
      <c r="X55" s="580" t="str">
        <f>IFERROR(VLOOKUP(X$12,Adoption!$B$146:$H$169,7,FALSE),"")</f>
        <v/>
      </c>
      <c r="Y55" s="817" t="str">
        <f>IFERROR(VLOOKUP(Y$12,Adoption!$B$146:$H$169,7,FALSE),"")</f>
        <v/>
      </c>
      <c r="Z55" s="581">
        <f>IFERROR(VLOOKUP(Z$12,Adoption!$B$146:$H$169,7,FALSE),"")</f>
        <v>0.11627906976744186</v>
      </c>
      <c r="AA55" s="581">
        <f>IFERROR(VLOOKUP(AA$12,Adoption!$B$146:$H$169,7,FALSE),"")</f>
        <v>0.11486939048894843</v>
      </c>
      <c r="AB55" s="574"/>
      <c r="AC55" s="867"/>
      <c r="AD55" s="575"/>
      <c r="AE55" s="576"/>
      <c r="AF55" s="576"/>
      <c r="AG55" s="576"/>
      <c r="AH55" s="576"/>
      <c r="AI55" s="576"/>
      <c r="AJ55" s="576"/>
      <c r="AK55" s="576"/>
      <c r="AL55" s="576"/>
      <c r="AM55" s="576"/>
      <c r="AN55" s="576"/>
      <c r="AO55" s="576"/>
      <c r="AP55" s="576"/>
      <c r="AQ55" s="576"/>
      <c r="AR55" s="576"/>
      <c r="AS55" s="576"/>
      <c r="AT55" s="576"/>
      <c r="AU55" s="576"/>
      <c r="AV55" s="576"/>
      <c r="AW55" s="576"/>
      <c r="AX55" s="576"/>
      <c r="AY55" s="576"/>
      <c r="AZ55" s="576"/>
      <c r="BA55" s="576"/>
    </row>
    <row r="56" spans="1:53" s="515" customFormat="1" ht="180.75" customHeight="1" x14ac:dyDescent="0.2">
      <c r="A56" s="962" t="str">
        <f>$A$35</f>
        <v>LA's provide quarterly data on the condition that it is used by the benchmarking group for internal reporting only. Please DO NOT share other LA's data with any external partners or the public</v>
      </c>
      <c r="B56" s="963"/>
      <c r="C56" s="963"/>
      <c r="D56" s="963"/>
      <c r="E56" s="963"/>
      <c r="F56" s="963"/>
      <c r="G56" s="963"/>
      <c r="H56" s="963"/>
      <c r="I56" s="963"/>
      <c r="J56" s="963"/>
      <c r="K56" s="963"/>
      <c r="L56" s="963"/>
      <c r="M56" s="963"/>
      <c r="N56" s="963"/>
      <c r="O56" s="963"/>
      <c r="P56" s="963"/>
      <c r="Q56" s="963"/>
      <c r="R56" s="963"/>
      <c r="S56" s="963"/>
      <c r="T56" s="963"/>
      <c r="U56" s="963"/>
      <c r="V56" s="963"/>
      <c r="W56" s="963"/>
      <c r="X56" s="963"/>
      <c r="Y56" s="963"/>
      <c r="Z56" s="963"/>
      <c r="AA56" s="963"/>
      <c r="AB56" s="964"/>
      <c r="AC56" s="868"/>
      <c r="AD56" s="575"/>
      <c r="AE56" s="576"/>
      <c r="AF56" s="576"/>
      <c r="AG56" s="576"/>
      <c r="AH56" s="576"/>
      <c r="AI56" s="576"/>
      <c r="AJ56" s="576"/>
      <c r="AK56" s="576"/>
      <c r="AL56" s="576"/>
      <c r="AM56" s="576"/>
      <c r="AN56" s="576"/>
      <c r="AO56" s="576"/>
      <c r="AP56" s="576"/>
      <c r="AQ56" s="576"/>
      <c r="AR56" s="576"/>
      <c r="AS56" s="576"/>
      <c r="AT56" s="576"/>
      <c r="AU56" s="576"/>
      <c r="AV56" s="576"/>
      <c r="AW56" s="576"/>
      <c r="AX56" s="576"/>
      <c r="AY56" s="576"/>
      <c r="AZ56" s="576"/>
      <c r="BA56" s="576"/>
    </row>
    <row r="57" spans="1:53" ht="33" customHeight="1" x14ac:dyDescent="0.2">
      <c r="A57" s="598"/>
      <c r="B57" s="598"/>
      <c r="C57" s="598"/>
      <c r="D57" s="598"/>
      <c r="E57" s="599"/>
      <c r="F57" s="598"/>
      <c r="G57" s="598"/>
      <c r="H57" s="598"/>
      <c r="I57" s="598"/>
      <c r="J57" s="598"/>
      <c r="K57" s="598"/>
      <c r="L57" s="598"/>
      <c r="M57" s="598"/>
      <c r="N57" s="598"/>
      <c r="O57" s="598"/>
      <c r="P57" s="598"/>
      <c r="Q57" s="598"/>
      <c r="R57" s="598"/>
      <c r="S57" s="598"/>
      <c r="T57" s="598"/>
      <c r="U57" s="598"/>
      <c r="V57" s="598"/>
      <c r="W57" s="598"/>
      <c r="X57" s="598"/>
      <c r="Y57" s="598"/>
      <c r="Z57" s="598"/>
      <c r="AA57" s="723"/>
      <c r="AB57" s="598"/>
      <c r="AC57" s="598"/>
      <c r="AD57" s="600"/>
    </row>
    <row r="58" spans="1:53" x14ac:dyDescent="0.2">
      <c r="H58" s="549"/>
    </row>
    <row r="59" spans="1:53" x14ac:dyDescent="0.2">
      <c r="H59" s="549"/>
    </row>
    <row r="60" spans="1:53" x14ac:dyDescent="0.2">
      <c r="H60" s="549"/>
    </row>
  </sheetData>
  <mergeCells count="61">
    <mergeCell ref="Q12:Q13"/>
    <mergeCell ref="P12:P13"/>
    <mergeCell ref="O12:O13"/>
    <mergeCell ref="V12:V13"/>
    <mergeCell ref="U12:U13"/>
    <mergeCell ref="T12:T13"/>
    <mergeCell ref="S12:S13"/>
    <mergeCell ref="R12:R13"/>
    <mergeCell ref="AA12:AA13"/>
    <mergeCell ref="Z12:Z13"/>
    <mergeCell ref="Y12:Y13"/>
    <mergeCell ref="X12:X13"/>
    <mergeCell ref="W12:W13"/>
    <mergeCell ref="K12:K13"/>
    <mergeCell ref="J12:J13"/>
    <mergeCell ref="A56:AB56"/>
    <mergeCell ref="B47:B51"/>
    <mergeCell ref="B16:B25"/>
    <mergeCell ref="B27:B32"/>
    <mergeCell ref="B39:B41"/>
    <mergeCell ref="B42:B45"/>
    <mergeCell ref="A35:AB35"/>
    <mergeCell ref="B37:C37"/>
    <mergeCell ref="D37:D38"/>
    <mergeCell ref="E37:E38"/>
    <mergeCell ref="F37:F38"/>
    <mergeCell ref="G37:G38"/>
    <mergeCell ref="I37:I38"/>
    <mergeCell ref="J37:J38"/>
    <mergeCell ref="N37:N38"/>
    <mergeCell ref="O37:O38"/>
    <mergeCell ref="D12:D13"/>
    <mergeCell ref="B12:C12"/>
    <mergeCell ref="D10:H10"/>
    <mergeCell ref="B10:C10"/>
    <mergeCell ref="H37:H38"/>
    <mergeCell ref="B14:B15"/>
    <mergeCell ref="I12:I13"/>
    <mergeCell ref="H12:H13"/>
    <mergeCell ref="G12:G13"/>
    <mergeCell ref="F12:F13"/>
    <mergeCell ref="E12:E13"/>
    <mergeCell ref="N12:N13"/>
    <mergeCell ref="M12:M13"/>
    <mergeCell ref="L12:L13"/>
    <mergeCell ref="B52:B55"/>
    <mergeCell ref="Z37:Z38"/>
    <mergeCell ref="AA37:AA38"/>
    <mergeCell ref="U37:U38"/>
    <mergeCell ref="V37:V38"/>
    <mergeCell ref="W37:W38"/>
    <mergeCell ref="X37:X38"/>
    <mergeCell ref="Y37:Y38"/>
    <mergeCell ref="P37:P38"/>
    <mergeCell ref="Q37:Q38"/>
    <mergeCell ref="R37:R38"/>
    <mergeCell ref="S37:S38"/>
    <mergeCell ref="T37:T38"/>
    <mergeCell ref="K37:K38"/>
    <mergeCell ref="L37:L38"/>
    <mergeCell ref="M37:M38"/>
  </mergeCells>
  <conditionalFormatting sqref="D14:Y14">
    <cfRule type="colorScale" priority="137">
      <colorScale>
        <cfvo type="min"/>
        <cfvo type="max"/>
        <color theme="4" tint="0.79998168889431442"/>
        <color theme="4" tint="0.39997558519241921"/>
      </colorScale>
    </cfRule>
  </conditionalFormatting>
  <conditionalFormatting sqref="D15:Y15">
    <cfRule type="colorScale" priority="131">
      <colorScale>
        <cfvo type="min"/>
        <cfvo type="max"/>
        <color theme="4" tint="0.79998168889431442"/>
        <color theme="4" tint="0.39997558519241921"/>
      </colorScale>
    </cfRule>
  </conditionalFormatting>
  <conditionalFormatting sqref="D26:Y26">
    <cfRule type="colorScale" priority="125">
      <colorScale>
        <cfvo type="min"/>
        <cfvo type="max"/>
        <color theme="4" tint="0.79998168889431442"/>
        <color theme="4" tint="0.39997558519241921"/>
      </colorScale>
    </cfRule>
  </conditionalFormatting>
  <conditionalFormatting sqref="D27:Y27">
    <cfRule type="colorScale" priority="124">
      <colorScale>
        <cfvo type="min"/>
        <cfvo type="max"/>
        <color theme="4" tint="0.79998168889431442"/>
        <color theme="4" tint="0.39997558519241921"/>
      </colorScale>
    </cfRule>
  </conditionalFormatting>
  <conditionalFormatting sqref="D28:Y32">
    <cfRule type="colorScale" priority="123">
      <colorScale>
        <cfvo type="min"/>
        <cfvo type="max"/>
        <color theme="4" tint="0.79998168889431442"/>
        <color theme="4" tint="0.39997558519241921"/>
      </colorScale>
    </cfRule>
  </conditionalFormatting>
  <conditionalFormatting sqref="D29:Y29">
    <cfRule type="colorScale" priority="122">
      <colorScale>
        <cfvo type="min"/>
        <cfvo type="max"/>
        <color theme="4" tint="0.79998168889431442"/>
        <color theme="4" tint="0.39997558519241921"/>
      </colorScale>
    </cfRule>
  </conditionalFormatting>
  <conditionalFormatting sqref="D30:Y30">
    <cfRule type="colorScale" priority="121">
      <colorScale>
        <cfvo type="min"/>
        <cfvo type="max"/>
        <color theme="4" tint="0.79998168889431442"/>
        <color theme="4" tint="0.39997558519241921"/>
      </colorScale>
    </cfRule>
  </conditionalFormatting>
  <conditionalFormatting sqref="D31:Y31">
    <cfRule type="colorScale" priority="120">
      <colorScale>
        <cfvo type="min"/>
        <cfvo type="max"/>
        <color theme="4" tint="0.79998168889431442"/>
        <color theme="4" tint="0.39997558519241921"/>
      </colorScale>
    </cfRule>
  </conditionalFormatting>
  <conditionalFormatting sqref="D32:Y32">
    <cfRule type="colorScale" priority="119">
      <colorScale>
        <cfvo type="min"/>
        <cfvo type="max"/>
        <color theme="4" tint="0.79998168889431442"/>
        <color theme="4" tint="0.39997558519241921"/>
      </colorScale>
    </cfRule>
  </conditionalFormatting>
  <conditionalFormatting sqref="D33:Y33">
    <cfRule type="colorScale" priority="116">
      <colorScale>
        <cfvo type="min"/>
        <cfvo type="max"/>
        <color theme="4" tint="0.79998168889431442"/>
        <color theme="4" tint="0.39997558519241921"/>
      </colorScale>
    </cfRule>
  </conditionalFormatting>
  <conditionalFormatting sqref="D34:Y34">
    <cfRule type="colorScale" priority="115">
      <colorScale>
        <cfvo type="min"/>
        <cfvo type="max"/>
        <color theme="4" tint="0.79998168889431442"/>
        <color theme="4" tint="0.39997558519241921"/>
      </colorScale>
    </cfRule>
  </conditionalFormatting>
  <conditionalFormatting sqref="D39:Y39">
    <cfRule type="colorScale" priority="114">
      <colorScale>
        <cfvo type="min"/>
        <cfvo type="max"/>
        <color theme="4" tint="0.79998168889431442"/>
        <color theme="4" tint="0.39997558519241921"/>
      </colorScale>
    </cfRule>
  </conditionalFormatting>
  <conditionalFormatting sqref="D41:Y41">
    <cfRule type="colorScale" priority="113">
      <colorScale>
        <cfvo type="min"/>
        <cfvo type="max"/>
        <color theme="4" tint="0.79998168889431442"/>
        <color theme="4" tint="0.39997558519241921"/>
      </colorScale>
    </cfRule>
  </conditionalFormatting>
  <conditionalFormatting sqref="D42:Y42">
    <cfRule type="colorScale" priority="112">
      <colorScale>
        <cfvo type="min"/>
        <cfvo type="max"/>
        <color theme="4" tint="0.79998168889431442"/>
        <color theme="4" tint="0.39997558519241921"/>
      </colorScale>
    </cfRule>
  </conditionalFormatting>
  <conditionalFormatting sqref="D43:Y43">
    <cfRule type="colorScale" priority="111">
      <colorScale>
        <cfvo type="min"/>
        <cfvo type="max"/>
        <color theme="4" tint="0.79998168889431442"/>
        <color theme="4" tint="0.39997558519241921"/>
      </colorScale>
    </cfRule>
  </conditionalFormatting>
  <conditionalFormatting sqref="D44:Y44">
    <cfRule type="colorScale" priority="110">
      <colorScale>
        <cfvo type="min"/>
        <cfvo type="max"/>
        <color theme="4" tint="0.79998168889431442"/>
        <color theme="4" tint="0.39997558519241921"/>
      </colorScale>
    </cfRule>
  </conditionalFormatting>
  <conditionalFormatting sqref="D45:Y45">
    <cfRule type="colorScale" priority="109">
      <colorScale>
        <cfvo type="min"/>
        <cfvo type="max"/>
        <color theme="4" tint="0.79998168889431442"/>
        <color theme="4" tint="0.39997558519241921"/>
      </colorScale>
    </cfRule>
  </conditionalFormatting>
  <conditionalFormatting sqref="D46:Y46">
    <cfRule type="colorScale" priority="107">
      <colorScale>
        <cfvo type="min"/>
        <cfvo type="max"/>
        <color theme="4" tint="0.79998168889431442"/>
        <color theme="4" tint="0.39997558519241921"/>
      </colorScale>
    </cfRule>
  </conditionalFormatting>
  <conditionalFormatting sqref="D47:Y47">
    <cfRule type="colorScale" priority="106">
      <colorScale>
        <cfvo type="min"/>
        <cfvo type="max"/>
        <color theme="4" tint="0.79998168889431442"/>
        <color theme="4" tint="0.39997558519241921"/>
      </colorScale>
    </cfRule>
  </conditionalFormatting>
  <conditionalFormatting sqref="D48:Y48">
    <cfRule type="colorScale" priority="105">
      <colorScale>
        <cfvo type="min"/>
        <cfvo type="max"/>
        <color theme="4" tint="0.79998168889431442"/>
        <color theme="4" tint="0.39997558519241921"/>
      </colorScale>
    </cfRule>
  </conditionalFormatting>
  <conditionalFormatting sqref="D49:Y49">
    <cfRule type="colorScale" priority="104">
      <colorScale>
        <cfvo type="min"/>
        <cfvo type="max"/>
        <color theme="4" tint="0.79998168889431442"/>
        <color theme="4" tint="0.39997558519241921"/>
      </colorScale>
    </cfRule>
  </conditionalFormatting>
  <conditionalFormatting sqref="D52:Y52">
    <cfRule type="colorScale" priority="102">
      <colorScale>
        <cfvo type="min"/>
        <cfvo type="max"/>
        <color theme="4" tint="0.79998168889431442"/>
        <color theme="4" tint="0.39997558519241921"/>
      </colorScale>
    </cfRule>
  </conditionalFormatting>
  <conditionalFormatting sqref="D53:Y53">
    <cfRule type="colorScale" priority="100">
      <colorScale>
        <cfvo type="min"/>
        <cfvo type="max"/>
        <color theme="4" tint="0.79998168889431442"/>
        <color theme="4" tint="0.39997558519241921"/>
      </colorScale>
    </cfRule>
  </conditionalFormatting>
  <conditionalFormatting sqref="D54:Y54">
    <cfRule type="colorScale" priority="98">
      <colorScale>
        <cfvo type="min"/>
        <cfvo type="max"/>
        <color theme="4" tint="0.79998168889431442"/>
        <color theme="4" tint="0.39997558519241921"/>
      </colorScale>
    </cfRule>
  </conditionalFormatting>
  <conditionalFormatting sqref="D40:Y40">
    <cfRule type="colorScale" priority="91">
      <colorScale>
        <cfvo type="min"/>
        <cfvo type="max"/>
        <color theme="4" tint="0.79998168889431442"/>
        <color theme="4" tint="0.39997558519241921"/>
      </colorScale>
    </cfRule>
  </conditionalFormatting>
  <conditionalFormatting sqref="D55:Y55">
    <cfRule type="colorScale" priority="90">
      <colorScale>
        <cfvo type="min"/>
        <cfvo type="max"/>
        <color theme="4" tint="0.79998168889431442"/>
        <color theme="4" tint="0.39997558519241921"/>
      </colorScale>
    </cfRule>
  </conditionalFormatting>
  <conditionalFormatting sqref="D12:AA12">
    <cfRule type="expression" dxfId="283" priority="1129">
      <formula>D12=$D$10</formula>
    </cfRule>
  </conditionalFormatting>
  <conditionalFormatting sqref="Z16:AA25 D12:AA15 D26:AA34 D39:AA55">
    <cfRule type="expression" dxfId="282" priority="1131">
      <formula>D$12=$D$10</formula>
    </cfRule>
  </conditionalFormatting>
  <conditionalFormatting sqref="D37:AA37">
    <cfRule type="expression" dxfId="281" priority="79">
      <formula>D37=$D$10</formula>
    </cfRule>
  </conditionalFormatting>
  <conditionalFormatting sqref="D37:AA38">
    <cfRule type="expression" dxfId="280" priority="80">
      <formula>D$12=$D$10</formula>
    </cfRule>
  </conditionalFormatting>
  <conditionalFormatting sqref="D36:Y36">
    <cfRule type="colorScale" priority="1132">
      <colorScale>
        <cfvo type="min"/>
        <cfvo type="max"/>
        <color theme="4" tint="0.79998168889431442"/>
        <color theme="4" tint="0.39997558519241921"/>
      </colorScale>
    </cfRule>
  </conditionalFormatting>
  <conditionalFormatting sqref="D16:Y16">
    <cfRule type="colorScale" priority="19">
      <colorScale>
        <cfvo type="min"/>
        <cfvo type="max"/>
        <color theme="4" tint="0.79998168889431442"/>
        <color theme="4" tint="0.39997558519241921"/>
      </colorScale>
    </cfRule>
  </conditionalFormatting>
  <conditionalFormatting sqref="D16:Y16">
    <cfRule type="expression" dxfId="279" priority="20">
      <formula>D$12=$D$10</formula>
    </cfRule>
  </conditionalFormatting>
  <conditionalFormatting sqref="D17:Y17">
    <cfRule type="colorScale" priority="17">
      <colorScale>
        <cfvo type="min"/>
        <cfvo type="max"/>
        <color theme="4" tint="0.79998168889431442"/>
        <color theme="4" tint="0.39997558519241921"/>
      </colorScale>
    </cfRule>
  </conditionalFormatting>
  <conditionalFormatting sqref="D17:Y17">
    <cfRule type="expression" dxfId="278" priority="18">
      <formula>D$12=$D$10</formula>
    </cfRule>
  </conditionalFormatting>
  <conditionalFormatting sqref="D18:Y18">
    <cfRule type="colorScale" priority="15">
      <colorScale>
        <cfvo type="min"/>
        <cfvo type="max"/>
        <color theme="4" tint="0.79998168889431442"/>
        <color theme="4" tint="0.39997558519241921"/>
      </colorScale>
    </cfRule>
  </conditionalFormatting>
  <conditionalFormatting sqref="D18:Y18">
    <cfRule type="expression" dxfId="277" priority="16">
      <formula>D$12=$D$10</formula>
    </cfRule>
  </conditionalFormatting>
  <conditionalFormatting sqref="D19:Y19">
    <cfRule type="colorScale" priority="13">
      <colorScale>
        <cfvo type="min"/>
        <cfvo type="max"/>
        <color theme="4" tint="0.79998168889431442"/>
        <color theme="4" tint="0.39997558519241921"/>
      </colorScale>
    </cfRule>
  </conditionalFormatting>
  <conditionalFormatting sqref="D19:Y19">
    <cfRule type="expression" dxfId="276" priority="14">
      <formula>D$12=$D$10</formula>
    </cfRule>
  </conditionalFormatting>
  <conditionalFormatting sqref="D20:Y20">
    <cfRule type="colorScale" priority="11">
      <colorScale>
        <cfvo type="min"/>
        <cfvo type="max"/>
        <color theme="4" tint="0.79998168889431442"/>
        <color theme="4" tint="0.39997558519241921"/>
      </colorScale>
    </cfRule>
  </conditionalFormatting>
  <conditionalFormatting sqref="D20:Y20">
    <cfRule type="expression" dxfId="275" priority="12">
      <formula>D$12=$D$10</formula>
    </cfRule>
  </conditionalFormatting>
  <conditionalFormatting sqref="D21:Y21">
    <cfRule type="colorScale" priority="9">
      <colorScale>
        <cfvo type="min"/>
        <cfvo type="max"/>
        <color theme="4" tint="0.79998168889431442"/>
        <color theme="4" tint="0.39997558519241921"/>
      </colorScale>
    </cfRule>
  </conditionalFormatting>
  <conditionalFormatting sqref="D21:Y21">
    <cfRule type="expression" dxfId="274" priority="10">
      <formula>D$12=$D$10</formula>
    </cfRule>
  </conditionalFormatting>
  <conditionalFormatting sqref="D22:Y22">
    <cfRule type="colorScale" priority="7">
      <colorScale>
        <cfvo type="min"/>
        <cfvo type="max"/>
        <color theme="4" tint="0.79998168889431442"/>
        <color theme="4" tint="0.39997558519241921"/>
      </colorScale>
    </cfRule>
  </conditionalFormatting>
  <conditionalFormatting sqref="D22:Y22">
    <cfRule type="expression" dxfId="273" priority="8">
      <formula>D$12=$D$10</formula>
    </cfRule>
  </conditionalFormatting>
  <conditionalFormatting sqref="D23:Y23">
    <cfRule type="colorScale" priority="5">
      <colorScale>
        <cfvo type="min"/>
        <cfvo type="max"/>
        <color theme="4" tint="0.79998168889431442"/>
        <color theme="4" tint="0.39997558519241921"/>
      </colorScale>
    </cfRule>
  </conditionalFormatting>
  <conditionalFormatting sqref="D23:Y23">
    <cfRule type="expression" dxfId="272" priority="6">
      <formula>D$12=$D$10</formula>
    </cfRule>
  </conditionalFormatting>
  <conditionalFormatting sqref="D24:Y24">
    <cfRule type="colorScale" priority="3">
      <colorScale>
        <cfvo type="min"/>
        <cfvo type="max"/>
        <color theme="4" tint="0.79998168889431442"/>
        <color theme="4" tint="0.39997558519241921"/>
      </colorScale>
    </cfRule>
  </conditionalFormatting>
  <conditionalFormatting sqref="D24:Y24">
    <cfRule type="expression" dxfId="271" priority="4">
      <formula>D$12=$D$10</formula>
    </cfRule>
  </conditionalFormatting>
  <conditionalFormatting sqref="D25:Y25">
    <cfRule type="colorScale" priority="1">
      <colorScale>
        <cfvo type="min"/>
        <cfvo type="max"/>
        <color theme="4" tint="0.79998168889431442"/>
        <color theme="4" tint="0.39997558519241921"/>
      </colorScale>
    </cfRule>
  </conditionalFormatting>
  <conditionalFormatting sqref="D25:Y25">
    <cfRule type="expression" dxfId="270" priority="2">
      <formula>D$12=$D$10</formula>
    </cfRule>
  </conditionalFormatting>
  <conditionalFormatting sqref="D50:Y51">
    <cfRule type="colorScale" priority="1133">
      <colorScale>
        <cfvo type="min"/>
        <cfvo type="max"/>
        <color theme="4" tint="0.79998168889431442"/>
        <color theme="4" tint="0.39997558519241921"/>
      </colorScale>
    </cfRule>
  </conditionalFormatting>
  <dataValidations count="1">
    <dataValidation type="list" allowBlank="1" showInputMessage="1" showErrorMessage="1" sqref="D10">
      <formula1>$AE$12:$BA$12</formula1>
    </dataValidation>
  </dataValidations>
  <hyperlinks>
    <hyperlink ref="B14:B15" location="Referrals!A1" display="Referrals"/>
    <hyperlink ref="B16:B25" location="Referral_Source!A1" display="Referral Source (rate per 10,000)"/>
    <hyperlink ref="B26" location="'Re-referrals'!A1" display="Re-Referrals"/>
    <hyperlink ref="B27:B32" location="Assessments!A1" display="Assessments"/>
    <hyperlink ref="B33" location="'Children in Need'!A1" display="CIN"/>
    <hyperlink ref="B34" location="'Section 47 Enquiries'!A1" display="Section 47 Enquiries"/>
    <hyperlink ref="B39:B41" location="'Initial CP Conferences'!A1" display="Initial CP conferences"/>
    <hyperlink ref="B42:B45" location="'Child Protection Plans'!A1" display="Child Protection Plans"/>
    <hyperlink ref="B46" location="'Court Applications'!A1" display="Court Applications"/>
    <hyperlink ref="B47:B51" location="'Looked After Children'!A1" display="Looked after children"/>
    <hyperlink ref="B52:B53" location="Adoption!A1" display="Adoption"/>
    <hyperlink ref="B52:B55" location="Adoption!A1" display="Permanence"/>
  </hyperlinks>
  <printOptions horizontalCentered="1" verticalCentered="1"/>
  <pageMargins left="0.55118110236220474" right="0.55118110236220474" top="0.55118110236220474" bottom="0.55118110236220474" header="0.51181102362204722" footer="0.74803149606299213"/>
  <pageSetup paperSize="9" scale="74" fitToHeight="0" orientation="landscape" r:id="rId1"/>
  <headerFooter scaleWithDoc="0" alignWithMargins="0"/>
  <rowBreaks count="1" manualBreakCount="1">
    <brk id="35" max="28" man="1"/>
  </rowBreaks>
  <colBreaks count="1" manualBreakCount="1">
    <brk id="25" max="67"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N403"/>
  <sheetViews>
    <sheetView showRowColHeaders="0" workbookViewId="0"/>
  </sheetViews>
  <sheetFormatPr defaultColWidth="9.140625" defaultRowHeight="11.25" customHeight="1" x14ac:dyDescent="0.2"/>
  <cols>
    <col min="1" max="1" width="2.140625" style="81" customWidth="1"/>
    <col min="2" max="2" width="11.42578125" style="81" customWidth="1"/>
    <col min="3" max="3" width="18.85546875" style="81" bestFit="1" customWidth="1"/>
    <col min="4" max="4" width="14.5703125" style="81" customWidth="1"/>
    <col min="5" max="5" width="10.140625" style="81" customWidth="1"/>
    <col min="6" max="27" width="3.5703125" style="81" customWidth="1"/>
    <col min="28" max="28" width="2.140625" style="81" customWidth="1"/>
    <col min="29" max="29" width="6.42578125" style="81" customWidth="1"/>
    <col min="30" max="30" width="12.140625" style="81" hidden="1" customWidth="1"/>
    <col min="31" max="31" width="9.140625" style="81" hidden="1" customWidth="1"/>
    <col min="32" max="32" width="12.140625" style="81" hidden="1" customWidth="1"/>
    <col min="33" max="36" width="9.140625" style="81" customWidth="1"/>
    <col min="37" max="16384" width="9.140625" style="81"/>
  </cols>
  <sheetData>
    <row r="1" spans="1:40" s="80" customFormat="1" ht="18.75" customHeight="1" x14ac:dyDescent="0.2">
      <c r="A1" s="129"/>
      <c r="B1" s="250"/>
      <c r="C1" s="250"/>
      <c r="D1" s="250"/>
      <c r="E1" s="250"/>
      <c r="F1" s="250"/>
      <c r="G1" s="250"/>
      <c r="H1" s="250"/>
      <c r="I1" s="250"/>
      <c r="J1" s="250"/>
      <c r="K1" s="251"/>
      <c r="L1" s="250"/>
      <c r="M1" s="250"/>
      <c r="N1" s="250"/>
      <c r="O1" s="250"/>
      <c r="P1" s="250"/>
      <c r="Q1" s="250"/>
      <c r="R1" s="250"/>
      <c r="S1" s="250"/>
      <c r="T1" s="250"/>
      <c r="U1" s="250"/>
      <c r="V1" s="250"/>
      <c r="W1" s="250"/>
      <c r="X1" s="250"/>
      <c r="Y1" s="250"/>
      <c r="Z1" s="300"/>
      <c r="AA1" s="300"/>
      <c r="AB1" s="252"/>
      <c r="AC1" s="306"/>
      <c r="AD1" s="206"/>
      <c r="AE1" s="206"/>
      <c r="AF1" s="206"/>
      <c r="AG1" s="206"/>
      <c r="AH1" s="206"/>
      <c r="AI1" s="206"/>
      <c r="AJ1" s="206"/>
      <c r="AK1" s="206"/>
      <c r="AL1" s="210"/>
      <c r="AM1" s="210"/>
      <c r="AN1" s="210"/>
    </row>
    <row r="2" spans="1:40" s="80" customFormat="1" ht="18.75" customHeight="1" x14ac:dyDescent="0.2">
      <c r="A2" s="135"/>
      <c r="B2" s="301" t="s">
        <v>115</v>
      </c>
      <c r="C2" s="58"/>
      <c r="D2" s="58"/>
      <c r="E2" s="58"/>
      <c r="F2" s="58"/>
      <c r="G2" s="58"/>
      <c r="H2" s="58"/>
      <c r="I2" s="58"/>
      <c r="J2" s="58"/>
      <c r="K2" s="67"/>
      <c r="L2" s="58"/>
      <c r="M2" s="58"/>
      <c r="N2" s="58"/>
      <c r="O2" s="58"/>
      <c r="P2" s="58"/>
      <c r="Q2" s="58"/>
      <c r="R2" s="58"/>
      <c r="S2" s="58"/>
      <c r="T2" s="58"/>
      <c r="U2" s="58"/>
      <c r="V2" s="58"/>
      <c r="W2" s="58"/>
      <c r="X2" s="58"/>
      <c r="Y2" s="58"/>
      <c r="Z2" s="65"/>
      <c r="AA2" s="65"/>
      <c r="AB2" s="273"/>
      <c r="AC2" s="179"/>
      <c r="AD2" s="88"/>
      <c r="AE2" s="83" t="str">
        <f>Home!$D$10</f>
        <v>(none)</v>
      </c>
      <c r="AF2" s="88"/>
      <c r="AG2" s="88"/>
      <c r="AH2" s="88"/>
      <c r="AI2" s="88"/>
      <c r="AJ2" s="88"/>
      <c r="AK2" s="88"/>
      <c r="AL2" s="210"/>
      <c r="AM2" s="210"/>
      <c r="AN2" s="210"/>
    </row>
    <row r="3" spans="1:40" s="80" customFormat="1" ht="18.75" customHeight="1" x14ac:dyDescent="0.2">
      <c r="A3" s="297"/>
      <c r="B3" s="302"/>
      <c r="C3" s="302"/>
      <c r="D3" s="318"/>
      <c r="E3" s="302"/>
      <c r="F3" s="302"/>
      <c r="G3" s="302"/>
      <c r="H3" s="302"/>
      <c r="I3" s="302"/>
      <c r="J3" s="302"/>
      <c r="K3" s="303"/>
      <c r="L3" s="302"/>
      <c r="M3" s="302"/>
      <c r="N3" s="302"/>
      <c r="O3" s="302"/>
      <c r="P3" s="302"/>
      <c r="Q3" s="302"/>
      <c r="R3" s="302"/>
      <c r="S3" s="302"/>
      <c r="T3" s="302"/>
      <c r="U3" s="302"/>
      <c r="V3" s="302"/>
      <c r="W3" s="318"/>
      <c r="X3" s="302"/>
      <c r="Y3" s="302"/>
      <c r="Z3" s="304"/>
      <c r="AA3" s="304"/>
      <c r="AB3" s="305"/>
      <c r="AC3" s="179"/>
      <c r="AD3" s="88"/>
      <c r="AE3" s="88"/>
      <c r="AF3" s="88"/>
      <c r="AG3" s="88"/>
      <c r="AH3" s="88"/>
      <c r="AI3" s="88"/>
      <c r="AJ3" s="88"/>
      <c r="AK3" s="88"/>
      <c r="AL3" s="210"/>
      <c r="AM3" s="210"/>
      <c r="AN3" s="210"/>
    </row>
    <row r="4" spans="1:40" ht="11.25" customHeight="1" x14ac:dyDescent="0.2">
      <c r="A4" s="266"/>
      <c r="B4" s="267"/>
      <c r="C4" s="267"/>
      <c r="D4" s="267"/>
      <c r="E4" s="267"/>
      <c r="F4" s="267"/>
      <c r="G4" s="267"/>
      <c r="H4" s="267"/>
      <c r="I4" s="267"/>
      <c r="J4" s="267"/>
      <c r="K4" s="267"/>
      <c r="L4" s="267"/>
      <c r="M4" s="267"/>
      <c r="N4" s="267"/>
      <c r="O4" s="267"/>
      <c r="P4" s="267"/>
      <c r="Q4" s="267"/>
      <c r="R4" s="267"/>
      <c r="S4" s="267"/>
      <c r="T4" s="267"/>
      <c r="U4" s="267"/>
      <c r="V4" s="267"/>
      <c r="W4" s="267"/>
      <c r="X4" s="267"/>
      <c r="Y4" s="267"/>
      <c r="Z4" s="267"/>
      <c r="AA4" s="267"/>
      <c r="AB4" s="287"/>
      <c r="AC4" s="264"/>
    </row>
    <row r="5" spans="1:40" s="85" customFormat="1" ht="15" x14ac:dyDescent="0.2">
      <c r="A5" s="269"/>
      <c r="B5" s="60" t="s">
        <v>81</v>
      </c>
      <c r="C5" s="61"/>
      <c r="D5" s="61"/>
      <c r="E5" s="61"/>
      <c r="F5" s="61"/>
      <c r="G5" s="61"/>
      <c r="H5" s="61"/>
      <c r="I5" s="61"/>
      <c r="J5" s="61"/>
      <c r="K5" s="61"/>
      <c r="L5" s="61"/>
      <c r="M5" s="61"/>
      <c r="N5" s="61"/>
      <c r="O5" s="61"/>
      <c r="P5" s="61"/>
      <c r="Q5" s="61"/>
      <c r="R5" s="61"/>
      <c r="S5" s="61"/>
      <c r="T5" s="61"/>
      <c r="U5" s="61"/>
      <c r="V5" s="61"/>
      <c r="W5" s="61"/>
      <c r="X5" s="61"/>
      <c r="Y5" s="61"/>
      <c r="Z5" s="61"/>
      <c r="AA5" s="61"/>
      <c r="AB5" s="288"/>
      <c r="AC5" s="307"/>
    </row>
    <row r="6" spans="1:40" ht="20.25" customHeight="1" x14ac:dyDescent="0.2">
      <c r="A6" s="268"/>
      <c r="B6" s="993" t="s">
        <v>100</v>
      </c>
      <c r="C6" s="994"/>
      <c r="D6" s="994"/>
      <c r="E6" s="994"/>
      <c r="F6" s="994"/>
      <c r="G6" s="994"/>
      <c r="H6" s="994"/>
      <c r="I6" s="994"/>
      <c r="J6" s="994"/>
      <c r="K6" s="994"/>
      <c r="L6" s="994"/>
      <c r="M6" s="994"/>
      <c r="N6" s="994"/>
      <c r="O6" s="994"/>
      <c r="P6" s="994"/>
      <c r="Q6" s="994"/>
      <c r="R6" s="994"/>
      <c r="S6" s="994"/>
      <c r="T6" s="994"/>
      <c r="U6" s="994"/>
      <c r="V6" s="994"/>
      <c r="W6" s="994"/>
      <c r="X6" s="994"/>
      <c r="Y6" s="994"/>
      <c r="Z6" s="994"/>
      <c r="AA6" s="994"/>
      <c r="AB6" s="289"/>
      <c r="AC6" s="264"/>
    </row>
    <row r="7" spans="1:40" s="99" customFormat="1" ht="13.5" customHeight="1" x14ac:dyDescent="0.2">
      <c r="A7" s="270"/>
      <c r="B7" s="984" t="s">
        <v>83</v>
      </c>
      <c r="C7" s="987" t="s">
        <v>30</v>
      </c>
      <c r="D7" s="1002" t="s">
        <v>118</v>
      </c>
      <c r="E7" s="999" t="s">
        <v>119</v>
      </c>
      <c r="F7" s="981" t="s">
        <v>75</v>
      </c>
      <c r="G7" s="982"/>
      <c r="H7" s="982"/>
      <c r="I7" s="982"/>
      <c r="J7" s="982"/>
      <c r="K7" s="982"/>
      <c r="L7" s="982"/>
      <c r="M7" s="982"/>
      <c r="N7" s="982"/>
      <c r="O7" s="982"/>
      <c r="P7" s="982"/>
      <c r="Q7" s="982"/>
      <c r="R7" s="982"/>
      <c r="S7" s="982"/>
      <c r="T7" s="982"/>
      <c r="U7" s="982"/>
      <c r="V7" s="982"/>
      <c r="W7" s="982"/>
      <c r="X7" s="982"/>
      <c r="Y7" s="982"/>
      <c r="Z7" s="982"/>
      <c r="AA7" s="983"/>
      <c r="AB7" s="290"/>
      <c r="AC7" s="283"/>
    </row>
    <row r="8" spans="1:40" ht="57" customHeight="1" x14ac:dyDescent="0.2">
      <c r="A8" s="268"/>
      <c r="B8" s="985"/>
      <c r="C8" s="988"/>
      <c r="D8" s="1003"/>
      <c r="E8" s="1000"/>
      <c r="F8" s="997" t="s">
        <v>0</v>
      </c>
      <c r="G8" s="990" t="s">
        <v>32</v>
      </c>
      <c r="H8" s="990" t="s">
        <v>9</v>
      </c>
      <c r="I8" s="990" t="s">
        <v>4</v>
      </c>
      <c r="J8" s="990" t="s">
        <v>6</v>
      </c>
      <c r="K8" s="990" t="s">
        <v>1</v>
      </c>
      <c r="L8" s="990" t="s">
        <v>10</v>
      </c>
      <c r="M8" s="990" t="s">
        <v>2</v>
      </c>
      <c r="N8" s="990" t="s">
        <v>11</v>
      </c>
      <c r="O8" s="990" t="s">
        <v>12</v>
      </c>
      <c r="P8" s="990" t="s">
        <v>13</v>
      </c>
      <c r="Q8" s="990" t="s">
        <v>3</v>
      </c>
      <c r="R8" s="990" t="s">
        <v>14</v>
      </c>
      <c r="S8" s="990" t="s">
        <v>93</v>
      </c>
      <c r="T8" s="990" t="s">
        <v>15</v>
      </c>
      <c r="U8" s="990" t="s">
        <v>7</v>
      </c>
      <c r="V8" s="992" t="s">
        <v>116</v>
      </c>
      <c r="W8" s="992" t="s">
        <v>117</v>
      </c>
      <c r="X8" s="990" t="s">
        <v>16</v>
      </c>
      <c r="Y8" s="990" t="s">
        <v>5</v>
      </c>
      <c r="Z8" s="990" t="s">
        <v>31</v>
      </c>
      <c r="AA8" s="995" t="s">
        <v>17</v>
      </c>
      <c r="AB8" s="289"/>
      <c r="AC8" s="281"/>
    </row>
    <row r="9" spans="1:40" ht="11.25" customHeight="1" x14ac:dyDescent="0.2">
      <c r="A9" s="268"/>
      <c r="B9" s="986"/>
      <c r="C9" s="989"/>
      <c r="D9" s="1004"/>
      <c r="E9" s="1001"/>
      <c r="F9" s="998"/>
      <c r="G9" s="991"/>
      <c r="H9" s="991"/>
      <c r="I9" s="991"/>
      <c r="J9" s="991"/>
      <c r="K9" s="991"/>
      <c r="L9" s="991"/>
      <c r="M9" s="991"/>
      <c r="N9" s="991"/>
      <c r="O9" s="991"/>
      <c r="P9" s="991"/>
      <c r="Q9" s="991"/>
      <c r="R9" s="991"/>
      <c r="S9" s="991"/>
      <c r="T9" s="991"/>
      <c r="U9" s="991"/>
      <c r="V9" s="991"/>
      <c r="W9" s="991"/>
      <c r="X9" s="991"/>
      <c r="Y9" s="991"/>
      <c r="Z9" s="991"/>
      <c r="AA9" s="996"/>
      <c r="AB9" s="289"/>
      <c r="AC9" s="281"/>
    </row>
    <row r="10" spans="1:40" ht="13.5" customHeight="1" x14ac:dyDescent="0.2">
      <c r="A10" s="268"/>
      <c r="B10" s="827" t="s">
        <v>74</v>
      </c>
      <c r="C10" s="333" t="s">
        <v>0</v>
      </c>
      <c r="D10" s="480" t="s">
        <v>125</v>
      </c>
      <c r="E10" s="338" t="s">
        <v>126</v>
      </c>
      <c r="F10" s="331"/>
      <c r="G10" s="26"/>
      <c r="H10" s="27" t="s">
        <v>33</v>
      </c>
      <c r="I10" s="28"/>
      <c r="J10" s="27" t="s">
        <v>33</v>
      </c>
      <c r="K10" s="28"/>
      <c r="L10" s="28"/>
      <c r="M10" s="28"/>
      <c r="N10" s="28"/>
      <c r="O10" s="28"/>
      <c r="P10" s="28"/>
      <c r="Q10" s="28"/>
      <c r="R10" s="28"/>
      <c r="S10" s="28"/>
      <c r="T10" s="28"/>
      <c r="U10" s="27" t="s">
        <v>33</v>
      </c>
      <c r="V10" s="321"/>
      <c r="W10" s="321"/>
      <c r="X10" s="28"/>
      <c r="Y10" s="28"/>
      <c r="Z10" s="27" t="s">
        <v>33</v>
      </c>
      <c r="AA10" s="29"/>
      <c r="AB10" s="289"/>
      <c r="AC10" s="281"/>
    </row>
    <row r="11" spans="1:40" ht="13.5" customHeight="1" x14ac:dyDescent="0.2">
      <c r="A11" s="268"/>
      <c r="B11" s="827" t="s">
        <v>74</v>
      </c>
      <c r="C11" s="334" t="s">
        <v>32</v>
      </c>
      <c r="D11" s="480" t="s">
        <v>201</v>
      </c>
      <c r="E11" s="336"/>
      <c r="F11" s="331"/>
      <c r="G11" s="26"/>
      <c r="H11" s="28"/>
      <c r="I11" s="28"/>
      <c r="J11" s="28"/>
      <c r="K11" s="28"/>
      <c r="L11" s="28"/>
      <c r="M11" s="28"/>
      <c r="N11" s="28"/>
      <c r="O11" s="28"/>
      <c r="P11" s="27" t="s">
        <v>33</v>
      </c>
      <c r="Q11" s="27" t="s">
        <v>33</v>
      </c>
      <c r="R11" s="28"/>
      <c r="S11" s="28"/>
      <c r="T11" s="27" t="s">
        <v>33</v>
      </c>
      <c r="U11" s="28"/>
      <c r="V11" s="322"/>
      <c r="W11" s="322"/>
      <c r="X11" s="28"/>
      <c r="Y11" s="28"/>
      <c r="Z11" s="30"/>
      <c r="AA11" s="31"/>
      <c r="AB11" s="289"/>
      <c r="AC11" s="281"/>
    </row>
    <row r="12" spans="1:40" ht="13.5" customHeight="1" x14ac:dyDescent="0.2">
      <c r="A12" s="268"/>
      <c r="B12" s="827" t="s">
        <v>74</v>
      </c>
      <c r="C12" s="334" t="s">
        <v>9</v>
      </c>
      <c r="D12" s="480" t="s">
        <v>122</v>
      </c>
      <c r="E12" s="337" t="s">
        <v>121</v>
      </c>
      <c r="F12" s="332" t="s">
        <v>33</v>
      </c>
      <c r="G12" s="26"/>
      <c r="H12" s="28"/>
      <c r="I12" s="28"/>
      <c r="J12" s="27" t="s">
        <v>33</v>
      </c>
      <c r="K12" s="28"/>
      <c r="L12" s="28"/>
      <c r="M12" s="28"/>
      <c r="N12" s="28"/>
      <c r="O12" s="27" t="s">
        <v>33</v>
      </c>
      <c r="P12" s="28"/>
      <c r="Q12" s="28"/>
      <c r="R12" s="28"/>
      <c r="S12" s="28"/>
      <c r="T12" s="28"/>
      <c r="U12" s="27" t="s">
        <v>33</v>
      </c>
      <c r="V12" s="321"/>
      <c r="W12" s="321"/>
      <c r="X12" s="27" t="s">
        <v>33</v>
      </c>
      <c r="Y12" s="28"/>
      <c r="Z12" s="27" t="s">
        <v>33</v>
      </c>
      <c r="AA12" s="32" t="s">
        <v>33</v>
      </c>
      <c r="AB12" s="289"/>
      <c r="AC12" s="281"/>
    </row>
    <row r="13" spans="1:40" ht="13.5" customHeight="1" x14ac:dyDescent="0.2">
      <c r="A13" s="268"/>
      <c r="B13" s="827" t="s">
        <v>74</v>
      </c>
      <c r="C13" s="334" t="s">
        <v>4</v>
      </c>
      <c r="D13" s="480" t="s">
        <v>122</v>
      </c>
      <c r="E13" s="337" t="s">
        <v>121</v>
      </c>
      <c r="F13" s="331"/>
      <c r="G13" s="26"/>
      <c r="H13" s="28"/>
      <c r="I13" s="28"/>
      <c r="J13" s="28"/>
      <c r="K13" s="28"/>
      <c r="L13" s="27" t="s">
        <v>33</v>
      </c>
      <c r="M13" s="28"/>
      <c r="N13" s="28"/>
      <c r="O13" s="28"/>
      <c r="P13" s="28"/>
      <c r="Q13" s="28"/>
      <c r="R13" s="28"/>
      <c r="S13" s="28"/>
      <c r="T13" s="28"/>
      <c r="U13" s="28"/>
      <c r="V13" s="322"/>
      <c r="W13" s="322"/>
      <c r="X13" s="28"/>
      <c r="Y13" s="27" t="s">
        <v>33</v>
      </c>
      <c r="Z13" s="30"/>
      <c r="AA13" s="31"/>
      <c r="AB13" s="289"/>
      <c r="AC13" s="281"/>
    </row>
    <row r="14" spans="1:40" ht="13.5" customHeight="1" x14ac:dyDescent="0.2">
      <c r="A14" s="268"/>
      <c r="B14" s="827" t="s">
        <v>74</v>
      </c>
      <c r="C14" s="334" t="s">
        <v>6</v>
      </c>
      <c r="D14" s="480" t="s">
        <v>124</v>
      </c>
      <c r="E14" s="336"/>
      <c r="F14" s="331"/>
      <c r="G14" s="26"/>
      <c r="H14" s="28"/>
      <c r="I14" s="28"/>
      <c r="J14" s="28"/>
      <c r="K14" s="28"/>
      <c r="L14" s="28"/>
      <c r="M14" s="28"/>
      <c r="N14" s="28"/>
      <c r="O14" s="28"/>
      <c r="P14" s="28"/>
      <c r="Q14" s="28"/>
      <c r="R14" s="28"/>
      <c r="S14" s="28"/>
      <c r="T14" s="28"/>
      <c r="U14" s="28"/>
      <c r="V14" s="322"/>
      <c r="W14" s="322"/>
      <c r="X14" s="27" t="s">
        <v>33</v>
      </c>
      <c r="Y14" s="27" t="s">
        <v>33</v>
      </c>
      <c r="Z14" s="30"/>
      <c r="AA14" s="31"/>
      <c r="AB14" s="289"/>
      <c r="AC14" s="281"/>
    </row>
    <row r="15" spans="1:40" ht="13.5" customHeight="1" x14ac:dyDescent="0.2">
      <c r="A15" s="268"/>
      <c r="B15" s="827" t="s">
        <v>74</v>
      </c>
      <c r="C15" s="334" t="s">
        <v>1</v>
      </c>
      <c r="D15" s="480" t="s">
        <v>202</v>
      </c>
      <c r="E15" s="336"/>
      <c r="F15" s="331"/>
      <c r="G15" s="26"/>
      <c r="H15" s="28"/>
      <c r="I15" s="27" t="s">
        <v>33</v>
      </c>
      <c r="J15" s="28"/>
      <c r="K15" s="28"/>
      <c r="L15" s="28"/>
      <c r="M15" s="28"/>
      <c r="N15" s="28"/>
      <c r="O15" s="28"/>
      <c r="P15" s="28"/>
      <c r="Q15" s="28"/>
      <c r="R15" s="28"/>
      <c r="S15" s="28"/>
      <c r="T15" s="28"/>
      <c r="U15" s="28"/>
      <c r="V15" s="322"/>
      <c r="W15" s="27" t="s">
        <v>33</v>
      </c>
      <c r="X15" s="28"/>
      <c r="Y15" s="28"/>
      <c r="Z15" s="30"/>
      <c r="AA15" s="31"/>
      <c r="AB15" s="289"/>
      <c r="AC15" s="281"/>
    </row>
    <row r="16" spans="1:40" ht="13.5" customHeight="1" x14ac:dyDescent="0.2">
      <c r="A16" s="268"/>
      <c r="B16" s="827" t="s">
        <v>74</v>
      </c>
      <c r="C16" s="334" t="s">
        <v>10</v>
      </c>
      <c r="D16" s="480" t="s">
        <v>122</v>
      </c>
      <c r="E16" s="337" t="s">
        <v>121</v>
      </c>
      <c r="F16" s="331"/>
      <c r="G16" s="26"/>
      <c r="H16" s="28"/>
      <c r="I16" s="27" t="s">
        <v>33</v>
      </c>
      <c r="J16" s="28"/>
      <c r="K16" s="28"/>
      <c r="L16" s="28"/>
      <c r="M16" s="28"/>
      <c r="N16" s="28"/>
      <c r="O16" s="28"/>
      <c r="P16" s="28"/>
      <c r="Q16" s="28"/>
      <c r="R16" s="28"/>
      <c r="S16" s="28"/>
      <c r="T16" s="28"/>
      <c r="U16" s="28"/>
      <c r="V16" s="27" t="s">
        <v>33</v>
      </c>
      <c r="W16" s="322"/>
      <c r="X16" s="28"/>
      <c r="Y16" s="27" t="s">
        <v>33</v>
      </c>
      <c r="Z16" s="30"/>
      <c r="AA16" s="31"/>
      <c r="AB16" s="289"/>
      <c r="AC16" s="281"/>
    </row>
    <row r="17" spans="1:29" ht="13.5" customHeight="1" x14ac:dyDescent="0.2">
      <c r="A17" s="268"/>
      <c r="B17" s="827" t="s">
        <v>74</v>
      </c>
      <c r="C17" s="334" t="s">
        <v>2</v>
      </c>
      <c r="D17" s="480" t="s">
        <v>125</v>
      </c>
      <c r="E17" s="337" t="s">
        <v>121</v>
      </c>
      <c r="F17" s="331"/>
      <c r="G17" s="26"/>
      <c r="H17" s="28"/>
      <c r="I17" s="28"/>
      <c r="J17" s="28"/>
      <c r="K17" s="28"/>
      <c r="L17" s="27" t="s">
        <v>33</v>
      </c>
      <c r="M17" s="28"/>
      <c r="N17" s="28"/>
      <c r="O17" s="28"/>
      <c r="P17" s="28"/>
      <c r="Q17" s="28"/>
      <c r="R17" s="28"/>
      <c r="S17" s="28"/>
      <c r="T17" s="28"/>
      <c r="U17" s="28"/>
      <c r="V17" s="27" t="s">
        <v>33</v>
      </c>
      <c r="W17" s="322"/>
      <c r="X17" s="28"/>
      <c r="Y17" s="28"/>
      <c r="Z17" s="30"/>
      <c r="AA17" s="31"/>
      <c r="AB17" s="289"/>
      <c r="AC17" s="281"/>
    </row>
    <row r="18" spans="1:29" ht="13.5" customHeight="1" x14ac:dyDescent="0.2">
      <c r="A18" s="268"/>
      <c r="B18" s="827" t="s">
        <v>74</v>
      </c>
      <c r="C18" s="334" t="s">
        <v>11</v>
      </c>
      <c r="D18" s="480" t="s">
        <v>122</v>
      </c>
      <c r="E18" s="336"/>
      <c r="F18" s="331"/>
      <c r="G18" s="26"/>
      <c r="H18" s="28"/>
      <c r="I18" s="28"/>
      <c r="J18" s="28"/>
      <c r="K18" s="28"/>
      <c r="L18" s="27" t="s">
        <v>33</v>
      </c>
      <c r="M18" s="28"/>
      <c r="N18" s="28"/>
      <c r="O18" s="28"/>
      <c r="P18" s="28"/>
      <c r="Q18" s="28"/>
      <c r="R18" s="28"/>
      <c r="S18" s="28"/>
      <c r="T18" s="28"/>
      <c r="U18" s="28"/>
      <c r="V18" s="27" t="s">
        <v>33</v>
      </c>
      <c r="W18" s="322"/>
      <c r="X18" s="28"/>
      <c r="Y18" s="28"/>
      <c r="Z18" s="30"/>
      <c r="AA18" s="31"/>
      <c r="AB18" s="289"/>
      <c r="AC18" s="281"/>
    </row>
    <row r="19" spans="1:29" ht="13.5" customHeight="1" x14ac:dyDescent="0.2">
      <c r="A19" s="268"/>
      <c r="B19" s="827" t="s">
        <v>74</v>
      </c>
      <c r="C19" s="334" t="s">
        <v>12</v>
      </c>
      <c r="D19" s="480" t="s">
        <v>203</v>
      </c>
      <c r="E19" s="336"/>
      <c r="F19" s="332" t="s">
        <v>33</v>
      </c>
      <c r="G19" s="26"/>
      <c r="H19" s="27" t="s">
        <v>33</v>
      </c>
      <c r="I19" s="28"/>
      <c r="J19" s="27" t="s">
        <v>33</v>
      </c>
      <c r="K19" s="28"/>
      <c r="L19" s="28"/>
      <c r="M19" s="28"/>
      <c r="N19" s="28"/>
      <c r="O19" s="28"/>
      <c r="P19" s="28"/>
      <c r="Q19" s="28"/>
      <c r="R19" s="28"/>
      <c r="S19" s="28"/>
      <c r="T19" s="28"/>
      <c r="U19" s="27" t="s">
        <v>33</v>
      </c>
      <c r="V19" s="321"/>
      <c r="W19" s="321"/>
      <c r="X19" s="27" t="s">
        <v>33</v>
      </c>
      <c r="Y19" s="28"/>
      <c r="Z19" s="30"/>
      <c r="AA19" s="31"/>
      <c r="AB19" s="289"/>
      <c r="AC19" s="281"/>
    </row>
    <row r="20" spans="1:29" ht="13.5" customHeight="1" x14ac:dyDescent="0.2">
      <c r="A20" s="268"/>
      <c r="B20" s="827" t="s">
        <v>74</v>
      </c>
      <c r="C20" s="334" t="s">
        <v>13</v>
      </c>
      <c r="D20" s="480"/>
      <c r="E20" s="336"/>
      <c r="F20" s="331"/>
      <c r="G20" s="26"/>
      <c r="H20" s="28"/>
      <c r="I20" s="28"/>
      <c r="J20" s="28"/>
      <c r="K20" s="28"/>
      <c r="L20" s="28"/>
      <c r="M20" s="28"/>
      <c r="N20" s="28"/>
      <c r="O20" s="28"/>
      <c r="P20" s="28"/>
      <c r="Q20" s="28"/>
      <c r="R20" s="28"/>
      <c r="S20" s="28"/>
      <c r="T20" s="27" t="s">
        <v>33</v>
      </c>
      <c r="U20" s="28"/>
      <c r="V20" s="322"/>
      <c r="W20" s="322"/>
      <c r="X20" s="28"/>
      <c r="Y20" s="28"/>
      <c r="Z20" s="30"/>
      <c r="AA20" s="31"/>
      <c r="AB20" s="289"/>
      <c r="AC20" s="281"/>
    </row>
    <row r="21" spans="1:29" ht="13.5" customHeight="1" x14ac:dyDescent="0.2">
      <c r="A21" s="268"/>
      <c r="B21" s="827" t="s">
        <v>74</v>
      </c>
      <c r="C21" s="334" t="s">
        <v>3</v>
      </c>
      <c r="D21" s="480"/>
      <c r="E21" s="336"/>
      <c r="F21" s="331"/>
      <c r="G21" s="27" t="s">
        <v>33</v>
      </c>
      <c r="H21" s="28"/>
      <c r="I21" s="28"/>
      <c r="J21" s="28"/>
      <c r="K21" s="28"/>
      <c r="L21" s="28"/>
      <c r="M21" s="28"/>
      <c r="N21" s="27" t="s">
        <v>33</v>
      </c>
      <c r="O21" s="28"/>
      <c r="P21" s="28"/>
      <c r="Q21" s="28"/>
      <c r="R21" s="28"/>
      <c r="S21" s="28"/>
      <c r="T21" s="28"/>
      <c r="U21" s="28"/>
      <c r="V21" s="322"/>
      <c r="W21" s="322"/>
      <c r="X21" s="28"/>
      <c r="Y21" s="28"/>
      <c r="Z21" s="30"/>
      <c r="AA21" s="33"/>
      <c r="AB21" s="289"/>
      <c r="AC21" s="281"/>
    </row>
    <row r="22" spans="1:29" ht="13.5" customHeight="1" x14ac:dyDescent="0.2">
      <c r="A22" s="268"/>
      <c r="B22" s="827" t="s">
        <v>74</v>
      </c>
      <c r="C22" s="334" t="s">
        <v>14</v>
      </c>
      <c r="D22" s="480"/>
      <c r="E22" s="336"/>
      <c r="F22" s="331"/>
      <c r="G22" s="26"/>
      <c r="H22" s="28"/>
      <c r="I22" s="28"/>
      <c r="J22" s="28"/>
      <c r="K22" s="28"/>
      <c r="L22" s="28"/>
      <c r="M22" s="28"/>
      <c r="N22" s="28"/>
      <c r="O22" s="28"/>
      <c r="P22" s="28"/>
      <c r="Q22" s="28"/>
      <c r="R22" s="28"/>
      <c r="S22" s="28"/>
      <c r="T22" s="28"/>
      <c r="U22" s="28"/>
      <c r="V22" s="322"/>
      <c r="W22" s="322"/>
      <c r="X22" s="28"/>
      <c r="Y22" s="28"/>
      <c r="Z22" s="30"/>
      <c r="AA22" s="33"/>
      <c r="AB22" s="289"/>
      <c r="AC22" s="281"/>
    </row>
    <row r="23" spans="1:29" ht="13.5" customHeight="1" x14ac:dyDescent="0.2">
      <c r="A23" s="268"/>
      <c r="B23" s="828" t="s">
        <v>84</v>
      </c>
      <c r="C23" s="335" t="s">
        <v>93</v>
      </c>
      <c r="D23" s="480" t="s">
        <v>122</v>
      </c>
      <c r="E23" s="337" t="s">
        <v>121</v>
      </c>
      <c r="F23" s="331"/>
      <c r="G23" s="26"/>
      <c r="H23" s="28"/>
      <c r="I23" s="27" t="s">
        <v>33</v>
      </c>
      <c r="J23" s="28"/>
      <c r="K23" s="28"/>
      <c r="L23" s="28"/>
      <c r="M23" s="28"/>
      <c r="N23" s="28"/>
      <c r="O23" s="28"/>
      <c r="P23" s="28"/>
      <c r="Q23" s="28"/>
      <c r="R23" s="28"/>
      <c r="S23" s="28"/>
      <c r="T23" s="28"/>
      <c r="U23" s="28"/>
      <c r="V23" s="322"/>
      <c r="W23" s="322"/>
      <c r="X23" s="28"/>
      <c r="Y23" s="28"/>
      <c r="Z23" s="28"/>
      <c r="AA23" s="31"/>
      <c r="AB23" s="289"/>
      <c r="AC23" s="281"/>
    </row>
    <row r="24" spans="1:29" ht="13.5" customHeight="1" x14ac:dyDescent="0.2">
      <c r="A24" s="268"/>
      <c r="B24" s="827" t="s">
        <v>74</v>
      </c>
      <c r="C24" s="334" t="s">
        <v>15</v>
      </c>
      <c r="D24" s="480" t="s">
        <v>122</v>
      </c>
      <c r="E24" s="336"/>
      <c r="F24" s="331"/>
      <c r="G24" s="26"/>
      <c r="H24" s="28"/>
      <c r="I24" s="28"/>
      <c r="J24" s="28"/>
      <c r="K24" s="27" t="s">
        <v>33</v>
      </c>
      <c r="L24" s="28"/>
      <c r="M24" s="28"/>
      <c r="N24" s="28"/>
      <c r="O24" s="28"/>
      <c r="P24" s="28"/>
      <c r="Q24" s="28"/>
      <c r="R24" s="28"/>
      <c r="S24" s="28"/>
      <c r="T24" s="27" t="s">
        <v>33</v>
      </c>
      <c r="U24" s="28"/>
      <c r="V24" s="322"/>
      <c r="W24" s="322"/>
      <c r="X24" s="28"/>
      <c r="Y24" s="28"/>
      <c r="Z24" s="30"/>
      <c r="AA24" s="33"/>
      <c r="AB24" s="289"/>
      <c r="AC24" s="281"/>
    </row>
    <row r="25" spans="1:29" ht="13.5" customHeight="1" x14ac:dyDescent="0.2">
      <c r="A25" s="268"/>
      <c r="B25" s="827" t="s">
        <v>74</v>
      </c>
      <c r="C25" s="334" t="s">
        <v>7</v>
      </c>
      <c r="D25" s="480"/>
      <c r="E25" s="336"/>
      <c r="F25" s="332" t="s">
        <v>33</v>
      </c>
      <c r="G25" s="34"/>
      <c r="H25" s="27" t="s">
        <v>33</v>
      </c>
      <c r="I25" s="28"/>
      <c r="J25" s="27" t="s">
        <v>33</v>
      </c>
      <c r="K25" s="28"/>
      <c r="L25" s="28"/>
      <c r="M25" s="28"/>
      <c r="N25" s="28"/>
      <c r="O25" s="27" t="s">
        <v>33</v>
      </c>
      <c r="P25" s="28"/>
      <c r="Q25" s="28"/>
      <c r="R25" s="28"/>
      <c r="S25" s="28"/>
      <c r="T25" s="28"/>
      <c r="U25" s="28"/>
      <c r="V25" s="322"/>
      <c r="W25" s="322"/>
      <c r="X25" s="27" t="s">
        <v>33</v>
      </c>
      <c r="Y25" s="28"/>
      <c r="Z25" s="27" t="s">
        <v>33</v>
      </c>
      <c r="AA25" s="32" t="s">
        <v>33</v>
      </c>
      <c r="AB25" s="289"/>
      <c r="AC25" s="281"/>
    </row>
    <row r="26" spans="1:29" ht="13.5" customHeight="1" x14ac:dyDescent="0.2">
      <c r="A26" s="268"/>
      <c r="B26" s="828" t="s">
        <v>84</v>
      </c>
      <c r="C26" s="335" t="s">
        <v>116</v>
      </c>
      <c r="D26" s="480" t="s">
        <v>123</v>
      </c>
      <c r="E26" s="337"/>
      <c r="F26" s="331"/>
      <c r="G26" s="26"/>
      <c r="H26" s="28"/>
      <c r="I26" s="28"/>
      <c r="J26" s="28"/>
      <c r="K26" s="28"/>
      <c r="L26" s="27" t="s">
        <v>33</v>
      </c>
      <c r="M26" s="27" t="s">
        <v>33</v>
      </c>
      <c r="N26" s="28"/>
      <c r="O26" s="28"/>
      <c r="P26" s="28"/>
      <c r="Q26" s="28"/>
      <c r="R26" s="28"/>
      <c r="S26" s="28"/>
      <c r="T26" s="28"/>
      <c r="U26" s="28"/>
      <c r="V26" s="322"/>
      <c r="W26" s="322"/>
      <c r="X26" s="28"/>
      <c r="Y26" s="28"/>
      <c r="Z26" s="28"/>
      <c r="AA26" s="31"/>
      <c r="AB26" s="289"/>
      <c r="AC26" s="281"/>
    </row>
    <row r="27" spans="1:29" ht="13.5" customHeight="1" x14ac:dyDescent="0.2">
      <c r="A27" s="268"/>
      <c r="B27" s="828" t="s">
        <v>84</v>
      </c>
      <c r="C27" s="335" t="s">
        <v>117</v>
      </c>
      <c r="D27" s="480"/>
      <c r="E27" s="337"/>
      <c r="F27" s="331"/>
      <c r="G27" s="26"/>
      <c r="H27" s="26"/>
      <c r="I27" s="26"/>
      <c r="J27" s="26"/>
      <c r="K27" s="27" t="s">
        <v>33</v>
      </c>
      <c r="L27" s="26"/>
      <c r="M27" s="26"/>
      <c r="N27" s="26"/>
      <c r="O27" s="26"/>
      <c r="P27" s="26"/>
      <c r="Q27" s="26"/>
      <c r="R27" s="26"/>
      <c r="S27" s="26"/>
      <c r="T27" s="26"/>
      <c r="U27" s="26"/>
      <c r="V27" s="323"/>
      <c r="W27" s="323"/>
      <c r="X27" s="26"/>
      <c r="Y27" s="28"/>
      <c r="Z27" s="28"/>
      <c r="AA27" s="31"/>
      <c r="AB27" s="289"/>
      <c r="AC27" s="281"/>
    </row>
    <row r="28" spans="1:29" ht="13.5" customHeight="1" x14ac:dyDescent="0.2">
      <c r="A28" s="268"/>
      <c r="B28" s="827" t="s">
        <v>74</v>
      </c>
      <c r="C28" s="334" t="s">
        <v>16</v>
      </c>
      <c r="D28" s="480" t="s">
        <v>204</v>
      </c>
      <c r="E28" s="336"/>
      <c r="F28" s="332" t="s">
        <v>33</v>
      </c>
      <c r="G28" s="34"/>
      <c r="H28" s="27" t="s">
        <v>33</v>
      </c>
      <c r="I28" s="28"/>
      <c r="J28" s="27" t="s">
        <v>33</v>
      </c>
      <c r="K28" s="28"/>
      <c r="L28" s="28"/>
      <c r="M28" s="28"/>
      <c r="N28" s="28"/>
      <c r="O28" s="27" t="s">
        <v>33</v>
      </c>
      <c r="P28" s="28"/>
      <c r="Q28" s="28"/>
      <c r="R28" s="28"/>
      <c r="S28" s="28"/>
      <c r="T28" s="28"/>
      <c r="U28" s="27" t="s">
        <v>33</v>
      </c>
      <c r="V28" s="321"/>
      <c r="W28" s="321"/>
      <c r="X28" s="28"/>
      <c r="Y28" s="28"/>
      <c r="Z28" s="35"/>
      <c r="AA28" s="33"/>
      <c r="AB28" s="289"/>
      <c r="AC28" s="281"/>
    </row>
    <row r="29" spans="1:29" ht="13.5" customHeight="1" x14ac:dyDescent="0.2">
      <c r="A29" s="268"/>
      <c r="B29" s="827" t="s">
        <v>74</v>
      </c>
      <c r="C29" s="334" t="s">
        <v>5</v>
      </c>
      <c r="D29" s="480" t="s">
        <v>125</v>
      </c>
      <c r="E29" s="337" t="s">
        <v>121</v>
      </c>
      <c r="F29" s="331"/>
      <c r="G29" s="26"/>
      <c r="H29" s="36"/>
      <c r="I29" s="27" t="s">
        <v>33</v>
      </c>
      <c r="J29" s="27" t="s">
        <v>33</v>
      </c>
      <c r="K29" s="28"/>
      <c r="L29" s="28"/>
      <c r="M29" s="28"/>
      <c r="N29" s="28"/>
      <c r="O29" s="28"/>
      <c r="P29" s="28"/>
      <c r="Q29" s="28"/>
      <c r="R29" s="28"/>
      <c r="S29" s="28"/>
      <c r="T29" s="28"/>
      <c r="U29" s="28"/>
      <c r="V29" s="322"/>
      <c r="W29" s="322"/>
      <c r="X29" s="28"/>
      <c r="Y29" s="28"/>
      <c r="Z29" s="30"/>
      <c r="AA29" s="33"/>
      <c r="AB29" s="289"/>
      <c r="AC29" s="281"/>
    </row>
    <row r="30" spans="1:29" ht="13.5" customHeight="1" x14ac:dyDescent="0.2">
      <c r="A30" s="268"/>
      <c r="B30" s="827" t="s">
        <v>74</v>
      </c>
      <c r="C30" s="334" t="s">
        <v>31</v>
      </c>
      <c r="D30" s="480" t="s">
        <v>120</v>
      </c>
      <c r="E30" s="337" t="s">
        <v>121</v>
      </c>
      <c r="F30" s="332" t="s">
        <v>33</v>
      </c>
      <c r="G30" s="34"/>
      <c r="H30" s="27" t="s">
        <v>33</v>
      </c>
      <c r="I30" s="28"/>
      <c r="J30" s="27" t="s">
        <v>33</v>
      </c>
      <c r="K30" s="28"/>
      <c r="L30" s="28"/>
      <c r="M30" s="28"/>
      <c r="N30" s="28"/>
      <c r="O30" s="27" t="s">
        <v>33</v>
      </c>
      <c r="P30" s="28"/>
      <c r="Q30" s="28"/>
      <c r="R30" s="28"/>
      <c r="S30" s="28"/>
      <c r="T30" s="28"/>
      <c r="U30" s="27" t="s">
        <v>33</v>
      </c>
      <c r="V30" s="321"/>
      <c r="W30" s="321"/>
      <c r="X30" s="27" t="s">
        <v>33</v>
      </c>
      <c r="Y30" s="28"/>
      <c r="Z30" s="30"/>
      <c r="AA30" s="32" t="s">
        <v>33</v>
      </c>
      <c r="AB30" s="289"/>
      <c r="AC30" s="281"/>
    </row>
    <row r="31" spans="1:29" ht="13.5" customHeight="1" x14ac:dyDescent="0.2">
      <c r="A31" s="268"/>
      <c r="B31" s="827" t="s">
        <v>74</v>
      </c>
      <c r="C31" s="334" t="s">
        <v>17</v>
      </c>
      <c r="D31" s="480"/>
      <c r="E31" s="336"/>
      <c r="F31" s="332" t="s">
        <v>33</v>
      </c>
      <c r="G31" s="34"/>
      <c r="H31" s="27" t="s">
        <v>33</v>
      </c>
      <c r="I31" s="28"/>
      <c r="J31" s="27" t="s">
        <v>33</v>
      </c>
      <c r="K31" s="28"/>
      <c r="L31" s="28"/>
      <c r="M31" s="28"/>
      <c r="N31" s="28"/>
      <c r="O31" s="27" t="s">
        <v>33</v>
      </c>
      <c r="P31" s="28"/>
      <c r="Q31" s="28"/>
      <c r="R31" s="28"/>
      <c r="S31" s="28"/>
      <c r="T31" s="28"/>
      <c r="U31" s="27" t="s">
        <v>33</v>
      </c>
      <c r="V31" s="321"/>
      <c r="W31" s="321"/>
      <c r="X31" s="27" t="s">
        <v>33</v>
      </c>
      <c r="Y31" s="28"/>
      <c r="Z31" s="27" t="s">
        <v>33</v>
      </c>
      <c r="AA31" s="33"/>
      <c r="AB31" s="289"/>
      <c r="AC31" s="281"/>
    </row>
    <row r="32" spans="1:29" ht="23.25" customHeight="1" x14ac:dyDescent="0.2">
      <c r="A32" s="268"/>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3"/>
      <c r="AB32" s="289"/>
      <c r="AC32" s="281"/>
    </row>
    <row r="33" spans="1:31" ht="15" customHeight="1" x14ac:dyDescent="0.2">
      <c r="A33" s="291"/>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292"/>
      <c r="AC33" s="281"/>
    </row>
    <row r="34" spans="1:31" ht="11.25" customHeight="1" x14ac:dyDescent="0.2">
      <c r="A34" s="293"/>
      <c r="B34" s="294"/>
      <c r="C34" s="294"/>
      <c r="D34" s="272"/>
      <c r="E34" s="294"/>
      <c r="F34" s="294"/>
      <c r="G34" s="294"/>
      <c r="H34" s="294"/>
      <c r="I34" s="294"/>
      <c r="J34" s="294"/>
      <c r="K34" s="294"/>
      <c r="L34" s="294"/>
      <c r="M34" s="294"/>
      <c r="N34" s="294"/>
      <c r="O34" s="294"/>
      <c r="P34" s="294"/>
      <c r="Q34" s="294"/>
      <c r="R34" s="294"/>
      <c r="S34" s="294"/>
      <c r="T34" s="295"/>
      <c r="U34" s="295"/>
      <c r="V34" s="295"/>
      <c r="W34" s="319"/>
      <c r="X34" s="295"/>
      <c r="Y34" s="295"/>
      <c r="Z34" s="295"/>
      <c r="AA34" s="295"/>
      <c r="AB34" s="296"/>
      <c r="AC34" s="281"/>
    </row>
    <row r="35" spans="1:31" s="80" customFormat="1" ht="11.25" customHeight="1" x14ac:dyDescent="0.2">
      <c r="A35" s="158"/>
      <c r="B35" s="9"/>
      <c r="C35" s="9"/>
      <c r="D35" s="9"/>
      <c r="E35" s="9"/>
      <c r="F35" s="9"/>
      <c r="G35" s="9"/>
      <c r="H35" s="9"/>
      <c r="I35" s="9"/>
      <c r="J35" s="13"/>
      <c r="K35" s="9"/>
      <c r="L35" s="9"/>
      <c r="M35" s="9"/>
      <c r="N35" s="9"/>
      <c r="O35" s="9"/>
      <c r="P35" s="9"/>
      <c r="Q35" s="9"/>
      <c r="R35" s="9"/>
      <c r="S35" s="9"/>
      <c r="T35" s="9"/>
      <c r="U35" s="11"/>
      <c r="V35" s="11"/>
      <c r="W35" s="11"/>
      <c r="X35" s="12"/>
      <c r="Y35" s="12"/>
      <c r="Z35" s="12"/>
      <c r="AA35" s="12"/>
      <c r="AB35" s="12"/>
      <c r="AC35" s="279"/>
      <c r="AE35" s="81"/>
    </row>
    <row r="36" spans="1:31" s="80" customFormat="1" ht="11.25" customHeight="1" x14ac:dyDescent="0.2">
      <c r="A36" s="158"/>
      <c r="B36" s="9"/>
      <c r="C36" s="9"/>
      <c r="D36" s="9"/>
      <c r="E36" s="9"/>
      <c r="F36" s="9"/>
      <c r="G36" s="9"/>
      <c r="H36" s="9"/>
      <c r="I36" s="9"/>
      <c r="J36" s="13"/>
      <c r="K36" s="9"/>
      <c r="L36" s="9"/>
      <c r="M36" s="9"/>
      <c r="N36" s="9"/>
      <c r="O36" s="9"/>
      <c r="P36" s="9"/>
      <c r="Q36" s="9"/>
      <c r="R36" s="9"/>
      <c r="S36" s="9"/>
      <c r="T36" s="9"/>
      <c r="U36" s="11"/>
      <c r="V36" s="11"/>
      <c r="W36" s="11"/>
      <c r="X36" s="12"/>
      <c r="Y36" s="12"/>
      <c r="Z36" s="12"/>
      <c r="AA36" s="12"/>
      <c r="AB36" s="12"/>
      <c r="AC36" s="279"/>
      <c r="AE36" s="81"/>
    </row>
    <row r="37" spans="1:31" s="80" customFormat="1" ht="11.25" customHeight="1" x14ac:dyDescent="0.2">
      <c r="A37" s="158"/>
      <c r="B37" s="979" t="s">
        <v>82</v>
      </c>
      <c r="C37" s="15"/>
      <c r="D37" s="15"/>
      <c r="E37" s="15"/>
      <c r="F37" s="15"/>
      <c r="G37" s="9"/>
      <c r="H37" s="9"/>
      <c r="I37" s="9"/>
      <c r="J37" s="13"/>
      <c r="K37" s="9"/>
      <c r="L37" s="9"/>
      <c r="M37" s="9"/>
      <c r="N37" s="9"/>
      <c r="O37" s="9"/>
      <c r="P37" s="9"/>
      <c r="Q37" s="9"/>
      <c r="R37" s="9"/>
      <c r="S37" s="9"/>
      <c r="T37" s="9"/>
      <c r="U37" s="11"/>
      <c r="V37" s="11"/>
      <c r="W37" s="11"/>
      <c r="X37" s="12"/>
      <c r="Y37" s="12"/>
      <c r="Z37" s="12"/>
      <c r="AA37" s="12"/>
      <c r="AB37" s="12"/>
      <c r="AC37" s="279"/>
      <c r="AE37" s="81"/>
    </row>
    <row r="38" spans="1:31" s="80" customFormat="1" ht="11.25" customHeight="1" x14ac:dyDescent="0.2">
      <c r="A38" s="158"/>
      <c r="B38" s="980"/>
      <c r="C38" s="9"/>
      <c r="D38" s="9"/>
      <c r="E38" s="9"/>
      <c r="F38" s="9"/>
      <c r="G38" s="9"/>
      <c r="H38" s="9"/>
      <c r="I38" s="9"/>
      <c r="J38" s="13"/>
      <c r="K38" s="9"/>
      <c r="L38" s="9"/>
      <c r="M38" s="9"/>
      <c r="N38" s="9"/>
      <c r="O38" s="9"/>
      <c r="P38" s="9"/>
      <c r="Q38" s="9"/>
      <c r="R38" s="9"/>
      <c r="S38" s="9"/>
      <c r="T38" s="9"/>
      <c r="U38" s="11"/>
      <c r="V38" s="11"/>
      <c r="W38" s="11"/>
      <c r="X38" s="12"/>
      <c r="Y38" s="12"/>
      <c r="Z38" s="12"/>
      <c r="AA38" s="12"/>
      <c r="AB38" s="12"/>
      <c r="AC38" s="281"/>
      <c r="AD38" s="81"/>
      <c r="AE38" s="81"/>
    </row>
    <row r="39" spans="1:31" s="80" customFormat="1" ht="11.25" customHeight="1" x14ac:dyDescent="0.2">
      <c r="A39" s="158"/>
      <c r="B39" s="973" t="s">
        <v>81</v>
      </c>
      <c r="C39" s="974"/>
      <c r="D39" s="974"/>
      <c r="E39" s="974"/>
      <c r="F39" s="974"/>
      <c r="G39" s="974"/>
      <c r="H39" s="9"/>
      <c r="I39" s="9"/>
      <c r="J39" s="13"/>
      <c r="K39" s="9"/>
      <c r="L39" s="9"/>
      <c r="M39" s="9"/>
      <c r="N39" s="9"/>
      <c r="O39" s="9"/>
      <c r="P39" s="9"/>
      <c r="Q39" s="9"/>
      <c r="R39" s="9"/>
      <c r="S39" s="9"/>
      <c r="T39" s="9"/>
      <c r="U39" s="11"/>
      <c r="V39" s="11"/>
      <c r="W39" s="11"/>
      <c r="X39" s="12"/>
      <c r="Y39" s="12"/>
      <c r="Z39" s="12"/>
      <c r="AA39" s="12"/>
      <c r="AB39" s="12"/>
      <c r="AC39" s="281"/>
      <c r="AD39" s="81"/>
      <c r="AE39" s="81"/>
    </row>
    <row r="40" spans="1:31" s="80" customFormat="1" ht="11.25" customHeight="1" x14ac:dyDescent="0.2">
      <c r="A40" s="158"/>
      <c r="B40" s="973"/>
      <c r="C40" s="974"/>
      <c r="D40" s="974"/>
      <c r="E40" s="974"/>
      <c r="F40" s="974"/>
      <c r="G40" s="974"/>
      <c r="H40" s="9"/>
      <c r="I40" s="9"/>
      <c r="J40" s="13"/>
      <c r="K40" s="9"/>
      <c r="L40" s="9"/>
      <c r="M40" s="9"/>
      <c r="N40" s="9"/>
      <c r="O40" s="9"/>
      <c r="P40" s="9"/>
      <c r="Q40" s="9"/>
      <c r="R40" s="9"/>
      <c r="S40" s="9"/>
      <c r="T40" s="9"/>
      <c r="U40" s="11"/>
      <c r="V40" s="11"/>
      <c r="W40" s="11"/>
      <c r="X40" s="12"/>
      <c r="Y40" s="12"/>
      <c r="Z40" s="12"/>
      <c r="AA40" s="12"/>
      <c r="AB40" s="12"/>
      <c r="AC40" s="282"/>
      <c r="AD40" s="85"/>
      <c r="AE40" s="85"/>
    </row>
    <row r="41" spans="1:31" s="82" customFormat="1" ht="11.25" customHeight="1" x14ac:dyDescent="0.2">
      <c r="A41" s="158"/>
      <c r="B41" s="973" t="s">
        <v>78</v>
      </c>
      <c r="C41" s="975"/>
      <c r="D41" s="975"/>
      <c r="E41" s="975"/>
      <c r="F41" s="975"/>
      <c r="G41" s="975"/>
      <c r="H41" s="15"/>
      <c r="I41" s="15"/>
      <c r="J41" s="15"/>
      <c r="K41" s="15"/>
      <c r="L41" s="15"/>
      <c r="M41" s="15"/>
      <c r="N41" s="15"/>
      <c r="O41" s="15"/>
      <c r="P41" s="15"/>
      <c r="Q41" s="15"/>
      <c r="R41" s="15"/>
      <c r="S41" s="15"/>
      <c r="T41" s="15"/>
      <c r="U41" s="15"/>
      <c r="V41" s="15"/>
      <c r="W41" s="15"/>
      <c r="X41" s="12"/>
      <c r="Y41" s="12"/>
      <c r="Z41" s="12"/>
      <c r="AA41" s="12"/>
      <c r="AB41" s="12"/>
      <c r="AC41" s="281"/>
      <c r="AD41" s="81"/>
      <c r="AE41" s="81"/>
    </row>
    <row r="42" spans="1:31" s="80" customFormat="1" ht="11.25" customHeight="1" x14ac:dyDescent="0.2">
      <c r="A42" s="158"/>
      <c r="B42" s="973"/>
      <c r="C42" s="975"/>
      <c r="D42" s="975"/>
      <c r="E42" s="975"/>
      <c r="F42" s="975"/>
      <c r="G42" s="975"/>
      <c r="H42" s="9"/>
      <c r="I42" s="9"/>
      <c r="J42" s="13"/>
      <c r="K42" s="9"/>
      <c r="L42" s="9"/>
      <c r="M42" s="9"/>
      <c r="N42" s="9"/>
      <c r="O42" s="9"/>
      <c r="P42" s="9"/>
      <c r="Q42" s="9"/>
      <c r="R42" s="9"/>
      <c r="S42" s="9"/>
      <c r="T42" s="9"/>
      <c r="U42" s="11"/>
      <c r="V42" s="11"/>
      <c r="W42" s="11"/>
      <c r="X42" s="12"/>
      <c r="Y42" s="12"/>
      <c r="Z42" s="12"/>
      <c r="AA42" s="12"/>
      <c r="AB42" s="12"/>
      <c r="AC42" s="281"/>
      <c r="AD42" s="81"/>
      <c r="AE42" s="81"/>
    </row>
    <row r="43" spans="1:31" s="80" customFormat="1" ht="11.25" customHeight="1" x14ac:dyDescent="0.2">
      <c r="A43" s="158"/>
      <c r="B43" s="976" t="s">
        <v>18</v>
      </c>
      <c r="C43" s="977"/>
      <c r="D43" s="977"/>
      <c r="E43" s="977"/>
      <c r="F43" s="977"/>
      <c r="G43" s="977"/>
      <c r="H43" s="9"/>
      <c r="I43" s="9"/>
      <c r="J43" s="13"/>
      <c r="K43" s="9"/>
      <c r="L43" s="9"/>
      <c r="M43" s="9"/>
      <c r="N43" s="9"/>
      <c r="O43" s="9"/>
      <c r="P43" s="9"/>
      <c r="Q43" s="9"/>
      <c r="R43" s="9"/>
      <c r="S43" s="9"/>
      <c r="T43" s="9"/>
      <c r="U43" s="11"/>
      <c r="V43" s="11"/>
      <c r="W43" s="11"/>
      <c r="X43" s="12"/>
      <c r="Y43" s="12"/>
      <c r="Z43" s="12"/>
      <c r="AA43" s="12"/>
      <c r="AB43" s="12"/>
      <c r="AC43" s="281"/>
      <c r="AD43" s="81"/>
      <c r="AE43" s="81"/>
    </row>
    <row r="44" spans="1:31" s="80" customFormat="1" ht="11.25" customHeight="1" x14ac:dyDescent="0.2">
      <c r="A44" s="158"/>
      <c r="B44" s="976"/>
      <c r="C44" s="977"/>
      <c r="D44" s="977"/>
      <c r="E44" s="977"/>
      <c r="F44" s="977"/>
      <c r="G44" s="977"/>
      <c r="H44" s="9"/>
      <c r="I44" s="9"/>
      <c r="J44" s="13"/>
      <c r="K44" s="9"/>
      <c r="L44" s="9"/>
      <c r="M44" s="9"/>
      <c r="N44" s="9"/>
      <c r="O44" s="9"/>
      <c r="P44" s="9"/>
      <c r="Q44" s="9"/>
      <c r="R44" s="9"/>
      <c r="S44" s="9"/>
      <c r="T44" s="9"/>
      <c r="U44" s="11"/>
      <c r="V44" s="11"/>
      <c r="W44" s="11"/>
      <c r="X44" s="12"/>
      <c r="Y44" s="12"/>
      <c r="Z44" s="12"/>
      <c r="AA44" s="12"/>
      <c r="AB44" s="12"/>
      <c r="AC44" s="281"/>
      <c r="AD44" s="81"/>
      <c r="AE44" s="81"/>
    </row>
    <row r="45" spans="1:31" s="80" customFormat="1" ht="11.25" customHeight="1" x14ac:dyDescent="0.2">
      <c r="A45" s="158"/>
      <c r="B45" s="976" t="s">
        <v>210</v>
      </c>
      <c r="C45" s="976"/>
      <c r="D45" s="978"/>
      <c r="E45" s="978"/>
      <c r="F45" s="978"/>
      <c r="G45" s="543"/>
      <c r="H45" s="9"/>
      <c r="I45" s="9"/>
      <c r="J45" s="13"/>
      <c r="K45" s="9"/>
      <c r="L45" s="9"/>
      <c r="M45" s="9"/>
      <c r="N45" s="9"/>
      <c r="O45" s="9"/>
      <c r="P45" s="9"/>
      <c r="Q45" s="9"/>
      <c r="R45" s="9"/>
      <c r="S45" s="9"/>
      <c r="T45" s="9"/>
      <c r="U45" s="11"/>
      <c r="V45" s="11"/>
      <c r="W45" s="11"/>
      <c r="X45" s="12"/>
      <c r="Y45" s="12"/>
      <c r="Z45" s="12"/>
      <c r="AA45" s="12"/>
      <c r="AB45" s="12"/>
      <c r="AC45" s="281"/>
      <c r="AD45" s="81"/>
      <c r="AE45" s="81"/>
    </row>
    <row r="46" spans="1:31" s="80" customFormat="1" ht="11.25" customHeight="1" x14ac:dyDescent="0.2">
      <c r="A46" s="158"/>
      <c r="B46" s="976"/>
      <c r="C46" s="976"/>
      <c r="D46" s="978"/>
      <c r="E46" s="978"/>
      <c r="F46" s="978"/>
      <c r="G46" s="543"/>
      <c r="H46" s="9"/>
      <c r="I46" s="9"/>
      <c r="J46" s="13"/>
      <c r="K46" s="9"/>
      <c r="L46" s="9"/>
      <c r="M46" s="9"/>
      <c r="N46" s="9"/>
      <c r="O46" s="9"/>
      <c r="P46" s="9"/>
      <c r="Q46" s="9"/>
      <c r="R46" s="9"/>
      <c r="S46" s="9"/>
      <c r="T46" s="9"/>
      <c r="U46" s="11"/>
      <c r="V46" s="11"/>
      <c r="W46" s="11"/>
      <c r="X46" s="12"/>
      <c r="Y46" s="12"/>
      <c r="Z46" s="12"/>
      <c r="AA46" s="12"/>
      <c r="AB46" s="12"/>
      <c r="AC46" s="281"/>
      <c r="AD46" s="81"/>
      <c r="AE46" s="81"/>
    </row>
    <row r="47" spans="1:31" s="80" customFormat="1" ht="11.25" customHeight="1" x14ac:dyDescent="0.2">
      <c r="A47" s="158"/>
      <c r="B47" s="976" t="s">
        <v>211</v>
      </c>
      <c r="C47" s="976"/>
      <c r="D47" s="978"/>
      <c r="E47" s="978"/>
      <c r="F47" s="978"/>
      <c r="G47" s="543"/>
      <c r="H47" s="9"/>
      <c r="I47" s="9"/>
      <c r="J47" s="13"/>
      <c r="K47" s="9"/>
      <c r="L47" s="9"/>
      <c r="M47" s="9"/>
      <c r="N47" s="9"/>
      <c r="O47" s="9"/>
      <c r="P47" s="9"/>
      <c r="Q47" s="9"/>
      <c r="R47" s="9"/>
      <c r="S47" s="9"/>
      <c r="T47" s="9"/>
      <c r="U47" s="11"/>
      <c r="V47" s="11"/>
      <c r="W47" s="11"/>
      <c r="X47" s="12"/>
      <c r="Y47" s="12"/>
      <c r="Z47" s="12"/>
      <c r="AA47" s="12"/>
      <c r="AB47" s="12"/>
      <c r="AC47" s="281"/>
      <c r="AD47" s="81"/>
      <c r="AE47" s="81"/>
    </row>
    <row r="48" spans="1:31" s="80" customFormat="1" ht="11.25" customHeight="1" x14ac:dyDescent="0.2">
      <c r="A48" s="158"/>
      <c r="B48" s="976"/>
      <c r="C48" s="976"/>
      <c r="D48" s="978"/>
      <c r="E48" s="978"/>
      <c r="F48" s="978"/>
      <c r="G48" s="543"/>
      <c r="H48" s="9"/>
      <c r="I48" s="9"/>
      <c r="J48" s="13"/>
      <c r="K48" s="9"/>
      <c r="L48" s="9"/>
      <c r="M48" s="9"/>
      <c r="N48" s="9"/>
      <c r="O48" s="9"/>
      <c r="P48" s="9"/>
      <c r="Q48" s="9"/>
      <c r="R48" s="9"/>
      <c r="S48" s="9"/>
      <c r="T48" s="9"/>
      <c r="U48" s="11"/>
      <c r="V48" s="11"/>
      <c r="W48" s="11"/>
      <c r="X48" s="12"/>
      <c r="Y48" s="12"/>
      <c r="Z48" s="12"/>
      <c r="AA48" s="12"/>
      <c r="AB48" s="12"/>
      <c r="AC48" s="281"/>
      <c r="AD48" s="81"/>
      <c r="AE48" s="81"/>
    </row>
    <row r="49" spans="1:31" s="80" customFormat="1" ht="11.25" customHeight="1" x14ac:dyDescent="0.2">
      <c r="A49" s="158"/>
      <c r="B49" s="976" t="s">
        <v>212</v>
      </c>
      <c r="C49" s="976"/>
      <c r="D49" s="978"/>
      <c r="E49" s="978"/>
      <c r="F49" s="978"/>
      <c r="G49" s="543"/>
      <c r="H49" s="9"/>
      <c r="I49" s="9"/>
      <c r="J49" s="13"/>
      <c r="K49" s="9"/>
      <c r="L49" s="9"/>
      <c r="M49" s="9"/>
      <c r="N49" s="9"/>
      <c r="O49" s="9"/>
      <c r="P49" s="9"/>
      <c r="Q49" s="9"/>
      <c r="R49" s="9"/>
      <c r="S49" s="9"/>
      <c r="T49" s="9"/>
      <c r="U49" s="11"/>
      <c r="V49" s="11"/>
      <c r="W49" s="11"/>
      <c r="X49" s="12"/>
      <c r="Y49" s="12"/>
      <c r="Z49" s="12"/>
      <c r="AA49" s="12"/>
      <c r="AB49" s="12"/>
      <c r="AC49" s="281"/>
      <c r="AD49" s="81"/>
      <c r="AE49" s="81"/>
    </row>
    <row r="50" spans="1:31" s="80" customFormat="1" ht="11.25" customHeight="1" x14ac:dyDescent="0.2">
      <c r="A50" s="158"/>
      <c r="B50" s="976"/>
      <c r="C50" s="976"/>
      <c r="D50" s="978"/>
      <c r="E50" s="978"/>
      <c r="F50" s="978"/>
      <c r="G50" s="543"/>
      <c r="H50" s="9"/>
      <c r="I50" s="9"/>
      <c r="J50" s="13"/>
      <c r="K50" s="9"/>
      <c r="L50" s="9"/>
      <c r="M50" s="9"/>
      <c r="N50" s="9"/>
      <c r="O50" s="9"/>
      <c r="P50" s="9"/>
      <c r="Q50" s="9"/>
      <c r="R50" s="9"/>
      <c r="S50" s="9"/>
      <c r="T50" s="9"/>
      <c r="U50" s="11"/>
      <c r="V50" s="11"/>
      <c r="W50" s="11"/>
      <c r="X50" s="12"/>
      <c r="Y50" s="12"/>
      <c r="Z50" s="12"/>
      <c r="AA50" s="12"/>
      <c r="AB50" s="12"/>
      <c r="AC50" s="281"/>
      <c r="AD50" s="81"/>
      <c r="AE50" s="81"/>
    </row>
    <row r="51" spans="1:31" s="80" customFormat="1" ht="11.25" customHeight="1" x14ac:dyDescent="0.2">
      <c r="A51" s="158"/>
      <c r="B51" s="973" t="s">
        <v>80</v>
      </c>
      <c r="C51" s="974"/>
      <c r="D51" s="974"/>
      <c r="E51" s="974"/>
      <c r="F51" s="974"/>
      <c r="G51" s="974"/>
      <c r="H51" s="9"/>
      <c r="I51" s="9"/>
      <c r="J51" s="13"/>
      <c r="K51" s="9"/>
      <c r="L51" s="9"/>
      <c r="M51" s="9"/>
      <c r="N51" s="9"/>
      <c r="O51" s="9"/>
      <c r="P51" s="9"/>
      <c r="Q51" s="9"/>
      <c r="R51" s="9"/>
      <c r="S51" s="9"/>
      <c r="T51" s="9"/>
      <c r="U51" s="11"/>
      <c r="V51" s="11"/>
      <c r="W51" s="11"/>
      <c r="X51" s="12"/>
      <c r="Y51" s="12"/>
      <c r="Z51" s="12"/>
      <c r="AA51" s="12"/>
      <c r="AB51" s="12"/>
      <c r="AC51" s="281"/>
      <c r="AD51" s="81"/>
      <c r="AE51" s="81"/>
    </row>
    <row r="52" spans="1:31" s="80" customFormat="1" ht="11.25" customHeight="1" x14ac:dyDescent="0.2">
      <c r="A52" s="158"/>
      <c r="B52" s="973"/>
      <c r="C52" s="974"/>
      <c r="D52" s="974"/>
      <c r="E52" s="974"/>
      <c r="F52" s="974"/>
      <c r="G52" s="974"/>
      <c r="H52" s="9"/>
      <c r="I52" s="9"/>
      <c r="J52" s="13"/>
      <c r="K52" s="9"/>
      <c r="L52" s="9"/>
      <c r="M52" s="9"/>
      <c r="N52" s="9"/>
      <c r="O52" s="9"/>
      <c r="P52" s="9"/>
      <c r="Q52" s="9"/>
      <c r="R52" s="9"/>
      <c r="S52" s="9"/>
      <c r="T52" s="9"/>
      <c r="U52" s="11"/>
      <c r="V52" s="11"/>
      <c r="W52" s="11"/>
      <c r="X52" s="12"/>
      <c r="Y52" s="12"/>
      <c r="Z52" s="12"/>
      <c r="AA52" s="12"/>
      <c r="AB52" s="12"/>
      <c r="AC52" s="281"/>
      <c r="AD52" s="81"/>
      <c r="AE52" s="81"/>
    </row>
    <row r="53" spans="1:31" s="80" customFormat="1" ht="11.25" customHeight="1" x14ac:dyDescent="0.2">
      <c r="A53" s="158"/>
      <c r="B53" s="973" t="s">
        <v>69</v>
      </c>
      <c r="C53" s="974"/>
      <c r="D53" s="974"/>
      <c r="E53" s="974"/>
      <c r="F53" s="974"/>
      <c r="G53" s="974"/>
      <c r="H53" s="9"/>
      <c r="I53" s="9"/>
      <c r="J53" s="13"/>
      <c r="K53" s="9"/>
      <c r="L53" s="9"/>
      <c r="M53" s="9"/>
      <c r="N53" s="9"/>
      <c r="O53" s="9"/>
      <c r="P53" s="9"/>
      <c r="Q53" s="9"/>
      <c r="R53" s="9"/>
      <c r="S53" s="9"/>
      <c r="T53" s="9"/>
      <c r="U53" s="11"/>
      <c r="V53" s="11"/>
      <c r="W53" s="11"/>
      <c r="X53" s="12"/>
      <c r="Y53" s="12"/>
      <c r="Z53" s="12"/>
      <c r="AA53" s="12"/>
      <c r="AB53" s="12"/>
      <c r="AC53" s="281"/>
      <c r="AD53" s="81"/>
      <c r="AE53" s="81"/>
    </row>
    <row r="54" spans="1:31" s="80" customFormat="1" ht="11.25" customHeight="1" x14ac:dyDescent="0.2">
      <c r="A54" s="158"/>
      <c r="B54" s="973"/>
      <c r="C54" s="974"/>
      <c r="D54" s="974"/>
      <c r="E54" s="974"/>
      <c r="F54" s="974"/>
      <c r="G54" s="974"/>
      <c r="H54" s="9"/>
      <c r="I54" s="9"/>
      <c r="J54" s="13"/>
      <c r="K54" s="9"/>
      <c r="L54" s="9"/>
      <c r="M54" s="9"/>
      <c r="N54" s="9"/>
      <c r="O54" s="9"/>
      <c r="P54" s="9"/>
      <c r="Q54" s="9"/>
      <c r="R54" s="9"/>
      <c r="S54" s="9"/>
      <c r="T54" s="9"/>
      <c r="U54" s="11"/>
      <c r="V54" s="11"/>
      <c r="W54" s="11"/>
      <c r="X54" s="12"/>
      <c r="Y54" s="12"/>
      <c r="Z54" s="12"/>
      <c r="AA54" s="12"/>
      <c r="AB54" s="12"/>
      <c r="AC54" s="281"/>
      <c r="AD54" s="81"/>
      <c r="AE54" s="81"/>
    </row>
    <row r="55" spans="1:31" s="80" customFormat="1" ht="11.25" customHeight="1" x14ac:dyDescent="0.2">
      <c r="A55" s="158"/>
      <c r="B55" s="973" t="s">
        <v>25</v>
      </c>
      <c r="C55" s="974"/>
      <c r="D55" s="974"/>
      <c r="E55" s="974"/>
      <c r="F55" s="974"/>
      <c r="G55" s="974"/>
      <c r="H55" s="9"/>
      <c r="I55" s="9"/>
      <c r="J55" s="13"/>
      <c r="K55" s="9"/>
      <c r="L55" s="9"/>
      <c r="M55" s="9"/>
      <c r="N55" s="9"/>
      <c r="O55" s="9"/>
      <c r="P55" s="9"/>
      <c r="Q55" s="9"/>
      <c r="R55" s="9"/>
      <c r="S55" s="9"/>
      <c r="T55" s="9"/>
      <c r="U55" s="11"/>
      <c r="V55" s="11"/>
      <c r="W55" s="11"/>
      <c r="X55" s="12"/>
      <c r="Y55" s="12"/>
      <c r="Z55" s="12"/>
      <c r="AA55" s="12"/>
      <c r="AB55" s="12"/>
      <c r="AC55" s="281"/>
      <c r="AD55" s="81"/>
      <c r="AE55" s="81"/>
    </row>
    <row r="56" spans="1:31" s="80" customFormat="1" ht="11.25" customHeight="1" x14ac:dyDescent="0.2">
      <c r="A56" s="158"/>
      <c r="B56" s="973"/>
      <c r="C56" s="974"/>
      <c r="D56" s="974"/>
      <c r="E56" s="974"/>
      <c r="F56" s="974"/>
      <c r="G56" s="974"/>
      <c r="H56" s="9"/>
      <c r="I56" s="9"/>
      <c r="J56" s="13"/>
      <c r="K56" s="9"/>
      <c r="L56" s="9"/>
      <c r="M56" s="9"/>
      <c r="N56" s="9"/>
      <c r="O56" s="9"/>
      <c r="P56" s="9"/>
      <c r="Q56" s="9"/>
      <c r="R56" s="9"/>
      <c r="S56" s="9"/>
      <c r="T56" s="9"/>
      <c r="U56" s="11"/>
      <c r="V56" s="11"/>
      <c r="W56" s="11"/>
      <c r="X56" s="12"/>
      <c r="Y56" s="12"/>
      <c r="Z56" s="12"/>
      <c r="AA56" s="12"/>
      <c r="AB56" s="12"/>
      <c r="AC56" s="281"/>
      <c r="AD56" s="81"/>
      <c r="AE56" s="81"/>
    </row>
    <row r="57" spans="1:31" s="80" customFormat="1" ht="11.25" customHeight="1" x14ac:dyDescent="0.2">
      <c r="A57" s="158"/>
      <c r="B57" s="973" t="s">
        <v>23</v>
      </c>
      <c r="C57" s="974"/>
      <c r="D57" s="974"/>
      <c r="E57" s="974"/>
      <c r="F57" s="974"/>
      <c r="G57" s="974"/>
      <c r="H57" s="9"/>
      <c r="I57" s="9"/>
      <c r="J57" s="13"/>
      <c r="K57" s="9"/>
      <c r="L57" s="9"/>
      <c r="M57" s="9"/>
      <c r="N57" s="9"/>
      <c r="O57" s="9"/>
      <c r="P57" s="9"/>
      <c r="Q57" s="9"/>
      <c r="R57" s="9"/>
      <c r="S57" s="9"/>
      <c r="T57" s="9"/>
      <c r="U57" s="11"/>
      <c r="V57" s="11"/>
      <c r="W57" s="11"/>
      <c r="X57" s="12"/>
      <c r="Y57" s="12"/>
      <c r="Z57" s="12"/>
      <c r="AA57" s="12"/>
      <c r="AB57" s="12"/>
      <c r="AC57" s="281"/>
      <c r="AD57" s="81"/>
      <c r="AE57" s="81"/>
    </row>
    <row r="58" spans="1:31" s="80" customFormat="1" ht="11.25" customHeight="1" x14ac:dyDescent="0.2">
      <c r="A58" s="158"/>
      <c r="B58" s="973"/>
      <c r="C58" s="974"/>
      <c r="D58" s="974"/>
      <c r="E58" s="974"/>
      <c r="F58" s="974"/>
      <c r="G58" s="974"/>
      <c r="H58" s="9"/>
      <c r="I58" s="9"/>
      <c r="J58" s="13"/>
      <c r="K58" s="9"/>
      <c r="L58" s="9"/>
      <c r="M58" s="9"/>
      <c r="N58" s="9"/>
      <c r="O58" s="9"/>
      <c r="P58" s="9"/>
      <c r="Q58" s="9"/>
      <c r="R58" s="9"/>
      <c r="S58" s="9"/>
      <c r="T58" s="9"/>
      <c r="U58" s="11"/>
      <c r="V58" s="11"/>
      <c r="W58" s="11"/>
      <c r="X58" s="12"/>
      <c r="Y58" s="12"/>
      <c r="Z58" s="12"/>
      <c r="AA58" s="12"/>
      <c r="AB58" s="12"/>
      <c r="AC58" s="281"/>
      <c r="AD58" s="81"/>
      <c r="AE58" s="81"/>
    </row>
    <row r="59" spans="1:31" s="80" customFormat="1" ht="11.25" customHeight="1" x14ac:dyDescent="0.2">
      <c r="A59" s="158"/>
      <c r="B59" s="973" t="s">
        <v>26</v>
      </c>
      <c r="C59" s="974"/>
      <c r="D59" s="974"/>
      <c r="E59" s="974"/>
      <c r="F59" s="974"/>
      <c r="G59" s="974"/>
      <c r="H59" s="9"/>
      <c r="I59" s="9"/>
      <c r="J59" s="13"/>
      <c r="K59" s="9"/>
      <c r="L59" s="9"/>
      <c r="M59" s="9"/>
      <c r="N59" s="9"/>
      <c r="O59" s="9"/>
      <c r="P59" s="9"/>
      <c r="Q59" s="9"/>
      <c r="R59" s="9"/>
      <c r="S59" s="9"/>
      <c r="T59" s="9"/>
      <c r="U59" s="11"/>
      <c r="V59" s="11"/>
      <c r="W59" s="11"/>
      <c r="X59" s="12"/>
      <c r="Y59" s="12"/>
      <c r="Z59" s="12"/>
      <c r="AA59" s="12"/>
      <c r="AB59" s="12"/>
      <c r="AC59" s="281"/>
      <c r="AD59" s="81"/>
      <c r="AE59" s="81"/>
    </row>
    <row r="60" spans="1:31" s="80" customFormat="1" ht="11.25" customHeight="1" x14ac:dyDescent="0.2">
      <c r="A60" s="158"/>
      <c r="B60" s="973"/>
      <c r="C60" s="974"/>
      <c r="D60" s="974"/>
      <c r="E60" s="974"/>
      <c r="F60" s="974"/>
      <c r="G60" s="974"/>
      <c r="H60" s="9"/>
      <c r="I60" s="9"/>
      <c r="J60" s="13"/>
      <c r="K60" s="9"/>
      <c r="L60" s="9"/>
      <c r="M60" s="9"/>
      <c r="N60" s="9"/>
      <c r="O60" s="9"/>
      <c r="P60" s="9"/>
      <c r="Q60" s="9"/>
      <c r="R60" s="9"/>
      <c r="S60" s="9"/>
      <c r="T60" s="9"/>
      <c r="U60" s="11"/>
      <c r="V60" s="11"/>
      <c r="W60" s="11"/>
      <c r="X60" s="12"/>
      <c r="Y60" s="12"/>
      <c r="Z60" s="12"/>
      <c r="AA60" s="12"/>
      <c r="AB60" s="12"/>
      <c r="AC60" s="281"/>
      <c r="AD60" s="81"/>
      <c r="AE60" s="81"/>
    </row>
    <row r="61" spans="1:31" s="80" customFormat="1" ht="11.25" customHeight="1" x14ac:dyDescent="0.2">
      <c r="A61" s="158"/>
      <c r="B61" s="973" t="s">
        <v>19</v>
      </c>
      <c r="C61" s="974"/>
      <c r="D61" s="974"/>
      <c r="E61" s="974"/>
      <c r="F61" s="974"/>
      <c r="G61" s="974"/>
      <c r="H61" s="9"/>
      <c r="I61" s="9"/>
      <c r="J61" s="13"/>
      <c r="K61" s="9"/>
      <c r="L61" s="9"/>
      <c r="M61" s="9"/>
      <c r="N61" s="9"/>
      <c r="O61" s="9"/>
      <c r="P61" s="9"/>
      <c r="Q61" s="9"/>
      <c r="R61" s="9"/>
      <c r="S61" s="9"/>
      <c r="T61" s="9"/>
      <c r="U61" s="11"/>
      <c r="V61" s="11"/>
      <c r="W61" s="11"/>
      <c r="X61" s="12"/>
      <c r="Y61" s="12"/>
      <c r="Z61" s="12"/>
      <c r="AA61" s="12"/>
      <c r="AB61" s="12"/>
      <c r="AC61" s="281"/>
      <c r="AD61" s="81"/>
      <c r="AE61" s="81"/>
    </row>
    <row r="62" spans="1:31" s="80" customFormat="1" ht="11.25" customHeight="1" x14ac:dyDescent="0.2">
      <c r="A62" s="158"/>
      <c r="B62" s="973"/>
      <c r="C62" s="974"/>
      <c r="D62" s="974"/>
      <c r="E62" s="974"/>
      <c r="F62" s="974"/>
      <c r="G62" s="974"/>
      <c r="H62" s="9"/>
      <c r="I62" s="9"/>
      <c r="J62" s="13"/>
      <c r="K62" s="9"/>
      <c r="L62" s="9"/>
      <c r="M62" s="9"/>
      <c r="N62" s="9"/>
      <c r="O62" s="9"/>
      <c r="P62" s="9"/>
      <c r="Q62" s="9"/>
      <c r="R62" s="9"/>
      <c r="S62" s="9"/>
      <c r="T62" s="9"/>
      <c r="U62" s="11"/>
      <c r="V62" s="11"/>
      <c r="W62" s="11"/>
      <c r="X62" s="12"/>
      <c r="Y62" s="12"/>
      <c r="Z62" s="12"/>
      <c r="AA62" s="12"/>
      <c r="AB62" s="12"/>
      <c r="AC62" s="281"/>
      <c r="AD62" s="81"/>
      <c r="AE62" s="81"/>
    </row>
    <row r="63" spans="1:31" s="80" customFormat="1" ht="11.25" customHeight="1" x14ac:dyDescent="0.2">
      <c r="A63" s="158"/>
      <c r="B63" s="973" t="s">
        <v>20</v>
      </c>
      <c r="C63" s="930"/>
      <c r="D63" s="930"/>
      <c r="E63" s="930"/>
      <c r="F63" s="930"/>
      <c r="G63" s="930"/>
      <c r="H63" s="930"/>
      <c r="I63" s="9"/>
      <c r="J63" s="13"/>
      <c r="K63" s="9"/>
      <c r="L63" s="9"/>
      <c r="M63" s="9"/>
      <c r="N63" s="9"/>
      <c r="O63" s="9"/>
      <c r="P63" s="9"/>
      <c r="Q63" s="9"/>
      <c r="R63" s="9"/>
      <c r="S63" s="9"/>
      <c r="T63" s="9"/>
      <c r="U63" s="11"/>
      <c r="V63" s="11"/>
      <c r="W63" s="11"/>
      <c r="X63" s="12"/>
      <c r="Y63" s="12"/>
      <c r="Z63" s="12"/>
      <c r="AA63" s="12"/>
      <c r="AB63" s="12"/>
      <c r="AC63" s="281"/>
      <c r="AD63" s="81"/>
      <c r="AE63" s="81"/>
    </row>
    <row r="64" spans="1:31" s="80" customFormat="1" ht="11.25" customHeight="1" x14ac:dyDescent="0.2">
      <c r="A64" s="158"/>
      <c r="B64" s="930"/>
      <c r="C64" s="930"/>
      <c r="D64" s="930"/>
      <c r="E64" s="930"/>
      <c r="F64" s="930"/>
      <c r="G64" s="930"/>
      <c r="H64" s="930"/>
      <c r="I64" s="9"/>
      <c r="J64" s="13"/>
      <c r="K64" s="9"/>
      <c r="L64" s="9"/>
      <c r="M64" s="9"/>
      <c r="N64" s="9"/>
      <c r="O64" s="9"/>
      <c r="P64" s="9"/>
      <c r="Q64" s="9"/>
      <c r="R64" s="9"/>
      <c r="S64" s="9"/>
      <c r="T64" s="9"/>
      <c r="U64" s="11"/>
      <c r="V64" s="11"/>
      <c r="W64" s="11"/>
      <c r="X64" s="12"/>
      <c r="Y64" s="12"/>
      <c r="Z64" s="12"/>
      <c r="AA64" s="12"/>
      <c r="AB64" s="12"/>
      <c r="AC64" s="281"/>
      <c r="AD64" s="81"/>
      <c r="AE64" s="81"/>
    </row>
    <row r="65" spans="1:31" s="80" customFormat="1" ht="11.25" customHeight="1" x14ac:dyDescent="0.2">
      <c r="A65" s="158"/>
      <c r="B65" s="973" t="s">
        <v>21</v>
      </c>
      <c r="C65" s="974"/>
      <c r="D65" s="974"/>
      <c r="E65" s="974"/>
      <c r="F65" s="974"/>
      <c r="G65" s="974"/>
      <c r="H65" s="9"/>
      <c r="I65" s="9"/>
      <c r="J65" s="13"/>
      <c r="K65" s="9"/>
      <c r="L65" s="9"/>
      <c r="M65" s="9"/>
      <c r="N65" s="9"/>
      <c r="O65" s="9"/>
      <c r="P65" s="9"/>
      <c r="Q65" s="9"/>
      <c r="R65" s="9"/>
      <c r="S65" s="9"/>
      <c r="T65" s="9"/>
      <c r="U65" s="11"/>
      <c r="V65" s="11"/>
      <c r="W65" s="11"/>
      <c r="X65" s="12"/>
      <c r="Y65" s="12"/>
      <c r="Z65" s="12"/>
      <c r="AA65" s="12"/>
      <c r="AB65" s="12"/>
      <c r="AC65" s="281"/>
      <c r="AD65" s="81"/>
      <c r="AE65" s="81"/>
    </row>
    <row r="66" spans="1:31" s="80" customFormat="1" ht="11.25" customHeight="1" x14ac:dyDescent="0.2">
      <c r="A66" s="158"/>
      <c r="B66" s="973"/>
      <c r="C66" s="974"/>
      <c r="D66" s="974"/>
      <c r="E66" s="974"/>
      <c r="F66" s="974"/>
      <c r="G66" s="974"/>
      <c r="H66" s="9"/>
      <c r="I66" s="9"/>
      <c r="J66" s="13"/>
      <c r="K66" s="9"/>
      <c r="L66" s="9"/>
      <c r="M66" s="9"/>
      <c r="N66" s="9"/>
      <c r="O66" s="9"/>
      <c r="P66" s="9"/>
      <c r="Q66" s="9"/>
      <c r="R66" s="9"/>
      <c r="S66" s="9"/>
      <c r="T66" s="9"/>
      <c r="U66" s="11"/>
      <c r="V66" s="11"/>
      <c r="W66" s="11"/>
      <c r="X66" s="12"/>
      <c r="Y66" s="12"/>
      <c r="Z66" s="12"/>
      <c r="AA66" s="12"/>
      <c r="AB66" s="12"/>
      <c r="AC66" s="281"/>
      <c r="AD66" s="81"/>
      <c r="AE66" s="81"/>
    </row>
    <row r="67" spans="1:31" s="80" customFormat="1" ht="11.25" customHeight="1" x14ac:dyDescent="0.2">
      <c r="A67" s="158"/>
      <c r="B67" s="973" t="s">
        <v>27</v>
      </c>
      <c r="C67" s="974"/>
      <c r="D67" s="974"/>
      <c r="E67" s="974"/>
      <c r="F67" s="974"/>
      <c r="G67" s="974"/>
      <c r="H67" s="9"/>
      <c r="I67" s="9"/>
      <c r="J67" s="13"/>
      <c r="K67" s="9"/>
      <c r="L67" s="9"/>
      <c r="M67" s="9"/>
      <c r="N67" s="9"/>
      <c r="O67" s="9"/>
      <c r="P67" s="9"/>
      <c r="Q67" s="9"/>
      <c r="R67" s="9"/>
      <c r="S67" s="9"/>
      <c r="T67" s="9"/>
      <c r="U67" s="11"/>
      <c r="V67" s="11"/>
      <c r="W67" s="11"/>
      <c r="X67" s="12"/>
      <c r="Y67" s="12"/>
      <c r="Z67" s="12"/>
      <c r="AA67" s="12"/>
      <c r="AB67" s="12"/>
      <c r="AC67" s="281"/>
      <c r="AD67" s="81"/>
      <c r="AE67" s="81"/>
    </row>
    <row r="68" spans="1:31" s="80" customFormat="1" ht="11.25" customHeight="1" x14ac:dyDescent="0.2">
      <c r="A68" s="158"/>
      <c r="B68" s="973"/>
      <c r="C68" s="974"/>
      <c r="D68" s="974"/>
      <c r="E68" s="974"/>
      <c r="F68" s="974"/>
      <c r="G68" s="974"/>
      <c r="H68" s="9"/>
      <c r="I68" s="9"/>
      <c r="J68" s="13"/>
      <c r="K68" s="9"/>
      <c r="L68" s="9"/>
      <c r="M68" s="9"/>
      <c r="N68" s="9"/>
      <c r="O68" s="9"/>
      <c r="P68" s="9"/>
      <c r="Q68" s="9"/>
      <c r="R68" s="9"/>
      <c r="S68" s="9"/>
      <c r="T68" s="9"/>
      <c r="U68" s="11"/>
      <c r="V68" s="11"/>
      <c r="W68" s="11"/>
      <c r="X68" s="12"/>
      <c r="Y68" s="12"/>
      <c r="Z68" s="12"/>
      <c r="AA68" s="12"/>
      <c r="AB68" s="12"/>
      <c r="AC68" s="281"/>
      <c r="AD68" s="81"/>
      <c r="AE68" s="81"/>
    </row>
    <row r="69" spans="1:31" s="80" customFormat="1" ht="11.25" customHeight="1" x14ac:dyDescent="0.2">
      <c r="A69" s="158"/>
      <c r="B69" s="973" t="s">
        <v>22</v>
      </c>
      <c r="C69" s="974"/>
      <c r="D69" s="974"/>
      <c r="E69" s="974"/>
      <c r="F69" s="974"/>
      <c r="G69" s="974"/>
      <c r="H69" s="9"/>
      <c r="I69" s="9"/>
      <c r="J69" s="13"/>
      <c r="K69" s="9"/>
      <c r="L69" s="9"/>
      <c r="M69" s="9"/>
      <c r="N69" s="9"/>
      <c r="O69" s="9"/>
      <c r="P69" s="9"/>
      <c r="Q69" s="9"/>
      <c r="R69" s="9"/>
      <c r="S69" s="9"/>
      <c r="T69" s="9"/>
      <c r="U69" s="11"/>
      <c r="V69" s="11"/>
      <c r="W69" s="11"/>
      <c r="X69" s="12"/>
      <c r="Y69" s="12"/>
      <c r="Z69" s="12"/>
      <c r="AA69" s="12"/>
      <c r="AB69" s="12"/>
      <c r="AC69" s="281"/>
      <c r="AD69" s="81"/>
      <c r="AE69" s="81"/>
    </row>
    <row r="70" spans="1:31" s="80" customFormat="1" ht="11.25" customHeight="1" x14ac:dyDescent="0.2">
      <c r="A70" s="158"/>
      <c r="B70" s="973"/>
      <c r="C70" s="974"/>
      <c r="D70" s="974"/>
      <c r="E70" s="974"/>
      <c r="F70" s="974"/>
      <c r="G70" s="974"/>
      <c r="H70" s="9"/>
      <c r="I70" s="9"/>
      <c r="J70" s="13"/>
      <c r="K70" s="9"/>
      <c r="L70" s="9"/>
      <c r="M70" s="9"/>
      <c r="N70" s="9"/>
      <c r="O70" s="9"/>
      <c r="P70" s="9"/>
      <c r="Q70" s="9"/>
      <c r="R70" s="9"/>
      <c r="S70" s="9"/>
      <c r="T70" s="9"/>
      <c r="U70" s="11"/>
      <c r="V70" s="11"/>
      <c r="W70" s="11"/>
      <c r="X70" s="12"/>
      <c r="Y70" s="12"/>
      <c r="Z70" s="12"/>
      <c r="AA70" s="12"/>
      <c r="AB70" s="12"/>
      <c r="AC70" s="281"/>
      <c r="AD70" s="81"/>
      <c r="AE70" s="81"/>
    </row>
    <row r="71" spans="1:31" s="80" customFormat="1" ht="11.25" customHeight="1" x14ac:dyDescent="0.2">
      <c r="A71" s="158"/>
      <c r="B71" s="973" t="s">
        <v>874</v>
      </c>
      <c r="C71" s="975"/>
      <c r="D71" s="975"/>
      <c r="E71" s="975"/>
      <c r="F71" s="975"/>
      <c r="G71" s="975"/>
      <c r="H71" s="9"/>
      <c r="I71" s="9"/>
      <c r="J71" s="13"/>
      <c r="K71" s="9"/>
      <c r="L71" s="9"/>
      <c r="M71" s="9"/>
      <c r="N71" s="9"/>
      <c r="O71" s="9"/>
      <c r="P71" s="9"/>
      <c r="Q71" s="9"/>
      <c r="R71" s="9"/>
      <c r="S71" s="9"/>
      <c r="T71" s="9"/>
      <c r="U71" s="11"/>
      <c r="V71" s="11"/>
      <c r="W71" s="11"/>
      <c r="X71" s="12"/>
      <c r="Y71" s="12"/>
      <c r="Z71" s="12"/>
      <c r="AA71" s="12"/>
      <c r="AB71" s="12"/>
      <c r="AC71" s="281"/>
      <c r="AD71" s="81"/>
      <c r="AE71" s="81"/>
    </row>
    <row r="72" spans="1:31" s="80" customFormat="1" ht="11.25" customHeight="1" x14ac:dyDescent="0.2">
      <c r="A72" s="158"/>
      <c r="B72" s="973"/>
      <c r="C72" s="975"/>
      <c r="D72" s="975"/>
      <c r="E72" s="975"/>
      <c r="F72" s="975"/>
      <c r="G72" s="975"/>
      <c r="H72" s="9"/>
      <c r="I72" s="9"/>
      <c r="J72" s="13"/>
      <c r="K72" s="9"/>
      <c r="L72" s="9"/>
      <c r="M72" s="9"/>
      <c r="N72" s="9"/>
      <c r="O72" s="9"/>
      <c r="P72" s="9"/>
      <c r="Q72" s="9"/>
      <c r="R72" s="9"/>
      <c r="S72" s="9"/>
      <c r="T72" s="9"/>
      <c r="U72" s="11"/>
      <c r="V72" s="11"/>
      <c r="W72" s="11"/>
      <c r="X72" s="12"/>
      <c r="Y72" s="12"/>
      <c r="Z72" s="12"/>
      <c r="AA72" s="12"/>
      <c r="AB72" s="12"/>
      <c r="AC72" s="281"/>
      <c r="AD72" s="81"/>
      <c r="AE72" s="81"/>
    </row>
    <row r="73" spans="1:31" s="80" customFormat="1" ht="11.25" customHeight="1" x14ac:dyDescent="0.2">
      <c r="A73" s="158"/>
      <c r="B73" s="973"/>
      <c r="C73" s="973"/>
      <c r="D73" s="973"/>
      <c r="E73" s="973"/>
      <c r="F73" s="975"/>
      <c r="G73" s="975"/>
      <c r="H73" s="975"/>
      <c r="I73" s="9"/>
      <c r="J73" s="13"/>
      <c r="K73" s="9"/>
      <c r="L73" s="9"/>
      <c r="M73" s="9"/>
      <c r="N73" s="9"/>
      <c r="O73" s="9"/>
      <c r="P73" s="9"/>
      <c r="Q73" s="9"/>
      <c r="R73" s="9"/>
      <c r="S73" s="9"/>
      <c r="T73" s="9"/>
      <c r="U73" s="11"/>
      <c r="V73" s="11"/>
      <c r="W73" s="11"/>
      <c r="X73" s="12"/>
      <c r="Y73" s="12"/>
      <c r="Z73" s="12"/>
      <c r="AA73" s="12"/>
      <c r="AB73" s="12"/>
      <c r="AC73" s="281"/>
      <c r="AD73" s="81"/>
      <c r="AE73" s="81"/>
    </row>
    <row r="74" spans="1:31" s="80" customFormat="1" ht="11.25" customHeight="1" x14ac:dyDescent="0.2">
      <c r="A74" s="158"/>
      <c r="B74" s="973"/>
      <c r="C74" s="973"/>
      <c r="D74" s="973"/>
      <c r="E74" s="973"/>
      <c r="F74" s="975"/>
      <c r="G74" s="975"/>
      <c r="H74" s="975"/>
      <c r="I74" s="9"/>
      <c r="J74" s="13"/>
      <c r="K74" s="9"/>
      <c r="L74" s="9"/>
      <c r="M74" s="9"/>
      <c r="N74" s="9"/>
      <c r="O74" s="9"/>
      <c r="P74" s="9"/>
      <c r="Q74" s="9"/>
      <c r="R74" s="9"/>
      <c r="S74" s="9"/>
      <c r="T74" s="9"/>
      <c r="U74" s="11"/>
      <c r="V74" s="11"/>
      <c r="W74" s="11"/>
      <c r="X74" s="12"/>
      <c r="Y74" s="12"/>
      <c r="Z74" s="12"/>
      <c r="AA74" s="12"/>
      <c r="AB74" s="12"/>
      <c r="AC74" s="281"/>
      <c r="AD74" s="81"/>
      <c r="AE74" s="81"/>
    </row>
    <row r="75" spans="1:31" ht="11.25" customHeight="1" x14ac:dyDescent="0.2">
      <c r="A75" s="286"/>
      <c r="B75" s="284"/>
      <c r="C75" s="284"/>
      <c r="D75" s="320"/>
      <c r="E75" s="284"/>
      <c r="F75" s="284"/>
      <c r="G75" s="284"/>
      <c r="H75" s="284"/>
      <c r="I75" s="284"/>
      <c r="J75" s="284"/>
      <c r="K75" s="284"/>
      <c r="L75" s="284"/>
      <c r="M75" s="284"/>
      <c r="N75" s="284"/>
      <c r="O75" s="284"/>
      <c r="P75" s="284"/>
      <c r="Q75" s="284"/>
      <c r="R75" s="284"/>
      <c r="S75" s="284"/>
      <c r="T75" s="284"/>
      <c r="U75" s="284"/>
      <c r="V75" s="284"/>
      <c r="W75" s="320"/>
      <c r="X75" s="284"/>
      <c r="Y75" s="284"/>
      <c r="Z75" s="284"/>
      <c r="AA75" s="284"/>
      <c r="AB75" s="284"/>
      <c r="AC75" s="285"/>
    </row>
    <row r="90" spans="30:32" ht="11.25" customHeight="1" x14ac:dyDescent="0.2">
      <c r="AD90" s="80"/>
      <c r="AE90" s="80"/>
    </row>
    <row r="91" spans="30:32" ht="11.25" customHeight="1" x14ac:dyDescent="0.2">
      <c r="AD91" s="80"/>
      <c r="AE91" s="80"/>
    </row>
    <row r="92" spans="30:32" ht="11.25" customHeight="1" x14ac:dyDescent="0.2">
      <c r="AD92" s="80"/>
      <c r="AE92" s="80"/>
    </row>
    <row r="95" spans="30:32" ht="11.25" customHeight="1" x14ac:dyDescent="0.2">
      <c r="AD95" s="85"/>
      <c r="AE95" s="85"/>
      <c r="AF95" s="85"/>
    </row>
    <row r="134" spans="30:32" ht="11.25" customHeight="1" x14ac:dyDescent="0.2">
      <c r="AD134" s="80"/>
      <c r="AE134" s="80"/>
    </row>
    <row r="135" spans="30:32" ht="11.25" customHeight="1" x14ac:dyDescent="0.2">
      <c r="AD135" s="80"/>
      <c r="AE135" s="80"/>
    </row>
    <row r="136" spans="30:32" ht="11.25" customHeight="1" x14ac:dyDescent="0.2">
      <c r="AD136" s="80"/>
      <c r="AE136" s="80"/>
    </row>
    <row r="139" spans="30:32" ht="11.25" customHeight="1" x14ac:dyDescent="0.2">
      <c r="AD139" s="85"/>
      <c r="AE139" s="85"/>
      <c r="AF139" s="85"/>
    </row>
    <row r="178" spans="30:32" ht="11.25" customHeight="1" x14ac:dyDescent="0.2">
      <c r="AD178" s="80"/>
      <c r="AE178" s="80"/>
    </row>
    <row r="179" spans="30:32" ht="11.25" customHeight="1" x14ac:dyDescent="0.2">
      <c r="AD179" s="80"/>
      <c r="AE179" s="80"/>
    </row>
    <row r="180" spans="30:32" ht="11.25" customHeight="1" x14ac:dyDescent="0.2">
      <c r="AD180" s="80"/>
      <c r="AE180" s="80"/>
    </row>
    <row r="183" spans="30:32" ht="11.25" customHeight="1" x14ac:dyDescent="0.2">
      <c r="AD183" s="85"/>
      <c r="AE183" s="85"/>
      <c r="AF183" s="85"/>
    </row>
    <row r="222" spans="30:31" ht="11.25" customHeight="1" x14ac:dyDescent="0.2">
      <c r="AD222" s="80"/>
      <c r="AE222" s="80"/>
    </row>
    <row r="223" spans="30:31" ht="11.25" customHeight="1" x14ac:dyDescent="0.2">
      <c r="AD223" s="80"/>
      <c r="AE223" s="80"/>
    </row>
    <row r="224" spans="30:31" ht="11.25" customHeight="1" x14ac:dyDescent="0.2">
      <c r="AD224" s="80"/>
      <c r="AE224" s="80"/>
    </row>
    <row r="227" spans="30:32" ht="11.25" customHeight="1" x14ac:dyDescent="0.2">
      <c r="AD227" s="85"/>
      <c r="AE227" s="85"/>
      <c r="AF227" s="85"/>
    </row>
    <row r="266" spans="30:32" ht="11.25" customHeight="1" x14ac:dyDescent="0.2">
      <c r="AD266" s="80"/>
      <c r="AE266" s="80"/>
    </row>
    <row r="267" spans="30:32" ht="11.25" customHeight="1" x14ac:dyDescent="0.2">
      <c r="AD267" s="80"/>
      <c r="AE267" s="80"/>
    </row>
    <row r="268" spans="30:32" ht="11.25" customHeight="1" x14ac:dyDescent="0.2">
      <c r="AD268" s="80"/>
      <c r="AE268" s="80"/>
    </row>
    <row r="271" spans="30:32" ht="11.25" customHeight="1" x14ac:dyDescent="0.2">
      <c r="AD271" s="85"/>
      <c r="AE271" s="85"/>
      <c r="AF271" s="85"/>
    </row>
    <row r="310" spans="30:32" ht="11.25" customHeight="1" x14ac:dyDescent="0.2">
      <c r="AD310" s="80"/>
      <c r="AE310" s="80"/>
    </row>
    <row r="311" spans="30:32" ht="11.25" customHeight="1" x14ac:dyDescent="0.2">
      <c r="AD311" s="80"/>
      <c r="AE311" s="80"/>
    </row>
    <row r="312" spans="30:32" ht="11.25" customHeight="1" x14ac:dyDescent="0.2">
      <c r="AD312" s="80"/>
      <c r="AE312" s="80"/>
    </row>
    <row r="315" spans="30:32" ht="11.25" customHeight="1" x14ac:dyDescent="0.2">
      <c r="AD315" s="85"/>
      <c r="AE315" s="85"/>
      <c r="AF315" s="85"/>
    </row>
    <row r="354" spans="30:32" ht="11.25" customHeight="1" x14ac:dyDescent="0.2">
      <c r="AD354" s="80"/>
      <c r="AE354" s="80"/>
    </row>
    <row r="355" spans="30:32" ht="11.25" customHeight="1" x14ac:dyDescent="0.2">
      <c r="AD355" s="80"/>
      <c r="AE355" s="80"/>
    </row>
    <row r="356" spans="30:32" ht="11.25" customHeight="1" x14ac:dyDescent="0.2">
      <c r="AD356" s="80"/>
      <c r="AE356" s="80"/>
    </row>
    <row r="359" spans="30:32" ht="11.25" customHeight="1" x14ac:dyDescent="0.2">
      <c r="AD359" s="85"/>
      <c r="AE359" s="85"/>
      <c r="AF359" s="85"/>
    </row>
    <row r="398" spans="30:31" ht="11.25" customHeight="1" x14ac:dyDescent="0.2">
      <c r="AD398" s="80"/>
      <c r="AE398" s="80"/>
    </row>
    <row r="399" spans="30:31" ht="11.25" customHeight="1" x14ac:dyDescent="0.2">
      <c r="AD399" s="80"/>
      <c r="AE399" s="80"/>
    </row>
    <row r="400" spans="30:31" ht="11.25" customHeight="1" x14ac:dyDescent="0.2">
      <c r="AD400" s="80"/>
      <c r="AE400" s="80"/>
    </row>
    <row r="403" spans="30:32" ht="11.25" customHeight="1" x14ac:dyDescent="0.2">
      <c r="AD403" s="85"/>
      <c r="AE403" s="85"/>
      <c r="AF403" s="85"/>
    </row>
  </sheetData>
  <sheetProtection selectLockedCells="1"/>
  <mergeCells count="47">
    <mergeCell ref="B6:AA6"/>
    <mergeCell ref="Z8:Z9"/>
    <mergeCell ref="AA8:AA9"/>
    <mergeCell ref="F8:F9"/>
    <mergeCell ref="G8:G9"/>
    <mergeCell ref="H8:H9"/>
    <mergeCell ref="X8:X9"/>
    <mergeCell ref="Y8:Y9"/>
    <mergeCell ref="N8:N9"/>
    <mergeCell ref="R8:R9"/>
    <mergeCell ref="O8:O9"/>
    <mergeCell ref="P8:P9"/>
    <mergeCell ref="E7:E9"/>
    <mergeCell ref="D7:D9"/>
    <mergeCell ref="B37:B38"/>
    <mergeCell ref="B39:G40"/>
    <mergeCell ref="F7:AA7"/>
    <mergeCell ref="B7:B9"/>
    <mergeCell ref="C7:C9"/>
    <mergeCell ref="S8:S9"/>
    <mergeCell ref="T8:T9"/>
    <mergeCell ref="U8:U9"/>
    <mergeCell ref="I8:I9"/>
    <mergeCell ref="J8:J9"/>
    <mergeCell ref="K8:K9"/>
    <mergeCell ref="L8:L9"/>
    <mergeCell ref="M8:M9"/>
    <mergeCell ref="Q8:Q9"/>
    <mergeCell ref="V8:V9"/>
    <mergeCell ref="W8:W9"/>
    <mergeCell ref="B73:H74"/>
    <mergeCell ref="B69:G70"/>
    <mergeCell ref="B71:G72"/>
    <mergeCell ref="B63:H64"/>
    <mergeCell ref="B61:G62"/>
    <mergeCell ref="B65:G66"/>
    <mergeCell ref="B67:G68"/>
    <mergeCell ref="B53:G54"/>
    <mergeCell ref="B55:G56"/>
    <mergeCell ref="B57:G58"/>
    <mergeCell ref="B59:G60"/>
    <mergeCell ref="B41:G42"/>
    <mergeCell ref="B43:G44"/>
    <mergeCell ref="B51:G52"/>
    <mergeCell ref="B45:F46"/>
    <mergeCell ref="B47:F48"/>
    <mergeCell ref="B49:F50"/>
  </mergeCells>
  <phoneticPr fontId="5" type="noConversion"/>
  <conditionalFormatting sqref="C10:E31">
    <cfRule type="expression" dxfId="269" priority="2">
      <formula>$C10=$AE$2</formula>
    </cfRule>
  </conditionalFormatting>
  <conditionalFormatting sqref="B10:B31 F10:AA31">
    <cfRule type="expression" dxfId="268" priority="1">
      <formula>$C10=$AE$2</formula>
    </cfRule>
  </conditionalFormatting>
  <hyperlinks>
    <hyperlink ref="B39:B40" location="Coverage!A1" display="Participating LA's"/>
    <hyperlink ref="B41:B42" location="IDACI!A1" display="IDACI"/>
    <hyperlink ref="B71:B72" location="Adoption!A1" display="Adoption"/>
    <hyperlink ref="B69:B70" location="'Looked After Children'!A1" display="Looked After Children"/>
    <hyperlink ref="B67:B68" location="'Court Applications'!A1" display="Court Applications"/>
    <hyperlink ref="B65:B66" location="'Child Protection Plans'!A1" display="Child Protection Plans"/>
    <hyperlink ref="B63:B64" location="'Initial CP Conferences'!A1" display="Initial Child Protection Conferences"/>
    <hyperlink ref="B61:B62" location="'Section 47 Enquiries'!A1" display="Section 47 Enquiries"/>
    <hyperlink ref="B59:B60" location="'Children in Need'!A1" display="Children in Need"/>
    <hyperlink ref="B57:B58" location="Assessments!A1" display="Assessments"/>
    <hyperlink ref="B55:B56" location="'Re-referrals'!A1" display="Re-referrals"/>
    <hyperlink ref="B53:B54" location="Referral_Source!A1" display="Referral Source"/>
    <hyperlink ref="B51:B52" location="Referrals!A1" display="Referrals"/>
    <hyperlink ref="B43:B44" location="Population!A1" display="Population"/>
    <hyperlink ref="B41:G42" location="IDACI!A1" display="IDACI"/>
    <hyperlink ref="B45:B46" location="CAF_EHA!A1" display="CAF (EHA's)"/>
    <hyperlink ref="B49:B50" location="CAF_EHA!A1" display="CAF (EHA's)"/>
    <hyperlink ref="B47:B48" location="CAF_EHA!A1" display="CAF (EHA's)"/>
    <hyperlink ref="B45:F46" location="EH_Referrals!A1" display="Early Help Referrals"/>
    <hyperlink ref="B47:F48" location="EH_Assessments!A1" display="Early Help Assessments"/>
    <hyperlink ref="B49:F50" location="EH_Clients!A1" display="Early Help Clients"/>
    <hyperlink ref="B71:G72" location="Adoption!A1" display="Permanenc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635</vt:i4>
      </vt:variant>
    </vt:vector>
  </HeadingPairs>
  <TitlesOfParts>
    <vt:vector size="657" baseType="lpstr">
      <vt:lpstr>Sheet1</vt:lpstr>
      <vt:lpstr>Year 1</vt:lpstr>
      <vt:lpstr>Year 2</vt:lpstr>
      <vt:lpstr>Year 3</vt:lpstr>
      <vt:lpstr>Year 4</vt:lpstr>
      <vt:lpstr>Year 5</vt:lpstr>
      <vt:lpstr>Frontpage</vt:lpstr>
      <vt:lpstr>Home</vt:lpstr>
      <vt:lpstr>Coverage</vt:lpstr>
      <vt:lpstr>IDACI</vt:lpstr>
      <vt:lpstr>Population</vt:lpstr>
      <vt:lpstr>Referrals</vt:lpstr>
      <vt:lpstr>Referral_Source</vt:lpstr>
      <vt:lpstr>Re-referrals</vt:lpstr>
      <vt:lpstr>Assessments</vt:lpstr>
      <vt:lpstr>Children in Need</vt:lpstr>
      <vt:lpstr>Section 47 Enquiries</vt:lpstr>
      <vt:lpstr>Initial CP Conferences</vt:lpstr>
      <vt:lpstr>Child Protection Plans</vt:lpstr>
      <vt:lpstr>Court Applications</vt:lpstr>
      <vt:lpstr>Looked After Children</vt:lpstr>
      <vt:lpstr>Adoption</vt:lpstr>
      <vt:lpstr>Sheet1!BMLIST</vt:lpstr>
      <vt:lpstr>Adoption!Print_Area</vt:lpstr>
      <vt:lpstr>Assessments!Print_Area</vt:lpstr>
      <vt:lpstr>'Child Protection Plans'!Print_Area</vt:lpstr>
      <vt:lpstr>'Children in Need'!Print_Area</vt:lpstr>
      <vt:lpstr>'Court Applications'!Print_Area</vt:lpstr>
      <vt:lpstr>Coverage!Print_Area</vt:lpstr>
      <vt:lpstr>Frontpage!Print_Area</vt:lpstr>
      <vt:lpstr>Home!Print_Area</vt:lpstr>
      <vt:lpstr>IDACI!Print_Area</vt:lpstr>
      <vt:lpstr>'Initial CP Conferences'!Print_Area</vt:lpstr>
      <vt:lpstr>'Looked After Children'!Print_Area</vt:lpstr>
      <vt:lpstr>Population!Print_Area</vt:lpstr>
      <vt:lpstr>Referral_Source!Print_Area</vt:lpstr>
      <vt:lpstr>Referrals!Print_Area</vt:lpstr>
      <vt:lpstr>'Re-referrals'!Print_Area</vt:lpstr>
      <vt:lpstr>'Section 47 Enquiries'!Print_Area</vt:lpstr>
      <vt:lpstr>Home!Print_Titles</vt:lpstr>
      <vt:lpstr>Year1__electively_home_educated</vt:lpstr>
      <vt:lpstr>Year1_16_17_NEET</vt:lpstr>
      <vt:lpstr>Year1_16_17_not_known</vt:lpstr>
      <vt:lpstr>Year1_16_17_participating_in_EET</vt:lpstr>
      <vt:lpstr>Year1_Adoption_ceased_LAC</vt:lpstr>
      <vt:lpstr>Year1_Adoption_LAC_Adopted</vt:lpstr>
      <vt:lpstr>Year1_Adoption_LAC_Adopted_days</vt:lpstr>
      <vt:lpstr>Year1_Adoption_LAC_Adopted_placed_with_12months</vt:lpstr>
      <vt:lpstr>Year1_Adoption_PFA</vt:lpstr>
      <vt:lpstr>Year1_Assessments</vt:lpstr>
      <vt:lpstr>Year1_Assessments_10days</vt:lpstr>
      <vt:lpstr>Year1_Assessments_11_25days</vt:lpstr>
      <vt:lpstr>Year1_Assessments_26_35days</vt:lpstr>
      <vt:lpstr>Year1_Assessments_36_45days</vt:lpstr>
      <vt:lpstr>Year1_Assessments_No_further_action</vt:lpstr>
      <vt:lpstr>Year1_Assessments_over_45days</vt:lpstr>
      <vt:lpstr>Year1_Assessments_step_down</vt:lpstr>
      <vt:lpstr>Year1_Assessments_within45days</vt:lpstr>
      <vt:lpstr>Year1_Bracknell_Forest</vt:lpstr>
      <vt:lpstr>Year1_Brighton_Hove</vt:lpstr>
      <vt:lpstr>Year1_Buckinghamshire</vt:lpstr>
      <vt:lpstr>Year1_CAO_RO_FundedLA</vt:lpstr>
      <vt:lpstr>Year1_CAO_RO_Total</vt:lpstr>
      <vt:lpstr>Year1_Care_Leavers_16_18th_birthday</vt:lpstr>
      <vt:lpstr>Year1_Care_Leavers_at_end_of_period</vt:lpstr>
      <vt:lpstr>Year1_Care_Leavers_in_EET</vt:lpstr>
      <vt:lpstr>Year1_Care_Leavers_in_suitable_accommodation</vt:lpstr>
      <vt:lpstr>Year1_Care_Leavers_in_touch</vt:lpstr>
      <vt:lpstr>Year1_Children_missing_Education</vt:lpstr>
      <vt:lpstr>Year1_CIN</vt:lpstr>
      <vt:lpstr>Year1_CIN_Section47</vt:lpstr>
      <vt:lpstr>Year1_Contacts</vt:lpstr>
      <vt:lpstr>Year1_Continuous_assessments</vt:lpstr>
      <vt:lpstr>Year1_CP_Conference</vt:lpstr>
      <vt:lpstr>Year1_CP_Conference_within15days</vt:lpstr>
      <vt:lpstr>Year1_CP_Plans</vt:lpstr>
      <vt:lpstr>Year1_CP_Plans_3months</vt:lpstr>
      <vt:lpstr>Year1_CP_Plans_3months_timescales</vt:lpstr>
      <vt:lpstr>Year1_CP_Plans_became_subject</vt:lpstr>
      <vt:lpstr>Year1_CP_Plans_became_subject_second</vt:lpstr>
      <vt:lpstr>Year1_CP_Plans_became_subject_second_2years</vt:lpstr>
      <vt:lpstr>Year1_CP_Plans_ceased</vt:lpstr>
      <vt:lpstr>Year1_CP_Plans_ceased_2years</vt:lpstr>
      <vt:lpstr>Year1_CP_Plans_Seen_in_Timescales</vt:lpstr>
      <vt:lpstr>Year1_EarlyHelpAssessments</vt:lpstr>
      <vt:lpstr>Year1_EarlyHelpAssessmentsOngoing</vt:lpstr>
      <vt:lpstr>Year1_EarlyHelpAssessmentsStepUp</vt:lpstr>
      <vt:lpstr>Year1_EarlyHelpedChildren</vt:lpstr>
      <vt:lpstr>Year1_EarlyHelpReferrals</vt:lpstr>
      <vt:lpstr>Year1_EarlyHelpReferralsOntoASSESSMENT</vt:lpstr>
      <vt:lpstr>Year1_EarlyHelpReferralsSTEPDOWN</vt:lpstr>
      <vt:lpstr>Year1_EarlyHelpReReferrals</vt:lpstr>
      <vt:lpstr>Year1_East_Sussex</vt:lpstr>
      <vt:lpstr>Year1_England</vt:lpstr>
      <vt:lpstr>Year1_First_Time_Entrants_to_Youth_Justice_system</vt:lpstr>
      <vt:lpstr>Year1_Hampshire</vt:lpstr>
      <vt:lpstr>Year1_Isle_of_Wight</vt:lpstr>
      <vt:lpstr>Year1_Juvenile_Offenders__Age_10_17</vt:lpstr>
      <vt:lpstr>Year1_Juvenile_Re_offenders__Age_10_17</vt:lpstr>
      <vt:lpstr>Year1_Kent</vt:lpstr>
      <vt:lpstr>Year1_LAC</vt:lpstr>
      <vt:lpstr>Year1_LAC_10to15</vt:lpstr>
      <vt:lpstr>Year1_LAC_16plus</vt:lpstr>
      <vt:lpstr>Year1_LAC_1to4</vt:lpstr>
      <vt:lpstr>Year1_LAC_3_or_more_Placements</vt:lpstr>
      <vt:lpstr>Year1_LAC_4weeks</vt:lpstr>
      <vt:lpstr>Year1_LAC_4weeks_reviews_in_timescales</vt:lpstr>
      <vt:lpstr>Year1_LAC_5to9</vt:lpstr>
      <vt:lpstr>Year1_LAC_Remanded</vt:lpstr>
      <vt:lpstr>Year1_LAC_Start</vt:lpstr>
      <vt:lpstr>Year1_LAC_Start_2nd_time</vt:lpstr>
      <vt:lpstr>Year1_LAC_UASC</vt:lpstr>
      <vt:lpstr>Year1_LAC_Under1</vt:lpstr>
      <vt:lpstr>Year1_LAC_under16</vt:lpstr>
      <vt:lpstr>Year1_LAC_under16_2.5years</vt:lpstr>
      <vt:lpstr>Year1_LAC_under16_2.5years_sameplacement2years</vt:lpstr>
      <vt:lpstr>Year1_Medway</vt:lpstr>
      <vt:lpstr>Year1_Milton_Keynes</vt:lpstr>
      <vt:lpstr>Year1_New_EHC__within_20_weeks</vt:lpstr>
      <vt:lpstr>Year1_Number_EHC_Plans</vt:lpstr>
      <vt:lpstr>Year1_Oxfordshire</vt:lpstr>
      <vt:lpstr>Year1_Portsmouth</vt:lpstr>
      <vt:lpstr>Year1_Reading</vt:lpstr>
      <vt:lpstr>Year1_Referrals</vt:lpstr>
      <vt:lpstr>Year1_ReferralsAssessment</vt:lpstr>
      <vt:lpstr>Year1_ReferralSource_Anonymous</vt:lpstr>
      <vt:lpstr>Year1_ReferralSource_EducationServices</vt:lpstr>
      <vt:lpstr>Year1_ReferralSource_Health_services_AE</vt:lpstr>
      <vt:lpstr>Year1_ReferralSource_Health_services_GP</vt:lpstr>
      <vt:lpstr>Year1_ReferralSource_Health_services_HealthVisitor</vt:lpstr>
      <vt:lpstr>Year1_ReferralSource_Health_services_Other</vt:lpstr>
      <vt:lpstr>Year1_ReferralSource_Health_services_OthPrimary</vt:lpstr>
      <vt:lpstr>Year1_ReferralSource_Health_services_SchoolNurse</vt:lpstr>
      <vt:lpstr>Year1_ReferralSource_Housing</vt:lpstr>
      <vt:lpstr>Year1_ReferralSource_Individual_Acquaintance</vt:lpstr>
      <vt:lpstr>Year1_ReferralSource_Individual_Family</vt:lpstr>
      <vt:lpstr>Year1_ReferralSource_Individual_Other</vt:lpstr>
      <vt:lpstr>Year1_ReferralSource_Individual_Self</vt:lpstr>
      <vt:lpstr>Year1_ReferralSource_LA_External</vt:lpstr>
      <vt:lpstr>Year1_ReferralSource_LA_Other</vt:lpstr>
      <vt:lpstr>Year1_ReferralSource_LA_SC</vt:lpstr>
      <vt:lpstr>Year1_ReferralSource_Other</vt:lpstr>
      <vt:lpstr>Year1_ReferralSource_Other_Legal</vt:lpstr>
      <vt:lpstr>Year1_ReferralSource_Police</vt:lpstr>
      <vt:lpstr>Year1_ReferralSource_School</vt:lpstr>
      <vt:lpstr>Year1_ReferralSource_Unknown</vt:lpstr>
      <vt:lpstr>Year1_ReferralsPriorEH</vt:lpstr>
      <vt:lpstr>Year1_ReReferrals</vt:lpstr>
      <vt:lpstr>Year1_ROSGO_ceased_LAC_CAO</vt:lpstr>
      <vt:lpstr>Year1_ROSGO_ceased_LAC_SGO</vt:lpstr>
      <vt:lpstr>Year1_SGO_fundedLA</vt:lpstr>
      <vt:lpstr>Year1_SGO_total</vt:lpstr>
      <vt:lpstr>Year1_Slough</vt:lpstr>
      <vt:lpstr>Year1_Somerset</vt:lpstr>
      <vt:lpstr>Year1_Southampton</vt:lpstr>
      <vt:lpstr>Year1_SouthEast</vt:lpstr>
      <vt:lpstr>Year1_Surrey</vt:lpstr>
      <vt:lpstr>Year1_Swindon</vt:lpstr>
      <vt:lpstr>Year1_Torbay</vt:lpstr>
      <vt:lpstr>Year1_West_Berkshire</vt:lpstr>
      <vt:lpstr>Year1_West_Sussex</vt:lpstr>
      <vt:lpstr>Year1_Windsor_Maidenhead</vt:lpstr>
      <vt:lpstr>Year1_Wokingham</vt:lpstr>
      <vt:lpstr>Year2__electively_home_educated</vt:lpstr>
      <vt:lpstr>Year2_16_17_NEET</vt:lpstr>
      <vt:lpstr>Year2_16_17_not_known</vt:lpstr>
      <vt:lpstr>Year2_16_17_participating_in_EET</vt:lpstr>
      <vt:lpstr>Year2_Adoption_ceased_LAC</vt:lpstr>
      <vt:lpstr>Year2_Adoption_LAC_Adopted</vt:lpstr>
      <vt:lpstr>Year2_Adoption_LAC_Adopted_days</vt:lpstr>
      <vt:lpstr>Year2_Adoption_LAC_Adopted_placed_with_12months</vt:lpstr>
      <vt:lpstr>Year2_Adoption_PFA</vt:lpstr>
      <vt:lpstr>Year2_Assessments</vt:lpstr>
      <vt:lpstr>Year2_Assessments_10days</vt:lpstr>
      <vt:lpstr>Year2_Assessments_11_25days</vt:lpstr>
      <vt:lpstr>Year2_Assessments_26_35days</vt:lpstr>
      <vt:lpstr>Year2_Assessments_36_45days</vt:lpstr>
      <vt:lpstr>Year2_Assessments_No_further_action</vt:lpstr>
      <vt:lpstr>Year2_Assessments_over_45days</vt:lpstr>
      <vt:lpstr>Year2_Assessments_step_down</vt:lpstr>
      <vt:lpstr>Year2_Assessments_within45days</vt:lpstr>
      <vt:lpstr>Year2_Bracknell_Forest</vt:lpstr>
      <vt:lpstr>Year2_Brighton_Hove</vt:lpstr>
      <vt:lpstr>Year2_Buckinghamshire</vt:lpstr>
      <vt:lpstr>Year2_CAO_RO_FundedLA</vt:lpstr>
      <vt:lpstr>Year2_CAO_RO_Total</vt:lpstr>
      <vt:lpstr>Year2_Care_Leavers_16_18th_birthday</vt:lpstr>
      <vt:lpstr>Year2_Care_Leavers_at_end_of_period</vt:lpstr>
      <vt:lpstr>Year2_Care_Leavers_in_EET</vt:lpstr>
      <vt:lpstr>Year2_Care_Leavers_in_suitable_accommodation</vt:lpstr>
      <vt:lpstr>Year2_Care_Leavers_in_touch</vt:lpstr>
      <vt:lpstr>Year2_Children_missing_Education</vt:lpstr>
      <vt:lpstr>Year2_CIN</vt:lpstr>
      <vt:lpstr>Year2_CIN_Section47</vt:lpstr>
      <vt:lpstr>Year2_Contacts</vt:lpstr>
      <vt:lpstr>Year2_Continuous_assessments</vt:lpstr>
      <vt:lpstr>Year2_CP_Conference</vt:lpstr>
      <vt:lpstr>Year2_CP_Conference_within15days</vt:lpstr>
      <vt:lpstr>Year2_CP_Plans</vt:lpstr>
      <vt:lpstr>Year2_CP_Plans_3months</vt:lpstr>
      <vt:lpstr>Year2_CP_Plans_3months_timescales</vt:lpstr>
      <vt:lpstr>Year2_CP_Plans_became_subject</vt:lpstr>
      <vt:lpstr>Year2_CP_Plans_became_subject_second</vt:lpstr>
      <vt:lpstr>Year2_CP_Plans_became_subject_second_2years</vt:lpstr>
      <vt:lpstr>Year2_CP_Plans_ceased</vt:lpstr>
      <vt:lpstr>Year2_CP_Plans_ceased_2years</vt:lpstr>
      <vt:lpstr>Year2_CP_Plans_Seen_in_Timescales</vt:lpstr>
      <vt:lpstr>Year2_EarlyHelpAssessments</vt:lpstr>
      <vt:lpstr>Year2_EarlyHelpAssessmentsOngoing</vt:lpstr>
      <vt:lpstr>Year2_EarlyHelpAssessmentsStepUp</vt:lpstr>
      <vt:lpstr>Year2_EarlyHelpedChildren</vt:lpstr>
      <vt:lpstr>Year2_EarlyHelpReferrals</vt:lpstr>
      <vt:lpstr>Year2_EarlyHelpReferralsOntoASSESSMENT</vt:lpstr>
      <vt:lpstr>Year2_EarlyHelpReferralsSTEPDOWN</vt:lpstr>
      <vt:lpstr>Year2_EarlyHelpReReferrals</vt:lpstr>
      <vt:lpstr>Year2_East_Sussex</vt:lpstr>
      <vt:lpstr>Year2_England</vt:lpstr>
      <vt:lpstr>Year2_First_Time_Entrants_to_Youth_Justice_system</vt:lpstr>
      <vt:lpstr>Year2_Hampshire</vt:lpstr>
      <vt:lpstr>Year2_Isle_of_Wight</vt:lpstr>
      <vt:lpstr>Year2_Juvenile_Offenders__Age_10_17</vt:lpstr>
      <vt:lpstr>Year2_Juvenile_Re_offenders__Age_10_17</vt:lpstr>
      <vt:lpstr>Year2_Kent</vt:lpstr>
      <vt:lpstr>Year2_LAC</vt:lpstr>
      <vt:lpstr>Year2_LAC_10to15</vt:lpstr>
      <vt:lpstr>Year2_LAC_16plus</vt:lpstr>
      <vt:lpstr>Year2_LAC_1to4</vt:lpstr>
      <vt:lpstr>Year2_LAC_3_or_more_Placements</vt:lpstr>
      <vt:lpstr>Year2_LAC_4weeks</vt:lpstr>
      <vt:lpstr>Year2_LAC_4weeks_reviews_in_timescales</vt:lpstr>
      <vt:lpstr>Year2_LAC_5to9</vt:lpstr>
      <vt:lpstr>Year2_LAC_Remanded</vt:lpstr>
      <vt:lpstr>Year2_LAC_Start</vt:lpstr>
      <vt:lpstr>Year2_LAC_Start_2nd_time</vt:lpstr>
      <vt:lpstr>Year2_LAC_UASC</vt:lpstr>
      <vt:lpstr>Year2_LAC_Under1</vt:lpstr>
      <vt:lpstr>Year2_LAC_under16</vt:lpstr>
      <vt:lpstr>Year2_LAC_under16_2.5years</vt:lpstr>
      <vt:lpstr>Year2_LAC_under16_2.5years_sameplacement2years</vt:lpstr>
      <vt:lpstr>Year2_Medway</vt:lpstr>
      <vt:lpstr>Year2_Milton_Keynes</vt:lpstr>
      <vt:lpstr>Year2_New_EHC__within_20_weeks</vt:lpstr>
      <vt:lpstr>Year2_Number_EHC_Plans</vt:lpstr>
      <vt:lpstr>Year2_Oxfordshire</vt:lpstr>
      <vt:lpstr>Year2_Portsmouth</vt:lpstr>
      <vt:lpstr>Year2_Reading</vt:lpstr>
      <vt:lpstr>Year2_Referrals</vt:lpstr>
      <vt:lpstr>Year2_ReferralsAssessment</vt:lpstr>
      <vt:lpstr>Year2_ReferralSource_Anonymous</vt:lpstr>
      <vt:lpstr>Year2_ReferralSource_EducationServices</vt:lpstr>
      <vt:lpstr>Year2_ReferralSource_Health_services_AE</vt:lpstr>
      <vt:lpstr>Year2_ReferralSource_Health_services_GP</vt:lpstr>
      <vt:lpstr>Year2_ReferralSource_Health_services_HealthVisitor</vt:lpstr>
      <vt:lpstr>Year2_ReferralSource_Health_services_Other</vt:lpstr>
      <vt:lpstr>Year2_ReferralSource_Health_services_OthPrimary</vt:lpstr>
      <vt:lpstr>Year2_ReferralSource_Health_services_SchoolNurse</vt:lpstr>
      <vt:lpstr>Year2_ReferralSource_Housing</vt:lpstr>
      <vt:lpstr>Year2_ReferralSource_Individual_Acquaintance</vt:lpstr>
      <vt:lpstr>Year2_ReferralSource_Individual_Family</vt:lpstr>
      <vt:lpstr>Year2_ReferralSource_Individual_Other</vt:lpstr>
      <vt:lpstr>Year2_ReferralSource_Individual_Self</vt:lpstr>
      <vt:lpstr>Year2_ReferralSource_LA_External</vt:lpstr>
      <vt:lpstr>Year2_ReferralSource_LA_Other</vt:lpstr>
      <vt:lpstr>Year2_ReferralSource_LA_SC</vt:lpstr>
      <vt:lpstr>Year2_ReferralSource_Other</vt:lpstr>
      <vt:lpstr>Year2_ReferralSource_Other_Legal</vt:lpstr>
      <vt:lpstr>Year2_ReferralSource_Police</vt:lpstr>
      <vt:lpstr>Year2_ReferralSource_School</vt:lpstr>
      <vt:lpstr>Year2_ReferralSource_Unknown</vt:lpstr>
      <vt:lpstr>Year2_ReferralsPriorEH</vt:lpstr>
      <vt:lpstr>Year2_ReReferrals</vt:lpstr>
      <vt:lpstr>Year2_ROSGO_ceased_LAC_CAO</vt:lpstr>
      <vt:lpstr>Year2_ROSGO_ceased_LAC_SGO</vt:lpstr>
      <vt:lpstr>Year2_SGO_fundedLA</vt:lpstr>
      <vt:lpstr>Year2_SGO_total</vt:lpstr>
      <vt:lpstr>Year2_Slough</vt:lpstr>
      <vt:lpstr>Year2_Somerset</vt:lpstr>
      <vt:lpstr>Year2_Southampton</vt:lpstr>
      <vt:lpstr>Year2_SouthEast</vt:lpstr>
      <vt:lpstr>Year2_Surrey</vt:lpstr>
      <vt:lpstr>Year2_Swindon</vt:lpstr>
      <vt:lpstr>Year2_Torbay</vt:lpstr>
      <vt:lpstr>Year2_West_Berkshire</vt:lpstr>
      <vt:lpstr>Year2_West_Sussex</vt:lpstr>
      <vt:lpstr>Year2_Windsor_Maidenhead</vt:lpstr>
      <vt:lpstr>Year2_Wokingham</vt:lpstr>
      <vt:lpstr>Year3__electively_home_educated</vt:lpstr>
      <vt:lpstr>Year3_16_17_NEET</vt:lpstr>
      <vt:lpstr>Year3_16_17_not_known</vt:lpstr>
      <vt:lpstr>Year3_16_17_participating_in_EET</vt:lpstr>
      <vt:lpstr>Year3_Adoption_ceased_LAC</vt:lpstr>
      <vt:lpstr>Year3_Adoption_LAC_Adopted</vt:lpstr>
      <vt:lpstr>Year3_Adoption_LAC_Adopted_days</vt:lpstr>
      <vt:lpstr>Year3_Adoption_LAC_Adopted_placed_with_12months</vt:lpstr>
      <vt:lpstr>Year3_Adoption_PFA</vt:lpstr>
      <vt:lpstr>Year3_Assessments</vt:lpstr>
      <vt:lpstr>Year3_Assessments_10days</vt:lpstr>
      <vt:lpstr>Year3_Assessments_11_25days</vt:lpstr>
      <vt:lpstr>Year3_Assessments_26_35days</vt:lpstr>
      <vt:lpstr>Year3_Assessments_36_45days</vt:lpstr>
      <vt:lpstr>Year3_Assessments_No_further_action</vt:lpstr>
      <vt:lpstr>Year3_Assessments_over_45days</vt:lpstr>
      <vt:lpstr>Year3_Assessments_step_down</vt:lpstr>
      <vt:lpstr>Year3_Assessments_within45days</vt:lpstr>
      <vt:lpstr>Year3_Bracknell_Forest</vt:lpstr>
      <vt:lpstr>Year3_Brighton_Hove</vt:lpstr>
      <vt:lpstr>Year3_Buckinghamshire</vt:lpstr>
      <vt:lpstr>Year3_CAO_RO_FundedLA</vt:lpstr>
      <vt:lpstr>Year3_CAO_RO_Total</vt:lpstr>
      <vt:lpstr>Year3_Care_Leavers_16_18th_birthday</vt:lpstr>
      <vt:lpstr>Year3_Care_Leavers_at_end_of_period</vt:lpstr>
      <vt:lpstr>Year3_Care_Leavers_in_EET</vt:lpstr>
      <vt:lpstr>Year3_Care_Leavers_in_suitable_accommodation</vt:lpstr>
      <vt:lpstr>Year3_Care_Leavers_in_touch</vt:lpstr>
      <vt:lpstr>Year3_Children_missing_Education</vt:lpstr>
      <vt:lpstr>Year3_CIN</vt:lpstr>
      <vt:lpstr>Year3_CIN_Section47</vt:lpstr>
      <vt:lpstr>Year3_Contacts</vt:lpstr>
      <vt:lpstr>Year3_Continuous_assessments</vt:lpstr>
      <vt:lpstr>Year3_CP_Conference</vt:lpstr>
      <vt:lpstr>Year3_CP_Conference_within15days</vt:lpstr>
      <vt:lpstr>Year3_CP_Plans</vt:lpstr>
      <vt:lpstr>Year3_CP_Plans_3months</vt:lpstr>
      <vt:lpstr>Year3_CP_Plans_3months_timescales</vt:lpstr>
      <vt:lpstr>Year3_CP_Plans_became_subject</vt:lpstr>
      <vt:lpstr>Year3_CP_Plans_became_subject_second</vt:lpstr>
      <vt:lpstr>Year3_CP_Plans_became_subject_second_2years</vt:lpstr>
      <vt:lpstr>Year3_CP_Plans_ceased</vt:lpstr>
      <vt:lpstr>Year3_CP_Plans_ceased_2years</vt:lpstr>
      <vt:lpstr>Year3_CP_Plans_Seen_in_Timescales</vt:lpstr>
      <vt:lpstr>Year3_EarlyHelpAssessments</vt:lpstr>
      <vt:lpstr>Year3_EarlyHelpAssessmentsOngoing</vt:lpstr>
      <vt:lpstr>Year3_EarlyHelpAssessmentsStepUp</vt:lpstr>
      <vt:lpstr>Year3_EarlyHelpedChildren</vt:lpstr>
      <vt:lpstr>Year3_EarlyHelpReferrals</vt:lpstr>
      <vt:lpstr>Year3_EarlyHelpReferralsOntoASSESSMENT</vt:lpstr>
      <vt:lpstr>Year3_EarlyHelpReferralsSTEPDOWN</vt:lpstr>
      <vt:lpstr>Year3_EarlyHelpReReferrals</vt:lpstr>
      <vt:lpstr>Year3_East_Sussex</vt:lpstr>
      <vt:lpstr>Year3_England</vt:lpstr>
      <vt:lpstr>Year3_First_Time_Entrants_to_Youth_Justice_system</vt:lpstr>
      <vt:lpstr>Year3_Hampshire</vt:lpstr>
      <vt:lpstr>Year3_Isle_of_Wight</vt:lpstr>
      <vt:lpstr>Year3_Juvenile_Offenders__Age_10_17</vt:lpstr>
      <vt:lpstr>Year3_Juvenile_Re_offenders__Age_10_17</vt:lpstr>
      <vt:lpstr>Year3_Kent</vt:lpstr>
      <vt:lpstr>Year3_LAC</vt:lpstr>
      <vt:lpstr>Year3_LAC_10to15</vt:lpstr>
      <vt:lpstr>Year3_LAC_16plus</vt:lpstr>
      <vt:lpstr>Year3_LAC_1to4</vt:lpstr>
      <vt:lpstr>Year3_LAC_3_or_more_Placements</vt:lpstr>
      <vt:lpstr>Year3_LAC_4weeks</vt:lpstr>
      <vt:lpstr>Year3_LAC_4weeks_reviews_in_timescales</vt:lpstr>
      <vt:lpstr>Year3_LAC_5to9</vt:lpstr>
      <vt:lpstr>Year3_LAC_Remanded</vt:lpstr>
      <vt:lpstr>Year3_LAC_Start</vt:lpstr>
      <vt:lpstr>Year3_LAC_Start_2nd_time</vt:lpstr>
      <vt:lpstr>Year3_LAC_UASC</vt:lpstr>
      <vt:lpstr>Year3_LAC_Under1</vt:lpstr>
      <vt:lpstr>Year3_LAC_under16</vt:lpstr>
      <vt:lpstr>Year3_LAC_under16_2.5years</vt:lpstr>
      <vt:lpstr>Year3_LAC_under16_2.5years_sameplacement2years</vt:lpstr>
      <vt:lpstr>Year3_Medway</vt:lpstr>
      <vt:lpstr>Year3_Milton_Keynes</vt:lpstr>
      <vt:lpstr>Year3_New_EHC__within_20_weeks</vt:lpstr>
      <vt:lpstr>Year3_Number_EHC_Plans</vt:lpstr>
      <vt:lpstr>Year3_Oxfordshire</vt:lpstr>
      <vt:lpstr>Year3_Portsmouth</vt:lpstr>
      <vt:lpstr>Year3_Reading</vt:lpstr>
      <vt:lpstr>Year3_Referrals</vt:lpstr>
      <vt:lpstr>Year3_ReferralsAssessment</vt:lpstr>
      <vt:lpstr>Year3_ReferralSource_Anonymous</vt:lpstr>
      <vt:lpstr>Year3_ReferralSource_EducationServices</vt:lpstr>
      <vt:lpstr>Year3_ReferralSource_Health_services_AE</vt:lpstr>
      <vt:lpstr>Year3_ReferralSource_Health_services_GP</vt:lpstr>
      <vt:lpstr>Year3_ReferralSource_Health_services_HealthVisitor</vt:lpstr>
      <vt:lpstr>Year3_ReferralSource_Health_services_Other</vt:lpstr>
      <vt:lpstr>Year3_ReferralSource_Health_services_OthPrimary</vt:lpstr>
      <vt:lpstr>Year3_ReferralSource_Health_services_SchoolNurse</vt:lpstr>
      <vt:lpstr>Year3_ReferralSource_Housing</vt:lpstr>
      <vt:lpstr>Year3_ReferralSource_Individual_Acquaintance</vt:lpstr>
      <vt:lpstr>Year3_ReferralSource_Individual_Family</vt:lpstr>
      <vt:lpstr>Year3_ReferralSource_Individual_Other</vt:lpstr>
      <vt:lpstr>Year3_ReferralSource_Individual_Self</vt:lpstr>
      <vt:lpstr>Year3_ReferralSource_LA_External</vt:lpstr>
      <vt:lpstr>Year3_ReferralSource_LA_Other</vt:lpstr>
      <vt:lpstr>Year3_ReferralSource_LA_SC</vt:lpstr>
      <vt:lpstr>Year3_ReferralSource_Other</vt:lpstr>
      <vt:lpstr>Year3_ReferralSource_Other_Legal</vt:lpstr>
      <vt:lpstr>Year3_ReferralSource_Police</vt:lpstr>
      <vt:lpstr>Year3_ReferralSource_School</vt:lpstr>
      <vt:lpstr>Year3_ReferralSource_Unknown</vt:lpstr>
      <vt:lpstr>Year3_ReferralsPriorEH</vt:lpstr>
      <vt:lpstr>Year3_ReReferrals</vt:lpstr>
      <vt:lpstr>Year3_ROSGO_ceased_LAC_CAO</vt:lpstr>
      <vt:lpstr>Year3_ROSGO_ceased_LAC_SGO</vt:lpstr>
      <vt:lpstr>Year3_SGO_fundedLA</vt:lpstr>
      <vt:lpstr>Year3_SGO_total</vt:lpstr>
      <vt:lpstr>Year3_Slough</vt:lpstr>
      <vt:lpstr>Year3_Somerset</vt:lpstr>
      <vt:lpstr>Year3_Southampton</vt:lpstr>
      <vt:lpstr>Year3_SouthEast</vt:lpstr>
      <vt:lpstr>Year3_Surrey</vt:lpstr>
      <vt:lpstr>Year3_Swindon</vt:lpstr>
      <vt:lpstr>Year3_Torbay</vt:lpstr>
      <vt:lpstr>Year3_West_Berkshire</vt:lpstr>
      <vt:lpstr>Year3_West_Sussex</vt:lpstr>
      <vt:lpstr>Year3_Windsor_Maidenhead</vt:lpstr>
      <vt:lpstr>Year3_Wokingham</vt:lpstr>
      <vt:lpstr>Year4__electively_home_educated</vt:lpstr>
      <vt:lpstr>Year4_16_17_NEET</vt:lpstr>
      <vt:lpstr>Year4_16_17_not_known</vt:lpstr>
      <vt:lpstr>Year4_16_17_participating_in_EET</vt:lpstr>
      <vt:lpstr>Year4_Adoption_ceased_LAC</vt:lpstr>
      <vt:lpstr>Year4_Adoption_LAC_Adopted</vt:lpstr>
      <vt:lpstr>Year4_Adoption_LAC_Adopted_days</vt:lpstr>
      <vt:lpstr>Year4_Adoption_LAC_Adopted_placed_with_12months</vt:lpstr>
      <vt:lpstr>Year4_Adoption_PFA</vt:lpstr>
      <vt:lpstr>Year4_Assessments</vt:lpstr>
      <vt:lpstr>Year4_Assessments_10days</vt:lpstr>
      <vt:lpstr>Year4_Assessments_11_25days</vt:lpstr>
      <vt:lpstr>Year4_Assessments_26_35days</vt:lpstr>
      <vt:lpstr>Year4_Assessments_36_45days</vt:lpstr>
      <vt:lpstr>Year4_Assessments_No_further_action</vt:lpstr>
      <vt:lpstr>Year4_Assessments_over_45days</vt:lpstr>
      <vt:lpstr>Year4_Assessments_step_down</vt:lpstr>
      <vt:lpstr>'Year 5'!Year4_Assessments_within45days</vt:lpstr>
      <vt:lpstr>Year4_Assessments_within45days</vt:lpstr>
      <vt:lpstr>Year4_Bracknell_Forest</vt:lpstr>
      <vt:lpstr>Year4_Brighton_Hove</vt:lpstr>
      <vt:lpstr>Year4_Buckinghamshire</vt:lpstr>
      <vt:lpstr>Year4_CAO_RO_FundedLA</vt:lpstr>
      <vt:lpstr>Year4_CAO_RO_Total</vt:lpstr>
      <vt:lpstr>Year4_Care_Leavers_16_18th_birthday</vt:lpstr>
      <vt:lpstr>Year4_Care_Leavers_at_end_of_period</vt:lpstr>
      <vt:lpstr>Year4_Care_Leavers_in_EET</vt:lpstr>
      <vt:lpstr>Year4_Care_Leavers_in_suitable_accommodation</vt:lpstr>
      <vt:lpstr>Year4_Care_Leavers_in_touch</vt:lpstr>
      <vt:lpstr>Year4_Children_missing_Education</vt:lpstr>
      <vt:lpstr>Year4_CIN</vt:lpstr>
      <vt:lpstr>Year4_CIN_Section47</vt:lpstr>
      <vt:lpstr>Year4_Contacts</vt:lpstr>
      <vt:lpstr>Year4_Continuous_assessments</vt:lpstr>
      <vt:lpstr>Year4_CP_Conference</vt:lpstr>
      <vt:lpstr>Year4_CP_Conference_within15days</vt:lpstr>
      <vt:lpstr>Year4_CP_Plans</vt:lpstr>
      <vt:lpstr>Year4_CP_Plans_3months</vt:lpstr>
      <vt:lpstr>Year4_CP_Plans_3months_timescales</vt:lpstr>
      <vt:lpstr>Year4_CP_Plans_became_subject</vt:lpstr>
      <vt:lpstr>Year4_CP_Plans_became_subject_second</vt:lpstr>
      <vt:lpstr>Year4_CP_Plans_became_subject_second_2years</vt:lpstr>
      <vt:lpstr>Year4_CP_Plans_ceased</vt:lpstr>
      <vt:lpstr>Year4_CP_Plans_ceased_2years</vt:lpstr>
      <vt:lpstr>Year4_CP_Plans_Seen_in_Timescales</vt:lpstr>
      <vt:lpstr>Year4_EarlyHelpAssessments</vt:lpstr>
      <vt:lpstr>Year4_EarlyHelpAssessmentsOngoing</vt:lpstr>
      <vt:lpstr>Year4_EarlyHelpAssessmentsStepUp</vt:lpstr>
      <vt:lpstr>Year4_EarlyHelpedChildren</vt:lpstr>
      <vt:lpstr>Year4_EarlyHelpReferrals</vt:lpstr>
      <vt:lpstr>Year4_EarlyHelpReferralsOntoASSESSMENT</vt:lpstr>
      <vt:lpstr>Year4_EarlyHelpReferralsSTEPDOWN</vt:lpstr>
      <vt:lpstr>Year4_EarlyHelpReReferrals</vt:lpstr>
      <vt:lpstr>Year4_East_Sussex</vt:lpstr>
      <vt:lpstr>Year4_England</vt:lpstr>
      <vt:lpstr>Year4_First_Time_Entrants_to_Youth_Justice_system</vt:lpstr>
      <vt:lpstr>Year4_Hampshire</vt:lpstr>
      <vt:lpstr>Year4_Isle_of_Wight</vt:lpstr>
      <vt:lpstr>Year4_Juvenile_Offenders__Age_10_17</vt:lpstr>
      <vt:lpstr>Year4_Juvenile_Re_offenders__Age_10_17</vt:lpstr>
      <vt:lpstr>Year4_Kent</vt:lpstr>
      <vt:lpstr>Year4_LAC</vt:lpstr>
      <vt:lpstr>Year4_LAC_10to15</vt:lpstr>
      <vt:lpstr>Year4_LAC_16plus</vt:lpstr>
      <vt:lpstr>Year4_LAC_1to4</vt:lpstr>
      <vt:lpstr>Year4_LAC_3_or_more_Placements</vt:lpstr>
      <vt:lpstr>Year4_LAC_4weeks</vt:lpstr>
      <vt:lpstr>Year4_LAC_4weeks_reviews_in_timescales</vt:lpstr>
      <vt:lpstr>Year4_LAC_5to9</vt:lpstr>
      <vt:lpstr>Year4_LAC_Remanded</vt:lpstr>
      <vt:lpstr>Year4_LAC_Start</vt:lpstr>
      <vt:lpstr>Year4_LAC_Start_2nd_time</vt:lpstr>
      <vt:lpstr>Year4_LAC_UASC</vt:lpstr>
      <vt:lpstr>Year4_LAC_Under1</vt:lpstr>
      <vt:lpstr>Year4_LAC_under16</vt:lpstr>
      <vt:lpstr>Year4_LAC_under16_2.5years</vt:lpstr>
      <vt:lpstr>Year4_LAC_under16_2.5years_sameplacement2years</vt:lpstr>
      <vt:lpstr>Year4_Medway</vt:lpstr>
      <vt:lpstr>Year4_Milton_Keynes</vt:lpstr>
      <vt:lpstr>Year4_New_EHC__within_20_weeks</vt:lpstr>
      <vt:lpstr>Year4_Number_EHC_Plans</vt:lpstr>
      <vt:lpstr>Year4_Oxfordshire</vt:lpstr>
      <vt:lpstr>Year4_Portsmouth</vt:lpstr>
      <vt:lpstr>Year4_Reading</vt:lpstr>
      <vt:lpstr>Year4_Referrals</vt:lpstr>
      <vt:lpstr>Year4_ReferralsAssessment</vt:lpstr>
      <vt:lpstr>Year4_ReferralSource_Anonymous</vt:lpstr>
      <vt:lpstr>Year4_ReferralSource_EducationServices</vt:lpstr>
      <vt:lpstr>Year4_ReferralSource_Health_services_AE</vt:lpstr>
      <vt:lpstr>Year4_ReferralSource_Health_services_GP</vt:lpstr>
      <vt:lpstr>Year4_ReferralSource_Health_services_HealthVisitor</vt:lpstr>
      <vt:lpstr>Year4_ReferralSource_Health_services_Other</vt:lpstr>
      <vt:lpstr>Year4_ReferralSource_Health_services_OthPrimary</vt:lpstr>
      <vt:lpstr>Year4_ReferralSource_Health_services_SchoolNurse</vt:lpstr>
      <vt:lpstr>Year4_ReferralSource_Housing</vt:lpstr>
      <vt:lpstr>Year4_ReferralSource_Individual_Acquaintance</vt:lpstr>
      <vt:lpstr>Year4_ReferralSource_Individual_Family</vt:lpstr>
      <vt:lpstr>Year4_ReferralSource_Individual_Other</vt:lpstr>
      <vt:lpstr>Year4_ReferralSource_Individual_Self</vt:lpstr>
      <vt:lpstr>Year4_ReferralSource_LA_External</vt:lpstr>
      <vt:lpstr>Year4_ReferralSource_LA_Other</vt:lpstr>
      <vt:lpstr>Year4_ReferralSource_LA_SC</vt:lpstr>
      <vt:lpstr>Year4_ReferralSource_Other</vt:lpstr>
      <vt:lpstr>Year4_ReferralSource_Other_Legal</vt:lpstr>
      <vt:lpstr>Year4_ReferralSource_Police</vt:lpstr>
      <vt:lpstr>Year4_ReferralSource_School</vt:lpstr>
      <vt:lpstr>Year4_ReferralSource_Unknown</vt:lpstr>
      <vt:lpstr>Year4_ReferralsPriorEH</vt:lpstr>
      <vt:lpstr>Year4_ReReferrals</vt:lpstr>
      <vt:lpstr>Year4_ROSGO_ceased_LAC_CAO</vt:lpstr>
      <vt:lpstr>Year4_ROSGO_ceased_LAC_SGO</vt:lpstr>
      <vt:lpstr>Year4_SGO_fundedLA</vt:lpstr>
      <vt:lpstr>Year4_SGO_total</vt:lpstr>
      <vt:lpstr>Year4_Slough</vt:lpstr>
      <vt:lpstr>Year4_Somerset</vt:lpstr>
      <vt:lpstr>Year4_Southampton</vt:lpstr>
      <vt:lpstr>Year4_SouthEast</vt:lpstr>
      <vt:lpstr>Year4_Surrey</vt:lpstr>
      <vt:lpstr>Year4_Swindon</vt:lpstr>
      <vt:lpstr>Year4_Torbay</vt:lpstr>
      <vt:lpstr>Year4_West_Berkshire</vt:lpstr>
      <vt:lpstr>Year4_West_Sussex</vt:lpstr>
      <vt:lpstr>Year4_Windsor_Maidenhead</vt:lpstr>
      <vt:lpstr>Year4_Wokingham</vt:lpstr>
      <vt:lpstr>Year5__16_17__participating_in_EET</vt:lpstr>
      <vt:lpstr>Year5__electively_home_educated</vt:lpstr>
      <vt:lpstr>Year5_0_17_Population</vt:lpstr>
      <vt:lpstr>Year5_16_17_NEET</vt:lpstr>
      <vt:lpstr>Year5_16_17_not_known</vt:lpstr>
      <vt:lpstr>Year5_Adoption_ceased_LAC</vt:lpstr>
      <vt:lpstr>Year5_Adoption_LAC_Adopted</vt:lpstr>
      <vt:lpstr>Year5_Adoption_LAC_Adopted_days</vt:lpstr>
      <vt:lpstr>Year5_Adoption_LAC_Adopted_placed_with_12months</vt:lpstr>
      <vt:lpstr>Year5_Adoption_PFA</vt:lpstr>
      <vt:lpstr>Year5_Assessments</vt:lpstr>
      <vt:lpstr>Year5_Assessments_10days</vt:lpstr>
      <vt:lpstr>Year5_Assessments_11_25days</vt:lpstr>
      <vt:lpstr>Year5_Assessments_26_35days</vt:lpstr>
      <vt:lpstr>Year5_Assessments_36_45days</vt:lpstr>
      <vt:lpstr>Year5_Assessments_No_further_action</vt:lpstr>
      <vt:lpstr>Year5_Assessments_over_45days</vt:lpstr>
      <vt:lpstr>Year5_Assessments_step_down</vt:lpstr>
      <vt:lpstr>Year5_Assessments_within45days</vt:lpstr>
      <vt:lpstr>Year5_Bracknell_Forest</vt:lpstr>
      <vt:lpstr>Year5_Brighton_Hove</vt:lpstr>
      <vt:lpstr>Year5_Buckinghamshire</vt:lpstr>
      <vt:lpstr>Year5_CAO_RO_FundedLA</vt:lpstr>
      <vt:lpstr>Year5_CAO_RO_Total</vt:lpstr>
      <vt:lpstr>Year5_Care_Leavers_16_18th_birthday</vt:lpstr>
      <vt:lpstr>Year5_Care_Leavers_at_end_of_period</vt:lpstr>
      <vt:lpstr>Year5_Care_Leavers_in_EET</vt:lpstr>
      <vt:lpstr>Year5_Care_Leavers_in_suitable_accommodation</vt:lpstr>
      <vt:lpstr>Year5_Care_Leavers_in_touch</vt:lpstr>
      <vt:lpstr>Year5_Children_missing_Education</vt:lpstr>
      <vt:lpstr>Year5_CIN</vt:lpstr>
      <vt:lpstr>Year5_CIN_Section47</vt:lpstr>
      <vt:lpstr>Year5_Contacts</vt:lpstr>
      <vt:lpstr>Year5_Continuous_assessments</vt:lpstr>
      <vt:lpstr>Year5_CP_Conference</vt:lpstr>
      <vt:lpstr>Year5_CP_Conference_within15days</vt:lpstr>
      <vt:lpstr>Year5_CP_Plans</vt:lpstr>
      <vt:lpstr>Year5_CP_Plans_3months</vt:lpstr>
      <vt:lpstr>Year5_CP_Plans_3months_timescales</vt:lpstr>
      <vt:lpstr>Year5_CP_Plans_became_subject</vt:lpstr>
      <vt:lpstr>Year5_CP_Plans_became_subject_second</vt:lpstr>
      <vt:lpstr>Year5_CP_Plans_became_subject_second_2years</vt:lpstr>
      <vt:lpstr>Year5_CP_Plans_ceased</vt:lpstr>
      <vt:lpstr>Year5_CP_Plans_ceased_2years</vt:lpstr>
      <vt:lpstr>Year5_CP_Plans_Seen_in_Timescales</vt:lpstr>
      <vt:lpstr>Year5_EarlyHelpAssessments</vt:lpstr>
      <vt:lpstr>Year5_EarlyHelpAssessmentsOngoing</vt:lpstr>
      <vt:lpstr>Year5_EarlyHelpAssessmentsStepUp</vt:lpstr>
      <vt:lpstr>Year5_EarlyHelpedChildren</vt:lpstr>
      <vt:lpstr>Year5_EarlyHelpReferrals</vt:lpstr>
      <vt:lpstr>Year5_EarlyHelpReferralsOntoASSESSMENT</vt:lpstr>
      <vt:lpstr>Year5_EarlyHelpReferralsSTEPDOWN</vt:lpstr>
      <vt:lpstr>Year5_EarlyHelpReReferrals</vt:lpstr>
      <vt:lpstr>Year5_East_Sussex</vt:lpstr>
      <vt:lpstr>Year5_England</vt:lpstr>
      <vt:lpstr>Year5_First_Time_Entrants_to_Youth_Justice_system</vt:lpstr>
      <vt:lpstr>Year5_Hampshire</vt:lpstr>
      <vt:lpstr>Year5_Isle_of_Wight</vt:lpstr>
      <vt:lpstr>Year5_Juvenile_Offenders__Age_10_17</vt:lpstr>
      <vt:lpstr>Year5_Juvenile_Re_offenders__Age_10_17</vt:lpstr>
      <vt:lpstr>Year5_Kent</vt:lpstr>
      <vt:lpstr>Year5_LAC</vt:lpstr>
      <vt:lpstr>Year5_LAC_10to15</vt:lpstr>
      <vt:lpstr>Year5_LAC_16plus</vt:lpstr>
      <vt:lpstr>Year5_LAC_1to4</vt:lpstr>
      <vt:lpstr>Year5_LAC_3_or_more_Placements</vt:lpstr>
      <vt:lpstr>Year5_LAC_4weeks</vt:lpstr>
      <vt:lpstr>Year5_LAC_4weeks_reviews_in_timescales</vt:lpstr>
      <vt:lpstr>Year5_LAC_5to9</vt:lpstr>
      <vt:lpstr>Year5_LAC_Remanded</vt:lpstr>
      <vt:lpstr>Year5_LAC_Start</vt:lpstr>
      <vt:lpstr>Year5_LAC_Start_2nd_time</vt:lpstr>
      <vt:lpstr>Year5_LAC_UASC</vt:lpstr>
      <vt:lpstr>Year5_LAC_Under1</vt:lpstr>
      <vt:lpstr>Year5_LAC_under16</vt:lpstr>
      <vt:lpstr>Year5_LAC_under16_2.5years</vt:lpstr>
      <vt:lpstr>Year5_LAC_under16_2.5years_sameplacement2years</vt:lpstr>
      <vt:lpstr>Year5_Medway</vt:lpstr>
      <vt:lpstr>Year5_Milton_Keynes</vt:lpstr>
      <vt:lpstr>Year5_New_EHC__within_20_weeks</vt:lpstr>
      <vt:lpstr>Year5_Number_EHC_Plans</vt:lpstr>
      <vt:lpstr>Year5_Oxfordshire</vt:lpstr>
      <vt:lpstr>Year5_Portsmouth</vt:lpstr>
      <vt:lpstr>Year5_Reading</vt:lpstr>
      <vt:lpstr>Year5_Referrals</vt:lpstr>
      <vt:lpstr>Year5_ReferralsAssessment</vt:lpstr>
      <vt:lpstr>Year5_ReferralSource_Anonymous</vt:lpstr>
      <vt:lpstr>Year5_ReferralSource_EducationServices</vt:lpstr>
      <vt:lpstr>Year5_ReferralSource_Health_services_AE</vt:lpstr>
      <vt:lpstr>Year5_ReferralSource_Health_services_GP</vt:lpstr>
      <vt:lpstr>Year5_ReferralSource_Health_services_HealthVisitor</vt:lpstr>
      <vt:lpstr>Year5_ReferralSource_Health_services_Other</vt:lpstr>
      <vt:lpstr>Year5_ReferralSource_Health_services_OthPrimary</vt:lpstr>
      <vt:lpstr>Year5_ReferralSource_Health_services_SchoolNurse</vt:lpstr>
      <vt:lpstr>Year5_ReferralSource_Housing</vt:lpstr>
      <vt:lpstr>Year5_ReferralSource_Individual_Acquaintance</vt:lpstr>
      <vt:lpstr>Year5_ReferralSource_Individual_Family</vt:lpstr>
      <vt:lpstr>Year5_ReferralSource_Individual_Other</vt:lpstr>
      <vt:lpstr>Year5_ReferralSource_Individual_Self</vt:lpstr>
      <vt:lpstr>Year5_ReferralSource_LA_External</vt:lpstr>
      <vt:lpstr>Year5_ReferralSource_LA_Other</vt:lpstr>
      <vt:lpstr>Year5_ReferralSource_LA_SC</vt:lpstr>
      <vt:lpstr>Year5_ReferralSource_Other</vt:lpstr>
      <vt:lpstr>Year5_ReferralSource_Other_Legal</vt:lpstr>
      <vt:lpstr>Year5_ReferralSource_Police</vt:lpstr>
      <vt:lpstr>Year5_ReferralSource_School</vt:lpstr>
      <vt:lpstr>Year5_ReferralSource_Unknown</vt:lpstr>
      <vt:lpstr>Year5_ReferralsPriorEH</vt:lpstr>
      <vt:lpstr>Year5_ReReferrals</vt:lpstr>
      <vt:lpstr>Year5_ROSGO_ceased_LAC_CAO</vt:lpstr>
      <vt:lpstr>Year5_ROSGO_ceased_LAC_SGO</vt:lpstr>
      <vt:lpstr>Year5_SGO_fundedLA</vt:lpstr>
      <vt:lpstr>Year5_SGO_total</vt:lpstr>
      <vt:lpstr>Year5_Slough</vt:lpstr>
      <vt:lpstr>Year5_Somerset</vt:lpstr>
      <vt:lpstr>Year5_Southampton</vt:lpstr>
      <vt:lpstr>Year5_SouthEast</vt:lpstr>
      <vt:lpstr>Year5_Surrey</vt:lpstr>
      <vt:lpstr>Year5_Swindon</vt:lpstr>
      <vt:lpstr>Year5_Torbay</vt:lpstr>
      <vt:lpstr>Year5_West_Berkshire</vt:lpstr>
      <vt:lpstr>Year5_West_Sussex</vt:lpstr>
      <vt:lpstr>Year5_Windsor_Maidenhead</vt:lpstr>
      <vt:lpstr>Year5_Wokingham</vt:lpstr>
    </vt:vector>
  </TitlesOfParts>
  <Company>East sussex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Josephh</dc:creator>
  <cp:lastModifiedBy>Joseph Hutchings</cp:lastModifiedBy>
  <cp:lastPrinted>2018-11-28T11:33:09Z</cp:lastPrinted>
  <dcterms:created xsi:type="dcterms:W3CDTF">2011-07-27T15:24:05Z</dcterms:created>
  <dcterms:modified xsi:type="dcterms:W3CDTF">2018-11-28T15:22:03Z</dcterms:modified>
</cp:coreProperties>
</file>